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2858799B-31B3-4637-9C84-66049E1438F3}" xr6:coauthVersionLast="47" xr6:coauthVersionMax="47" xr10:uidLastSave="{00000000-0000-0000-0000-000000000000}"/>
  <bookViews>
    <workbookView xWindow="-120" yWindow="-120" windowWidth="29040" windowHeight="15840" activeTab="1" xr2:uid="{508BF4A0-C9FC-49F5-A5A9-A2907877ABE5}"/>
  </bookViews>
  <sheets>
    <sheet name="Paramètre" sheetId="2" r:id="rId1"/>
    <sheet name="Conso" sheetId="1" r:id="rId2"/>
    <sheet name="START" sheetId="3" r:id="rId3"/>
    <sheet name="VW 4" sheetId="15" r:id="rId4"/>
    <sheet name="VW 5" sheetId="5" r:id="rId5"/>
    <sheet name="VW 6" sheetId="6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localSheetId="3" hidden="1">OFFSET([2]!DateRangePriceMain,5,0,COUNTA([2]!DateRangePriceMain)-COUNTA(#REF!),1)</definedName>
    <definedName name="DateRangePr" hidden="1">OFFSET([2]!DateRangePriceMain,5,0,COUNTA([2]!DateRangePriceMain)-COUNTA(#REF!),1)</definedName>
    <definedName name="DateRangePrice" localSheetId="3" hidden="1">OFFSET([3]!DateRangePriceMain,5,0,COUNTA([3]!DateRangePriceMain)-COUNTA(#REF!),1)</definedName>
    <definedName name="DateRangePrice" hidden="1">OFFSET([3]!DateRangePriceMain,5,0,COUNTA([3]!DateRangePriceMain)-COUNTA(#REF!),1)</definedName>
    <definedName name="DateRangePrice1" localSheetId="3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localSheetId="3" hidden="1">OFFSET([2]!DateRangePriceMain,5,0,COUNTA([2]!DateRangePriceMain)-COUNTA(#REF!),1)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OFFSET([3]!PriceRangeMain,5,0,COUNTA([3]!PriceRangeMain)-COUNTA(#REF!),1)</definedName>
    <definedName name="PriceRange" hidden="1">OFFSET([3]!PriceRangeMain,5,0,COUNTA([3]!PriceRangeMain)-COUNTA(#REF!),1)</definedName>
    <definedName name="PriceRange2" localSheetId="3" hidden="1">OFFSET([2]!PriceRangeMain,5,0,COUNTA([2]!PriceRangeMain)-COUNTA(#REF!),1)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OFFSET([2]!DateRangePriceMain,5,0,COUNTA([2]!DateRangePriceMain)-COUNTA(#REF!),1)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localSheetId="3" hidden="1">OFFSET([3]!DateRangePriceMain,5,0,COUNTA([3]!DateRangePriceMain)-COUNTA(#REF!),1)</definedName>
    <definedName name="value" hidden="1">OFFSET([3]!DateRangePriceMain,5,0,COUNTA([3]!DateRangePriceMain)-COUNTA(#REF!),1)</definedName>
    <definedName name="value2" localSheetId="3" hidden="1">OFFSET([2]!DateRangePriceMain,5,0,COUNTA([2]!DateRangePriceMain)-COUNTA(#REF!),1)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Conso!$C$1:$S$398,Conso!$V$401:$AO$497</definedName>
    <definedName name="_xlnm.Print_Area" localSheetId="3">'VW 4'!#REF!,'VW 4'!#REF!,'VW 4'!#REF!,'VW 4'!#REF!,'VW 4'!#REF!,'VW 4'!#REF!</definedName>
    <definedName name="_xlnm.Print_Area" localSheetId="4">'VW 5'!#REF!,'VW 5'!#REF!,'VW 5'!#REF!,'VW 5'!#REF!,'VW 5'!#REF!,'VW 5'!#REF!</definedName>
    <definedName name="_xlnm.Print_Area" localSheetId="5">'VW 6'!$C$1:$T$697,'VW 6'!$U$401:$AO$497</definedName>
    <definedName name="_xlnm.Print_Are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1" l="1"/>
  <c r="J55" i="1"/>
  <c r="G42" i="1"/>
  <c r="J42" i="1"/>
  <c r="AD433" i="1"/>
  <c r="AA433" i="1"/>
  <c r="AA419" i="1"/>
  <c r="AD419" i="1"/>
  <c r="A498" i="6"/>
  <c r="A497" i="6"/>
  <c r="A496" i="6"/>
  <c r="A495" i="6"/>
  <c r="A494" i="6"/>
  <c r="AL493" i="6"/>
  <c r="AO493" i="6" s="1"/>
  <c r="AF493" i="6"/>
  <c r="AH493" i="6" s="1"/>
  <c r="AC493" i="6"/>
  <c r="AI493" i="6" s="1"/>
  <c r="A493" i="6"/>
  <c r="Z493" i="6" s="1"/>
  <c r="AL492" i="6"/>
  <c r="AF492" i="6"/>
  <c r="AC492" i="6"/>
  <c r="A492" i="6"/>
  <c r="Z492" i="6" s="1"/>
  <c r="AO491" i="6"/>
  <c r="AL491" i="6"/>
  <c r="AF491" i="6"/>
  <c r="AH491" i="6" s="1"/>
  <c r="A491" i="6"/>
  <c r="AC491" i="6" s="1"/>
  <c r="AL490" i="6"/>
  <c r="AF490" i="6"/>
  <c r="AN490" i="6" s="1"/>
  <c r="AO490" i="6" s="1"/>
  <c r="A490" i="6"/>
  <c r="Z490" i="6" s="1"/>
  <c r="A489" i="6"/>
  <c r="A488" i="6"/>
  <c r="A487" i="6"/>
  <c r="A486" i="6"/>
  <c r="A485" i="6"/>
  <c r="A483" i="6"/>
  <c r="A482" i="6"/>
  <c r="AO481" i="6"/>
  <c r="AN481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L468" i="6"/>
  <c r="AF468" i="6"/>
  <c r="AN468" i="6" s="1"/>
  <c r="AC468" i="6"/>
  <c r="Z468" i="6"/>
  <c r="A468" i="6"/>
  <c r="A467" i="6"/>
  <c r="AO466" i="6"/>
  <c r="AN466" i="6"/>
  <c r="AH466" i="6"/>
  <c r="A466" i="6"/>
  <c r="A465" i="6"/>
  <c r="A464" i="6"/>
  <c r="A463" i="6"/>
  <c r="A462" i="6"/>
  <c r="A461" i="6"/>
  <c r="AO460" i="6"/>
  <c r="AL460" i="6"/>
  <c r="AF460" i="6"/>
  <c r="AN460" i="6" s="1"/>
  <c r="AC460" i="6"/>
  <c r="A460" i="6"/>
  <c r="Z460" i="6" s="1"/>
  <c r="AL459" i="6"/>
  <c r="AF459" i="6"/>
  <c r="Z459" i="6"/>
  <c r="A459" i="6"/>
  <c r="AC459" i="6" s="1"/>
  <c r="AL458" i="6"/>
  <c r="AF458" i="6"/>
  <c r="A458" i="6"/>
  <c r="Z458" i="6" s="1"/>
  <c r="AL457" i="6"/>
  <c r="AF457" i="6"/>
  <c r="AC457" i="6"/>
  <c r="Z457" i="6"/>
  <c r="A457" i="6"/>
  <c r="AL456" i="6"/>
  <c r="AF456" i="6"/>
  <c r="A456" i="6"/>
  <c r="AO455" i="6"/>
  <c r="AL455" i="6"/>
  <c r="AF455" i="6"/>
  <c r="AN455" i="6" s="1"/>
  <c r="A455" i="6"/>
  <c r="AL454" i="6"/>
  <c r="AF454" i="6"/>
  <c r="A454" i="6"/>
  <c r="Z454" i="6" s="1"/>
  <c r="AN453" i="6"/>
  <c r="AL453" i="6"/>
  <c r="AF453" i="6"/>
  <c r="AC453" i="6"/>
  <c r="Z453" i="6"/>
  <c r="A453" i="6"/>
  <c r="AL452" i="6"/>
  <c r="AF452" i="6"/>
  <c r="A452" i="6"/>
  <c r="Z452" i="6" s="1"/>
  <c r="A451" i="6"/>
  <c r="A450" i="6"/>
  <c r="A449" i="6"/>
  <c r="A448" i="6"/>
  <c r="AL447" i="6"/>
  <c r="AF447" i="6"/>
  <c r="AN447" i="6" s="1"/>
  <c r="AO447" i="6" s="1"/>
  <c r="A447" i="6"/>
  <c r="A446" i="6"/>
  <c r="A445" i="6"/>
  <c r="A444" i="6"/>
  <c r="A443" i="6"/>
  <c r="A442" i="6"/>
  <c r="A441" i="6"/>
  <c r="A440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L419" i="6"/>
  <c r="AF419" i="6"/>
  <c r="Z419" i="6"/>
  <c r="A419" i="6"/>
  <c r="AC419" i="6" s="1"/>
  <c r="AI419" i="6" s="1"/>
  <c r="A418" i="6"/>
  <c r="A417" i="6"/>
  <c r="Q416" i="6"/>
  <c r="A416" i="6"/>
  <c r="Q415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Q393" i="6"/>
  <c r="L393" i="6"/>
  <c r="F393" i="6"/>
  <c r="A393" i="6"/>
  <c r="I393" i="6" s="1"/>
  <c r="Q392" i="6"/>
  <c r="L392" i="6"/>
  <c r="A392" i="6"/>
  <c r="Q391" i="6"/>
  <c r="L391" i="6"/>
  <c r="I391" i="6"/>
  <c r="A391" i="6"/>
  <c r="F391" i="6" s="1"/>
  <c r="Q390" i="6"/>
  <c r="S390" i="6" s="1"/>
  <c r="L390" i="6"/>
  <c r="I390" i="6"/>
  <c r="F390" i="6"/>
  <c r="A390" i="6"/>
  <c r="Q389" i="6"/>
  <c r="S389" i="6" s="1"/>
  <c r="L389" i="6"/>
  <c r="F389" i="6"/>
  <c r="A389" i="6"/>
  <c r="I389" i="6" s="1"/>
  <c r="N389" i="6" s="1"/>
  <c r="S388" i="6"/>
  <c r="Q388" i="6"/>
  <c r="L388" i="6"/>
  <c r="I388" i="6"/>
  <c r="N388" i="6" s="1"/>
  <c r="A388" i="6"/>
  <c r="F388" i="6" s="1"/>
  <c r="Q387" i="6"/>
  <c r="L387" i="6"/>
  <c r="N387" i="6" s="1"/>
  <c r="I387" i="6"/>
  <c r="F387" i="6"/>
  <c r="A387" i="6"/>
  <c r="S386" i="6"/>
  <c r="Q386" i="6"/>
  <c r="L386" i="6"/>
  <c r="A386" i="6"/>
  <c r="Q385" i="6"/>
  <c r="L385" i="6"/>
  <c r="F385" i="6"/>
  <c r="A385" i="6"/>
  <c r="I385" i="6" s="1"/>
  <c r="S384" i="6"/>
  <c r="Q384" i="6"/>
  <c r="L384" i="6"/>
  <c r="I384" i="6"/>
  <c r="N384" i="6" s="1"/>
  <c r="A384" i="6"/>
  <c r="F384" i="6" s="1"/>
  <c r="Q383" i="6"/>
  <c r="L383" i="6"/>
  <c r="N383" i="6" s="1"/>
  <c r="I383" i="6"/>
  <c r="F383" i="6"/>
  <c r="A383" i="6"/>
  <c r="S382" i="6"/>
  <c r="Q382" i="6"/>
  <c r="L382" i="6"/>
  <c r="A382" i="6"/>
  <c r="Q381" i="6"/>
  <c r="L381" i="6"/>
  <c r="F381" i="6"/>
  <c r="A381" i="6"/>
  <c r="I381" i="6" s="1"/>
  <c r="S380" i="6"/>
  <c r="Q380" i="6"/>
  <c r="L380" i="6"/>
  <c r="I380" i="6"/>
  <c r="N380" i="6" s="1"/>
  <c r="A380" i="6"/>
  <c r="F380" i="6" s="1"/>
  <c r="Q379" i="6"/>
  <c r="L379" i="6"/>
  <c r="N379" i="6" s="1"/>
  <c r="I379" i="6"/>
  <c r="F379" i="6"/>
  <c r="A379" i="6"/>
  <c r="S378" i="6"/>
  <c r="Q378" i="6"/>
  <c r="L378" i="6"/>
  <c r="A378" i="6"/>
  <c r="Q377" i="6"/>
  <c r="L377" i="6"/>
  <c r="F377" i="6"/>
  <c r="A377" i="6"/>
  <c r="I377" i="6" s="1"/>
  <c r="A376" i="6"/>
  <c r="Q375" i="6"/>
  <c r="L375" i="6"/>
  <c r="N375" i="6" s="1"/>
  <c r="I375" i="6"/>
  <c r="F375" i="6"/>
  <c r="A375" i="6"/>
  <c r="S374" i="6"/>
  <c r="Q374" i="6"/>
  <c r="L374" i="6"/>
  <c r="A374" i="6"/>
  <c r="Q373" i="6"/>
  <c r="L373" i="6"/>
  <c r="F373" i="6"/>
  <c r="A373" i="6"/>
  <c r="I373" i="6" s="1"/>
  <c r="S372" i="6"/>
  <c r="Q372" i="6"/>
  <c r="L372" i="6"/>
  <c r="I372" i="6"/>
  <c r="N372" i="6" s="1"/>
  <c r="A372" i="6"/>
  <c r="F372" i="6" s="1"/>
  <c r="Q371" i="6"/>
  <c r="L371" i="6"/>
  <c r="N371" i="6" s="1"/>
  <c r="I371" i="6"/>
  <c r="F371" i="6"/>
  <c r="A371" i="6"/>
  <c r="Q370" i="6"/>
  <c r="S370" i="6" s="1"/>
  <c r="L370" i="6"/>
  <c r="A370" i="6"/>
  <c r="Q369" i="6"/>
  <c r="L369" i="6"/>
  <c r="F369" i="6"/>
  <c r="A369" i="6"/>
  <c r="I369" i="6" s="1"/>
  <c r="S368" i="6"/>
  <c r="Q368" i="6"/>
  <c r="L368" i="6"/>
  <c r="N368" i="6" s="1"/>
  <c r="I368" i="6"/>
  <c r="A368" i="6"/>
  <c r="F368" i="6" s="1"/>
  <c r="Q367" i="6"/>
  <c r="L367" i="6"/>
  <c r="N367" i="6" s="1"/>
  <c r="I367" i="6"/>
  <c r="F367" i="6"/>
  <c r="A367" i="6"/>
  <c r="Q366" i="6"/>
  <c r="S366" i="6" s="1"/>
  <c r="L366" i="6"/>
  <c r="A366" i="6"/>
  <c r="Q365" i="6"/>
  <c r="L365" i="6"/>
  <c r="L376" i="6" s="1"/>
  <c r="F365" i="6"/>
  <c r="A365" i="6"/>
  <c r="I365" i="6" s="1"/>
  <c r="S364" i="6"/>
  <c r="Q364" i="6"/>
  <c r="Q376" i="6" s="1"/>
  <c r="L364" i="6"/>
  <c r="I364" i="6"/>
  <c r="F364" i="6"/>
  <c r="A364" i="6"/>
  <c r="A363" i="6"/>
  <c r="N362" i="6"/>
  <c r="A362" i="6"/>
  <c r="Q361" i="6"/>
  <c r="K361" i="6"/>
  <c r="J361" i="6"/>
  <c r="A361" i="6"/>
  <c r="A360" i="6"/>
  <c r="S359" i="6"/>
  <c r="Q359" i="6"/>
  <c r="O359" i="6"/>
  <c r="L359" i="6"/>
  <c r="L361" i="6" s="1"/>
  <c r="K359" i="6"/>
  <c r="J359" i="6"/>
  <c r="A359" i="6"/>
  <c r="A358" i="6"/>
  <c r="N351" i="6"/>
  <c r="Q347" i="6"/>
  <c r="L347" i="6"/>
  <c r="N347" i="6" s="1"/>
  <c r="I347" i="6"/>
  <c r="F347" i="6"/>
  <c r="A347" i="6"/>
  <c r="S346" i="6"/>
  <c r="Q346" i="6"/>
  <c r="L346" i="6"/>
  <c r="A346" i="6"/>
  <c r="Q345" i="6"/>
  <c r="L345" i="6"/>
  <c r="F345" i="6"/>
  <c r="A345" i="6"/>
  <c r="I345" i="6" s="1"/>
  <c r="S344" i="6"/>
  <c r="Q344" i="6"/>
  <c r="L344" i="6"/>
  <c r="I344" i="6"/>
  <c r="N344" i="6" s="1"/>
  <c r="A344" i="6"/>
  <c r="F344" i="6" s="1"/>
  <c r="Q343" i="6"/>
  <c r="L343" i="6"/>
  <c r="N343" i="6" s="1"/>
  <c r="I343" i="6"/>
  <c r="F343" i="6"/>
  <c r="A343" i="6"/>
  <c r="S342" i="6"/>
  <c r="Q342" i="6"/>
  <c r="L342" i="6"/>
  <c r="A342" i="6"/>
  <c r="Q341" i="6"/>
  <c r="L341" i="6"/>
  <c r="F341" i="6"/>
  <c r="A341" i="6"/>
  <c r="I341" i="6" s="1"/>
  <c r="S340" i="6"/>
  <c r="Q340" i="6"/>
  <c r="L340" i="6"/>
  <c r="I340" i="6"/>
  <c r="N340" i="6" s="1"/>
  <c r="A340" i="6"/>
  <c r="F340" i="6" s="1"/>
  <c r="Q339" i="6"/>
  <c r="L339" i="6"/>
  <c r="N339" i="6" s="1"/>
  <c r="I339" i="6"/>
  <c r="F339" i="6"/>
  <c r="A339" i="6"/>
  <c r="S338" i="6"/>
  <c r="Q338" i="6"/>
  <c r="L338" i="6"/>
  <c r="A338" i="6"/>
  <c r="Q337" i="6"/>
  <c r="L337" i="6"/>
  <c r="F337" i="6"/>
  <c r="A337" i="6"/>
  <c r="I337" i="6" s="1"/>
  <c r="S336" i="6"/>
  <c r="Q336" i="6"/>
  <c r="N336" i="6"/>
  <c r="L336" i="6"/>
  <c r="A336" i="6"/>
  <c r="Q335" i="6"/>
  <c r="L335" i="6"/>
  <c r="F335" i="6"/>
  <c r="A335" i="6"/>
  <c r="I335" i="6" s="1"/>
  <c r="S334" i="6"/>
  <c r="Q334" i="6"/>
  <c r="L334" i="6"/>
  <c r="I334" i="6"/>
  <c r="N334" i="6" s="1"/>
  <c r="A334" i="6"/>
  <c r="F334" i="6" s="1"/>
  <c r="Q333" i="6"/>
  <c r="L333" i="6"/>
  <c r="N333" i="6" s="1"/>
  <c r="I333" i="6"/>
  <c r="F333" i="6"/>
  <c r="A333" i="6"/>
  <c r="S332" i="6"/>
  <c r="Q332" i="6"/>
  <c r="L332" i="6"/>
  <c r="A332" i="6"/>
  <c r="Q331" i="6"/>
  <c r="L331" i="6"/>
  <c r="F331" i="6"/>
  <c r="A331" i="6"/>
  <c r="I331" i="6" s="1"/>
  <c r="S330" i="6"/>
  <c r="Q330" i="6"/>
  <c r="L330" i="6"/>
  <c r="I330" i="6"/>
  <c r="A330" i="6"/>
  <c r="F330" i="6" s="1"/>
  <c r="A329" i="6"/>
  <c r="S328" i="6"/>
  <c r="Q328" i="6"/>
  <c r="L328" i="6"/>
  <c r="A328" i="6"/>
  <c r="Q327" i="6"/>
  <c r="L327" i="6"/>
  <c r="F327" i="6"/>
  <c r="A327" i="6"/>
  <c r="I327" i="6" s="1"/>
  <c r="S326" i="6"/>
  <c r="Q326" i="6"/>
  <c r="L326" i="6"/>
  <c r="M429" i="6" s="1"/>
  <c r="I326" i="6"/>
  <c r="N326" i="6" s="1"/>
  <c r="A326" i="6"/>
  <c r="F326" i="6" s="1"/>
  <c r="Q325" i="6"/>
  <c r="L325" i="6"/>
  <c r="M428" i="6" s="1"/>
  <c r="I325" i="6"/>
  <c r="F325" i="6"/>
  <c r="A325" i="6"/>
  <c r="S324" i="6"/>
  <c r="Q324" i="6"/>
  <c r="L324" i="6"/>
  <c r="A324" i="6"/>
  <c r="Q323" i="6"/>
  <c r="L323" i="6"/>
  <c r="F323" i="6"/>
  <c r="A323" i="6"/>
  <c r="I323" i="6" s="1"/>
  <c r="S322" i="6"/>
  <c r="Q322" i="6"/>
  <c r="L322" i="6"/>
  <c r="I322" i="6"/>
  <c r="N322" i="6" s="1"/>
  <c r="A322" i="6"/>
  <c r="F322" i="6" s="1"/>
  <c r="Q321" i="6"/>
  <c r="L321" i="6"/>
  <c r="N321" i="6" s="1"/>
  <c r="I321" i="6"/>
  <c r="F321" i="6"/>
  <c r="A321" i="6"/>
  <c r="S320" i="6"/>
  <c r="Q320" i="6"/>
  <c r="L320" i="6"/>
  <c r="A320" i="6"/>
  <c r="Q319" i="6"/>
  <c r="L319" i="6"/>
  <c r="F319" i="6"/>
  <c r="A319" i="6"/>
  <c r="I319" i="6" s="1"/>
  <c r="S318" i="6"/>
  <c r="Q318" i="6"/>
  <c r="L318" i="6"/>
  <c r="I318" i="6"/>
  <c r="N318" i="6" s="1"/>
  <c r="A318" i="6"/>
  <c r="F318" i="6" s="1"/>
  <c r="Q317" i="6"/>
  <c r="L317" i="6"/>
  <c r="I317" i="6"/>
  <c r="F317" i="6"/>
  <c r="A317" i="6"/>
  <c r="A316" i="6"/>
  <c r="A315" i="6"/>
  <c r="A314" i="6"/>
  <c r="A313" i="6"/>
  <c r="A312" i="6"/>
  <c r="Q311" i="6"/>
  <c r="P311" i="6"/>
  <c r="O311" i="6"/>
  <c r="L311" i="6"/>
  <c r="J311" i="6"/>
  <c r="K311" i="6" s="1"/>
  <c r="I311" i="6"/>
  <c r="H311" i="6"/>
  <c r="F311" i="6"/>
  <c r="M311" i="6" s="1"/>
  <c r="D311" i="6"/>
  <c r="E311" i="6" s="1"/>
  <c r="A311" i="6"/>
  <c r="G311" i="6" s="1"/>
  <c r="A310" i="6"/>
  <c r="A309" i="6"/>
  <c r="A308" i="6"/>
  <c r="R307" i="6"/>
  <c r="Q307" i="6"/>
  <c r="O307" i="6"/>
  <c r="P307" i="6" s="1"/>
  <c r="L307" i="6"/>
  <c r="S307" i="6" s="1"/>
  <c r="J307" i="6"/>
  <c r="F307" i="6"/>
  <c r="A307" i="6"/>
  <c r="I307" i="6" s="1"/>
  <c r="N307" i="6" s="1"/>
  <c r="S306" i="6"/>
  <c r="Q306" i="6"/>
  <c r="O306" i="6"/>
  <c r="L306" i="6"/>
  <c r="K306" i="6"/>
  <c r="J306" i="6"/>
  <c r="A306" i="6"/>
  <c r="A305" i="6"/>
  <c r="A304" i="6"/>
  <c r="A303" i="6"/>
  <c r="Q302" i="6"/>
  <c r="O302" i="6"/>
  <c r="P302" i="6" s="1"/>
  <c r="L302" i="6"/>
  <c r="J302" i="6"/>
  <c r="K302" i="6" s="1"/>
  <c r="I302" i="6"/>
  <c r="H302" i="6"/>
  <c r="F302" i="6"/>
  <c r="D302" i="6"/>
  <c r="E302" i="6" s="1"/>
  <c r="A302" i="6"/>
  <c r="G302" i="6" s="1"/>
  <c r="Q301" i="6"/>
  <c r="O301" i="6"/>
  <c r="P301" i="6" s="1"/>
  <c r="L301" i="6"/>
  <c r="J301" i="6"/>
  <c r="K301" i="6" s="1"/>
  <c r="I301" i="6"/>
  <c r="F301" i="6"/>
  <c r="D301" i="6"/>
  <c r="E301" i="6" s="1"/>
  <c r="A301" i="6"/>
  <c r="G301" i="6" s="1"/>
  <c r="H301" i="6" s="1"/>
  <c r="Q300" i="6"/>
  <c r="S300" i="6" s="1"/>
  <c r="O300" i="6"/>
  <c r="P300" i="6" s="1"/>
  <c r="L300" i="6"/>
  <c r="K300" i="6"/>
  <c r="J300" i="6"/>
  <c r="I300" i="6"/>
  <c r="N300" i="6" s="1"/>
  <c r="E300" i="6"/>
  <c r="A300" i="6"/>
  <c r="D300" i="6" s="1"/>
  <c r="Q299" i="6"/>
  <c r="P299" i="6"/>
  <c r="O299" i="6"/>
  <c r="L299" i="6"/>
  <c r="S299" i="6" s="1"/>
  <c r="J299" i="6"/>
  <c r="F299" i="6"/>
  <c r="D299" i="6"/>
  <c r="A299" i="6"/>
  <c r="I299" i="6" s="1"/>
  <c r="N299" i="6" s="1"/>
  <c r="S298" i="6"/>
  <c r="Q298" i="6"/>
  <c r="O298" i="6"/>
  <c r="L298" i="6"/>
  <c r="K298" i="6"/>
  <c r="J298" i="6"/>
  <c r="A298" i="6"/>
  <c r="Q297" i="6"/>
  <c r="P297" i="6"/>
  <c r="O297" i="6"/>
  <c r="L297" i="6"/>
  <c r="J297" i="6"/>
  <c r="K297" i="6" s="1"/>
  <c r="I297" i="6"/>
  <c r="F297" i="6"/>
  <c r="D297" i="6"/>
  <c r="E297" i="6" s="1"/>
  <c r="A297" i="6"/>
  <c r="G297" i="6" s="1"/>
  <c r="H297" i="6" s="1"/>
  <c r="Q296" i="6"/>
  <c r="S296" i="6" s="1"/>
  <c r="O296" i="6"/>
  <c r="P296" i="6" s="1"/>
  <c r="L296" i="6"/>
  <c r="K296" i="6"/>
  <c r="J296" i="6"/>
  <c r="I296" i="6"/>
  <c r="N296" i="6" s="1"/>
  <c r="A296" i="6"/>
  <c r="D296" i="6" s="1"/>
  <c r="R295" i="6"/>
  <c r="Q295" i="6"/>
  <c r="P295" i="6"/>
  <c r="O295" i="6"/>
  <c r="L295" i="6"/>
  <c r="S295" i="6" s="1"/>
  <c r="J295" i="6"/>
  <c r="F295" i="6"/>
  <c r="D295" i="6"/>
  <c r="E295" i="6" s="1"/>
  <c r="A295" i="6"/>
  <c r="I295" i="6" s="1"/>
  <c r="N295" i="6" s="1"/>
  <c r="S294" i="6"/>
  <c r="Q294" i="6"/>
  <c r="O294" i="6"/>
  <c r="L294" i="6"/>
  <c r="K294" i="6"/>
  <c r="J294" i="6"/>
  <c r="I294" i="6"/>
  <c r="A294" i="6"/>
  <c r="A293" i="6"/>
  <c r="N287" i="6"/>
  <c r="Q283" i="6"/>
  <c r="L283" i="6"/>
  <c r="I283" i="6"/>
  <c r="F283" i="6"/>
  <c r="A283" i="6"/>
  <c r="S282" i="6"/>
  <c r="Q282" i="6"/>
  <c r="N282" i="6"/>
  <c r="L282" i="6"/>
  <c r="I282" i="6"/>
  <c r="A282" i="6"/>
  <c r="F282" i="6" s="1"/>
  <c r="Q281" i="6"/>
  <c r="L281" i="6"/>
  <c r="F281" i="6"/>
  <c r="A281" i="6"/>
  <c r="I281" i="6" s="1"/>
  <c r="S280" i="6"/>
  <c r="Q280" i="6"/>
  <c r="L280" i="6"/>
  <c r="A280" i="6"/>
  <c r="Q279" i="6"/>
  <c r="L279" i="6"/>
  <c r="I279" i="6"/>
  <c r="F279" i="6"/>
  <c r="A279" i="6"/>
  <c r="S278" i="6"/>
  <c r="Q278" i="6"/>
  <c r="L278" i="6"/>
  <c r="A278" i="6"/>
  <c r="F278" i="6" s="1"/>
  <c r="Q277" i="6"/>
  <c r="L277" i="6"/>
  <c r="F277" i="6"/>
  <c r="A277" i="6"/>
  <c r="I277" i="6" s="1"/>
  <c r="S276" i="6"/>
  <c r="Q276" i="6"/>
  <c r="L276" i="6"/>
  <c r="I276" i="6"/>
  <c r="N276" i="6" s="1"/>
  <c r="A276" i="6"/>
  <c r="F276" i="6" s="1"/>
  <c r="Q275" i="6"/>
  <c r="L275" i="6"/>
  <c r="I275" i="6"/>
  <c r="F275" i="6"/>
  <c r="A275" i="6"/>
  <c r="S274" i="6"/>
  <c r="Q274" i="6"/>
  <c r="L274" i="6"/>
  <c r="F274" i="6"/>
  <c r="A274" i="6"/>
  <c r="I274" i="6" s="1"/>
  <c r="N274" i="6" s="1"/>
  <c r="Q273" i="6"/>
  <c r="L273" i="6"/>
  <c r="F273" i="6"/>
  <c r="A273" i="6"/>
  <c r="I273" i="6" s="1"/>
  <c r="S272" i="6"/>
  <c r="Q272" i="6"/>
  <c r="N272" i="6"/>
  <c r="L272" i="6"/>
  <c r="A272" i="6"/>
  <c r="Q271" i="6"/>
  <c r="L271" i="6"/>
  <c r="A271" i="6"/>
  <c r="Q270" i="6"/>
  <c r="L270" i="6"/>
  <c r="I270" i="6"/>
  <c r="A270" i="6"/>
  <c r="F270" i="6" s="1"/>
  <c r="Q269" i="6"/>
  <c r="L269" i="6"/>
  <c r="N269" i="6" s="1"/>
  <c r="I269" i="6"/>
  <c r="F269" i="6"/>
  <c r="A269" i="6"/>
  <c r="S268" i="6"/>
  <c r="Q268" i="6"/>
  <c r="L268" i="6"/>
  <c r="I268" i="6"/>
  <c r="N268" i="6" s="1"/>
  <c r="A268" i="6"/>
  <c r="F268" i="6" s="1"/>
  <c r="Q267" i="6"/>
  <c r="L267" i="6"/>
  <c r="A267" i="6"/>
  <c r="Q266" i="6"/>
  <c r="L266" i="6"/>
  <c r="I266" i="6"/>
  <c r="A266" i="6"/>
  <c r="F266" i="6" s="1"/>
  <c r="Q265" i="6"/>
  <c r="A265" i="6"/>
  <c r="S264" i="6"/>
  <c r="Q264" i="6"/>
  <c r="L264" i="6"/>
  <c r="I264" i="6"/>
  <c r="N264" i="6" s="1"/>
  <c r="F264" i="6"/>
  <c r="A264" i="6"/>
  <c r="Q263" i="6"/>
  <c r="N263" i="6"/>
  <c r="L263" i="6"/>
  <c r="A263" i="6"/>
  <c r="I263" i="6" s="1"/>
  <c r="S262" i="6"/>
  <c r="Q262" i="6"/>
  <c r="L262" i="6"/>
  <c r="M420" i="6" s="1"/>
  <c r="I262" i="6"/>
  <c r="A262" i="6"/>
  <c r="F262" i="6" s="1"/>
  <c r="Q261" i="6"/>
  <c r="L261" i="6"/>
  <c r="I261" i="6"/>
  <c r="F261" i="6"/>
  <c r="A261" i="6"/>
  <c r="S260" i="6"/>
  <c r="Q260" i="6"/>
  <c r="L260" i="6"/>
  <c r="I260" i="6"/>
  <c r="N260" i="6" s="1"/>
  <c r="F260" i="6"/>
  <c r="A260" i="6"/>
  <c r="Q259" i="6"/>
  <c r="N259" i="6"/>
  <c r="L259" i="6"/>
  <c r="S259" i="6" s="1"/>
  <c r="A259" i="6"/>
  <c r="I259" i="6" s="1"/>
  <c r="S258" i="6"/>
  <c r="Q258" i="6"/>
  <c r="L258" i="6"/>
  <c r="I258" i="6"/>
  <c r="A258" i="6"/>
  <c r="F258" i="6" s="1"/>
  <c r="Q257" i="6"/>
  <c r="L257" i="6"/>
  <c r="I257" i="6"/>
  <c r="F257" i="6"/>
  <c r="A257" i="6"/>
  <c r="S256" i="6"/>
  <c r="Q256" i="6"/>
  <c r="L256" i="6"/>
  <c r="I256" i="6"/>
  <c r="N256" i="6" s="1"/>
  <c r="F256" i="6"/>
  <c r="A256" i="6"/>
  <c r="Q255" i="6"/>
  <c r="N255" i="6"/>
  <c r="L255" i="6"/>
  <c r="S255" i="6" s="1"/>
  <c r="A255" i="6"/>
  <c r="I255" i="6" s="1"/>
  <c r="S254" i="6"/>
  <c r="Q254" i="6"/>
  <c r="L254" i="6"/>
  <c r="I254" i="6"/>
  <c r="A254" i="6"/>
  <c r="F254" i="6" s="1"/>
  <c r="Q253" i="6"/>
  <c r="L253" i="6"/>
  <c r="I253" i="6"/>
  <c r="F253" i="6"/>
  <c r="A253" i="6"/>
  <c r="A252" i="6"/>
  <c r="A251" i="6"/>
  <c r="A250" i="6"/>
  <c r="P249" i="6"/>
  <c r="A249" i="6"/>
  <c r="A248" i="6"/>
  <c r="L247" i="6"/>
  <c r="I247" i="6"/>
  <c r="F247" i="6"/>
  <c r="A247" i="6"/>
  <c r="S246" i="6"/>
  <c r="Q246" i="6"/>
  <c r="S247" i="6" s="1"/>
  <c r="P246" i="6"/>
  <c r="O246" i="6"/>
  <c r="R246" i="6" s="1"/>
  <c r="N246" i="6"/>
  <c r="N247" i="6" s="1"/>
  <c r="L246" i="6"/>
  <c r="K246" i="6"/>
  <c r="M246" i="6" s="1"/>
  <c r="J246" i="6"/>
  <c r="A246" i="6"/>
  <c r="A245" i="6"/>
  <c r="S244" i="6"/>
  <c r="A244" i="6"/>
  <c r="R243" i="6"/>
  <c r="Q243" i="6"/>
  <c r="S243" i="6" s="1"/>
  <c r="P243" i="6"/>
  <c r="O243" i="6"/>
  <c r="N243" i="6"/>
  <c r="N244" i="6" s="1"/>
  <c r="L243" i="6"/>
  <c r="K265" i="6" s="1"/>
  <c r="K243" i="6"/>
  <c r="L244" i="6" s="1"/>
  <c r="J243" i="6"/>
  <c r="I243" i="6"/>
  <c r="F243" i="6"/>
  <c r="E243" i="6"/>
  <c r="A243" i="6"/>
  <c r="H243" i="6" s="1"/>
  <c r="A242" i="6"/>
  <c r="L241" i="6"/>
  <c r="A241" i="6"/>
  <c r="S240" i="6"/>
  <c r="Q240" i="6"/>
  <c r="Q241" i="6" s="1"/>
  <c r="P240" i="6"/>
  <c r="O240" i="6"/>
  <c r="R240" i="6" s="1"/>
  <c r="L240" i="6"/>
  <c r="K240" i="6"/>
  <c r="J240" i="6"/>
  <c r="G240" i="6"/>
  <c r="A240" i="6"/>
  <c r="A239" i="6"/>
  <c r="A238" i="6"/>
  <c r="N231" i="6"/>
  <c r="S227" i="6"/>
  <c r="Q227" i="6"/>
  <c r="L227" i="6"/>
  <c r="I227" i="6"/>
  <c r="F227" i="6"/>
  <c r="A227" i="6"/>
  <c r="Q226" i="6"/>
  <c r="S226" i="6" s="1"/>
  <c r="L226" i="6"/>
  <c r="F226" i="6"/>
  <c r="A226" i="6"/>
  <c r="I226" i="6" s="1"/>
  <c r="N226" i="6" s="1"/>
  <c r="Q225" i="6"/>
  <c r="L225" i="6"/>
  <c r="S225" i="6" s="1"/>
  <c r="A225" i="6"/>
  <c r="Q224" i="6"/>
  <c r="L224" i="6"/>
  <c r="I224" i="6"/>
  <c r="A224" i="6"/>
  <c r="F224" i="6" s="1"/>
  <c r="S223" i="6"/>
  <c r="Q223" i="6"/>
  <c r="L223" i="6"/>
  <c r="N223" i="6" s="1"/>
  <c r="I223" i="6"/>
  <c r="F223" i="6"/>
  <c r="A223" i="6"/>
  <c r="Q222" i="6"/>
  <c r="S222" i="6" s="1"/>
  <c r="L222" i="6"/>
  <c r="F222" i="6"/>
  <c r="A222" i="6"/>
  <c r="I222" i="6" s="1"/>
  <c r="N222" i="6" s="1"/>
  <c r="Q221" i="6"/>
  <c r="L221" i="6"/>
  <c r="S221" i="6" s="1"/>
  <c r="A221" i="6"/>
  <c r="Q220" i="6"/>
  <c r="L220" i="6"/>
  <c r="I220" i="6"/>
  <c r="A220" i="6"/>
  <c r="F220" i="6" s="1"/>
  <c r="S219" i="6"/>
  <c r="Q219" i="6"/>
  <c r="L219" i="6"/>
  <c r="I219" i="6"/>
  <c r="F219" i="6"/>
  <c r="A219" i="6"/>
  <c r="Q218" i="6"/>
  <c r="S218" i="6" s="1"/>
  <c r="L218" i="6"/>
  <c r="F218" i="6"/>
  <c r="A218" i="6"/>
  <c r="I218" i="6" s="1"/>
  <c r="N218" i="6" s="1"/>
  <c r="Q217" i="6"/>
  <c r="L217" i="6"/>
  <c r="S217" i="6" s="1"/>
  <c r="A217" i="6"/>
  <c r="Q216" i="6"/>
  <c r="L216" i="6"/>
  <c r="A216" i="6"/>
  <c r="Q215" i="6"/>
  <c r="L215" i="6"/>
  <c r="S215" i="6" s="1"/>
  <c r="A215" i="6"/>
  <c r="Q214" i="6"/>
  <c r="L214" i="6"/>
  <c r="I214" i="6"/>
  <c r="A214" i="6"/>
  <c r="F214" i="6" s="1"/>
  <c r="S213" i="6"/>
  <c r="Q213" i="6"/>
  <c r="L213" i="6"/>
  <c r="I213" i="6"/>
  <c r="F213" i="6"/>
  <c r="A213" i="6"/>
  <c r="Q212" i="6"/>
  <c r="S212" i="6" s="1"/>
  <c r="L212" i="6"/>
  <c r="F212" i="6"/>
  <c r="A212" i="6"/>
  <c r="I212" i="6" s="1"/>
  <c r="N212" i="6" s="1"/>
  <c r="Q211" i="6"/>
  <c r="Q228" i="6" s="1"/>
  <c r="L211" i="6"/>
  <c r="S211" i="6" s="1"/>
  <c r="A211" i="6"/>
  <c r="Q210" i="6"/>
  <c r="L210" i="6"/>
  <c r="I210" i="6"/>
  <c r="A210" i="6"/>
  <c r="F210" i="6" s="1"/>
  <c r="A209" i="6"/>
  <c r="Q208" i="6"/>
  <c r="S208" i="6" s="1"/>
  <c r="L208" i="6"/>
  <c r="F208" i="6"/>
  <c r="A208" i="6"/>
  <c r="I208" i="6" s="1"/>
  <c r="N208" i="6" s="1"/>
  <c r="Q207" i="6"/>
  <c r="L207" i="6"/>
  <c r="M413" i="6" s="1"/>
  <c r="A207" i="6"/>
  <c r="Q206" i="6"/>
  <c r="L206" i="6"/>
  <c r="I206" i="6"/>
  <c r="A206" i="6"/>
  <c r="F206" i="6" s="1"/>
  <c r="S205" i="6"/>
  <c r="Q205" i="6"/>
  <c r="L205" i="6"/>
  <c r="M411" i="6" s="1"/>
  <c r="I205" i="6"/>
  <c r="F205" i="6"/>
  <c r="A205" i="6"/>
  <c r="Q204" i="6"/>
  <c r="S204" i="6" s="1"/>
  <c r="L204" i="6"/>
  <c r="F204" i="6"/>
  <c r="A204" i="6"/>
  <c r="I204" i="6" s="1"/>
  <c r="N204" i="6" s="1"/>
  <c r="Q203" i="6"/>
  <c r="L203" i="6"/>
  <c r="S203" i="6" s="1"/>
  <c r="A203" i="6"/>
  <c r="Q202" i="6"/>
  <c r="L202" i="6"/>
  <c r="I202" i="6"/>
  <c r="A202" i="6"/>
  <c r="F202" i="6" s="1"/>
  <c r="S201" i="6"/>
  <c r="Q201" i="6"/>
  <c r="L201" i="6"/>
  <c r="I201" i="6"/>
  <c r="F201" i="6"/>
  <c r="A201" i="6"/>
  <c r="Q200" i="6"/>
  <c r="S200" i="6" s="1"/>
  <c r="L200" i="6"/>
  <c r="F200" i="6"/>
  <c r="A200" i="6"/>
  <c r="I200" i="6" s="1"/>
  <c r="N200" i="6" s="1"/>
  <c r="Q199" i="6"/>
  <c r="L199" i="6"/>
  <c r="S199" i="6" s="1"/>
  <c r="A199" i="6"/>
  <c r="Q198" i="6"/>
  <c r="L198" i="6"/>
  <c r="I198" i="6"/>
  <c r="A198" i="6"/>
  <c r="F198" i="6" s="1"/>
  <c r="S197" i="6"/>
  <c r="Q197" i="6"/>
  <c r="Q209" i="6" s="1"/>
  <c r="L197" i="6"/>
  <c r="N197" i="6" s="1"/>
  <c r="I197" i="6"/>
  <c r="F197" i="6"/>
  <c r="A197" i="6"/>
  <c r="A196" i="6"/>
  <c r="A195" i="6"/>
  <c r="A194" i="6"/>
  <c r="A193" i="6"/>
  <c r="A192" i="6"/>
  <c r="Q191" i="6"/>
  <c r="L191" i="6"/>
  <c r="I191" i="6"/>
  <c r="A191" i="6"/>
  <c r="P190" i="6"/>
  <c r="K190" i="6"/>
  <c r="E190" i="6"/>
  <c r="A190" i="6"/>
  <c r="I190" i="6" s="1"/>
  <c r="A189" i="6"/>
  <c r="L188" i="6"/>
  <c r="A188" i="6"/>
  <c r="S187" i="6"/>
  <c r="R187" i="6"/>
  <c r="Q187" i="6"/>
  <c r="P187" i="6"/>
  <c r="Q188" i="6" s="1"/>
  <c r="L187" i="6"/>
  <c r="K187" i="6"/>
  <c r="I187" i="6"/>
  <c r="N187" i="6" s="1"/>
  <c r="A187" i="6"/>
  <c r="A186" i="6"/>
  <c r="H185" i="6"/>
  <c r="A185" i="6"/>
  <c r="A184" i="6"/>
  <c r="Q183" i="6"/>
  <c r="S183" i="6" s="1"/>
  <c r="L183" i="6"/>
  <c r="F183" i="6"/>
  <c r="A183" i="6"/>
  <c r="I183" i="6" s="1"/>
  <c r="N183" i="6" s="1"/>
  <c r="A182" i="6"/>
  <c r="P181" i="6"/>
  <c r="M181" i="6"/>
  <c r="K181" i="6"/>
  <c r="A181" i="6"/>
  <c r="Q180" i="6"/>
  <c r="P180" i="6"/>
  <c r="O180" i="6"/>
  <c r="R180" i="6" s="1"/>
  <c r="L180" i="6"/>
  <c r="K180" i="6"/>
  <c r="J180" i="6"/>
  <c r="A180" i="6"/>
  <c r="H180" i="6" s="1"/>
  <c r="M180" i="6" s="1"/>
  <c r="A179" i="6"/>
  <c r="R178" i="6"/>
  <c r="Q178" i="6"/>
  <c r="A178" i="6"/>
  <c r="S177" i="6"/>
  <c r="R177" i="6"/>
  <c r="Q177" i="6"/>
  <c r="P177" i="6"/>
  <c r="O177" i="6"/>
  <c r="L177" i="6"/>
  <c r="L178" i="6" s="1"/>
  <c r="K177" i="6"/>
  <c r="J177" i="6"/>
  <c r="J184" i="6" s="1"/>
  <c r="G177" i="6"/>
  <c r="F177" i="6"/>
  <c r="A177" i="6"/>
  <c r="A176" i="6"/>
  <c r="A175" i="6"/>
  <c r="Q174" i="6"/>
  <c r="P174" i="6"/>
  <c r="O174" i="6"/>
  <c r="R174" i="6" s="1"/>
  <c r="L174" i="6"/>
  <c r="K174" i="6"/>
  <c r="J174" i="6"/>
  <c r="H174" i="6"/>
  <c r="G174" i="6"/>
  <c r="D174" i="6"/>
  <c r="A174" i="6"/>
  <c r="E173" i="6"/>
  <c r="A173" i="6"/>
  <c r="A172" i="6"/>
  <c r="Q171" i="6"/>
  <c r="P171" i="6"/>
  <c r="O171" i="6"/>
  <c r="L171" i="6"/>
  <c r="L172" i="6" s="1"/>
  <c r="K171" i="6"/>
  <c r="J171" i="6"/>
  <c r="K173" i="6" s="1"/>
  <c r="I171" i="6"/>
  <c r="H171" i="6"/>
  <c r="M171" i="6" s="1"/>
  <c r="F171" i="6"/>
  <c r="F172" i="6" s="1"/>
  <c r="E171" i="6"/>
  <c r="D171" i="6"/>
  <c r="A171" i="6"/>
  <c r="G171" i="6" s="1"/>
  <c r="A170" i="6"/>
  <c r="Q161" i="6"/>
  <c r="L161" i="6"/>
  <c r="S161" i="6" s="1"/>
  <c r="A161" i="6"/>
  <c r="Q160" i="6"/>
  <c r="L160" i="6"/>
  <c r="N160" i="6" s="1"/>
  <c r="I160" i="6"/>
  <c r="A160" i="6"/>
  <c r="F160" i="6" s="1"/>
  <c r="Q159" i="6"/>
  <c r="S159" i="6" s="1"/>
  <c r="L159" i="6"/>
  <c r="N159" i="6" s="1"/>
  <c r="I159" i="6"/>
  <c r="F159" i="6"/>
  <c r="A159" i="6"/>
  <c r="A158" i="6"/>
  <c r="I158" i="6" s="1"/>
  <c r="Q157" i="6"/>
  <c r="L157" i="6"/>
  <c r="S157" i="6" s="1"/>
  <c r="A157" i="6"/>
  <c r="S156" i="6"/>
  <c r="Q156" i="6"/>
  <c r="L156" i="6"/>
  <c r="I156" i="6"/>
  <c r="A156" i="6"/>
  <c r="F156" i="6" s="1"/>
  <c r="Q155" i="6"/>
  <c r="S155" i="6" s="1"/>
  <c r="F155" i="6"/>
  <c r="A155" i="6"/>
  <c r="I155" i="6" s="1"/>
  <c r="N155" i="6" s="1"/>
  <c r="A154" i="6"/>
  <c r="A153" i="6"/>
  <c r="A152" i="6"/>
  <c r="S151" i="6"/>
  <c r="Q151" i="6"/>
  <c r="L151" i="6"/>
  <c r="I151" i="6"/>
  <c r="A151" i="6"/>
  <c r="F151" i="6" s="1"/>
  <c r="Q150" i="6"/>
  <c r="S150" i="6" s="1"/>
  <c r="L150" i="6"/>
  <c r="N150" i="6" s="1"/>
  <c r="I150" i="6"/>
  <c r="F150" i="6"/>
  <c r="A150" i="6"/>
  <c r="S149" i="6"/>
  <c r="Q149" i="6"/>
  <c r="L149" i="6"/>
  <c r="I149" i="6"/>
  <c r="N149" i="6" s="1"/>
  <c r="F149" i="6"/>
  <c r="A149" i="6"/>
  <c r="Q148" i="6"/>
  <c r="N148" i="6"/>
  <c r="L148" i="6"/>
  <c r="S148" i="6" s="1"/>
  <c r="A148" i="6"/>
  <c r="I148" i="6" s="1"/>
  <c r="S147" i="6"/>
  <c r="Q147" i="6"/>
  <c r="L147" i="6"/>
  <c r="N147" i="6" s="1"/>
  <c r="I147" i="6"/>
  <c r="A147" i="6"/>
  <c r="F147" i="6" s="1"/>
  <c r="Q146" i="6"/>
  <c r="L146" i="6"/>
  <c r="N146" i="6" s="1"/>
  <c r="I146" i="6"/>
  <c r="F146" i="6"/>
  <c r="A146" i="6"/>
  <c r="S145" i="6"/>
  <c r="Q145" i="6"/>
  <c r="L145" i="6"/>
  <c r="I145" i="6"/>
  <c r="N145" i="6" s="1"/>
  <c r="F145" i="6"/>
  <c r="A145" i="6"/>
  <c r="Q144" i="6"/>
  <c r="N144" i="6"/>
  <c r="L144" i="6"/>
  <c r="S144" i="6" s="1"/>
  <c r="A144" i="6"/>
  <c r="I144" i="6" s="1"/>
  <c r="S143" i="6"/>
  <c r="Q143" i="6"/>
  <c r="L143" i="6"/>
  <c r="N143" i="6" s="1"/>
  <c r="I143" i="6"/>
  <c r="A143" i="6"/>
  <c r="F143" i="6" s="1"/>
  <c r="Q142" i="6"/>
  <c r="L142" i="6"/>
  <c r="N142" i="6" s="1"/>
  <c r="I142" i="6"/>
  <c r="F142" i="6"/>
  <c r="A142" i="6"/>
  <c r="S141" i="6"/>
  <c r="Q141" i="6"/>
  <c r="L141" i="6"/>
  <c r="I141" i="6"/>
  <c r="N141" i="6" s="1"/>
  <c r="F141" i="6"/>
  <c r="A141" i="6"/>
  <c r="Q140" i="6"/>
  <c r="L140" i="6"/>
  <c r="S140" i="6" s="1"/>
  <c r="A140" i="6"/>
  <c r="I140" i="6" s="1"/>
  <c r="Q139" i="6"/>
  <c r="L139" i="6"/>
  <c r="S139" i="6" s="1"/>
  <c r="A139" i="6"/>
  <c r="F139" i="6" s="1"/>
  <c r="Q138" i="6"/>
  <c r="L138" i="6"/>
  <c r="N138" i="6" s="1"/>
  <c r="I138" i="6"/>
  <c r="F138" i="6"/>
  <c r="A138" i="6"/>
  <c r="Q137" i="6"/>
  <c r="S137" i="6" s="1"/>
  <c r="L137" i="6"/>
  <c r="I137" i="6"/>
  <c r="N137" i="6" s="1"/>
  <c r="F137" i="6"/>
  <c r="A137" i="6"/>
  <c r="Q136" i="6"/>
  <c r="Q152" i="6" s="1"/>
  <c r="L136" i="6"/>
  <c r="A136" i="6"/>
  <c r="I136" i="6" s="1"/>
  <c r="Q135" i="6"/>
  <c r="L135" i="6"/>
  <c r="L152" i="6" s="1"/>
  <c r="A135" i="6"/>
  <c r="F135" i="6" s="1"/>
  <c r="A134" i="6"/>
  <c r="S133" i="6"/>
  <c r="Q133" i="6"/>
  <c r="L133" i="6"/>
  <c r="I133" i="6"/>
  <c r="N133" i="6" s="1"/>
  <c r="A133" i="6"/>
  <c r="F133" i="6" s="1"/>
  <c r="Q132" i="6"/>
  <c r="N132" i="6"/>
  <c r="L132" i="6"/>
  <c r="F132" i="6"/>
  <c r="A132" i="6"/>
  <c r="I132" i="6" s="1"/>
  <c r="S131" i="6"/>
  <c r="Q131" i="6"/>
  <c r="L131" i="6"/>
  <c r="M407" i="6" s="1"/>
  <c r="I131" i="6"/>
  <c r="A131" i="6"/>
  <c r="F131" i="6" s="1"/>
  <c r="Q130" i="6"/>
  <c r="L130" i="6"/>
  <c r="M406" i="6" s="1"/>
  <c r="A130" i="6"/>
  <c r="I130" i="6" s="1"/>
  <c r="Q129" i="6"/>
  <c r="L129" i="6"/>
  <c r="S129" i="6" s="1"/>
  <c r="I129" i="6"/>
  <c r="F129" i="6"/>
  <c r="A129" i="6"/>
  <c r="S128" i="6"/>
  <c r="Q128" i="6"/>
  <c r="L128" i="6"/>
  <c r="I128" i="6"/>
  <c r="N128" i="6" s="1"/>
  <c r="F128" i="6"/>
  <c r="A128" i="6"/>
  <c r="Q127" i="6"/>
  <c r="L127" i="6"/>
  <c r="S127" i="6" s="1"/>
  <c r="F127" i="6"/>
  <c r="A127" i="6"/>
  <c r="I127" i="6" s="1"/>
  <c r="N127" i="6" s="1"/>
  <c r="Q126" i="6"/>
  <c r="L126" i="6"/>
  <c r="S126" i="6" s="1"/>
  <c r="A126" i="6"/>
  <c r="I126" i="6" s="1"/>
  <c r="N126" i="6" s="1"/>
  <c r="Q125" i="6"/>
  <c r="L125" i="6"/>
  <c r="S125" i="6" s="1"/>
  <c r="I125" i="6"/>
  <c r="F125" i="6"/>
  <c r="A125" i="6"/>
  <c r="S124" i="6"/>
  <c r="Q124" i="6"/>
  <c r="L124" i="6"/>
  <c r="I124" i="6"/>
  <c r="N124" i="6" s="1"/>
  <c r="F124" i="6"/>
  <c r="A124" i="6"/>
  <c r="Q123" i="6"/>
  <c r="Q134" i="6" s="1"/>
  <c r="L123" i="6"/>
  <c r="F123" i="6"/>
  <c r="A123" i="6"/>
  <c r="I123" i="6" s="1"/>
  <c r="N123" i="6" s="1"/>
  <c r="Q122" i="6"/>
  <c r="L122" i="6"/>
  <c r="L134" i="6" s="1"/>
  <c r="A122" i="6"/>
  <c r="A121" i="6"/>
  <c r="Q120" i="6"/>
  <c r="L120" i="6"/>
  <c r="S120" i="6" s="1"/>
  <c r="F120" i="6"/>
  <c r="A120" i="6"/>
  <c r="I120" i="6" s="1"/>
  <c r="Q119" i="6"/>
  <c r="L119" i="6"/>
  <c r="I119" i="6"/>
  <c r="A119" i="6"/>
  <c r="F119" i="6" s="1"/>
  <c r="E119" i="6" s="1"/>
  <c r="Q118" i="6"/>
  <c r="L118" i="6"/>
  <c r="S118" i="6" s="1"/>
  <c r="I118" i="6"/>
  <c r="A118" i="6"/>
  <c r="F118" i="6" s="1"/>
  <c r="E118" i="6" s="1"/>
  <c r="Q117" i="6"/>
  <c r="L117" i="6"/>
  <c r="A117" i="6"/>
  <c r="F117" i="6" s="1"/>
  <c r="E117" i="6" s="1"/>
  <c r="Q116" i="6"/>
  <c r="L116" i="6"/>
  <c r="N116" i="6" s="1"/>
  <c r="F116" i="6"/>
  <c r="A116" i="6"/>
  <c r="I116" i="6" s="1"/>
  <c r="Q115" i="6"/>
  <c r="L115" i="6"/>
  <c r="S115" i="6" s="1"/>
  <c r="I115" i="6"/>
  <c r="F115" i="6"/>
  <c r="E115" i="6" s="1"/>
  <c r="A115" i="6"/>
  <c r="Q114" i="6"/>
  <c r="S114" i="6" s="1"/>
  <c r="L114" i="6"/>
  <c r="I114" i="6"/>
  <c r="A114" i="6"/>
  <c r="F114" i="6" s="1"/>
  <c r="E114" i="6" s="1"/>
  <c r="Q113" i="6"/>
  <c r="L113" i="6"/>
  <c r="A113" i="6"/>
  <c r="F113" i="6" s="1"/>
  <c r="E113" i="6" s="1"/>
  <c r="Q112" i="6"/>
  <c r="L112" i="6"/>
  <c r="I112" i="6"/>
  <c r="F112" i="6"/>
  <c r="E112" i="6" s="1"/>
  <c r="A112" i="6"/>
  <c r="Q111" i="6"/>
  <c r="L111" i="6"/>
  <c r="L121" i="6" s="1"/>
  <c r="A111" i="6"/>
  <c r="I111" i="6" s="1"/>
  <c r="A110" i="6"/>
  <c r="A109" i="6"/>
  <c r="A108" i="6"/>
  <c r="A107" i="6"/>
  <c r="A106" i="6"/>
  <c r="A105" i="6"/>
  <c r="A104" i="6"/>
  <c r="Q103" i="6"/>
  <c r="L103" i="6"/>
  <c r="S103" i="6" s="1"/>
  <c r="A103" i="6"/>
  <c r="F103" i="6" s="1"/>
  <c r="Q102" i="6"/>
  <c r="Q104" i="6" s="1"/>
  <c r="L102" i="6"/>
  <c r="F102" i="6"/>
  <c r="A102" i="6"/>
  <c r="D102" i="6" s="1"/>
  <c r="E102" i="6" s="1"/>
  <c r="Q101" i="6"/>
  <c r="L101" i="6"/>
  <c r="L104" i="6" s="1"/>
  <c r="J112" i="6" s="1"/>
  <c r="A101" i="6"/>
  <c r="F101" i="6" s="1"/>
  <c r="F104" i="6" s="1"/>
  <c r="A100" i="6"/>
  <c r="S99" i="6"/>
  <c r="Q99" i="6"/>
  <c r="O99" i="6"/>
  <c r="L99" i="6"/>
  <c r="J99" i="6"/>
  <c r="K99" i="6" s="1"/>
  <c r="G99" i="6"/>
  <c r="F99" i="6"/>
  <c r="E99" i="6"/>
  <c r="A99" i="6"/>
  <c r="D99" i="6" s="1"/>
  <c r="A98" i="6"/>
  <c r="H97" i="6"/>
  <c r="E97" i="6"/>
  <c r="A97" i="6"/>
  <c r="O96" i="6"/>
  <c r="Q158" i="6" s="1"/>
  <c r="D96" i="6"/>
  <c r="E120" i="6" s="1"/>
  <c r="A96" i="6"/>
  <c r="S95" i="6"/>
  <c r="Q95" i="6"/>
  <c r="P95" i="6"/>
  <c r="O95" i="6"/>
  <c r="L95" i="6"/>
  <c r="J95" i="6"/>
  <c r="R95" i="6" s="1"/>
  <c r="G95" i="6"/>
  <c r="F95" i="6"/>
  <c r="E95" i="6"/>
  <c r="A95" i="6"/>
  <c r="D95" i="6" s="1"/>
  <c r="Q94" i="6"/>
  <c r="Q96" i="6" s="1"/>
  <c r="Q107" i="6" s="1"/>
  <c r="O94" i="6"/>
  <c r="P94" i="6" s="1"/>
  <c r="L94" i="6"/>
  <c r="N94" i="6" s="1"/>
  <c r="J94" i="6"/>
  <c r="G94" i="6"/>
  <c r="H94" i="6" s="1"/>
  <c r="D94" i="6"/>
  <c r="A94" i="6"/>
  <c r="I94" i="6" s="1"/>
  <c r="Q93" i="6"/>
  <c r="L93" i="6"/>
  <c r="A93" i="6"/>
  <c r="F93" i="6" s="1"/>
  <c r="B85" i="6"/>
  <c r="A85" i="6"/>
  <c r="B84" i="6"/>
  <c r="A84" i="6"/>
  <c r="B83" i="6"/>
  <c r="A83" i="6"/>
  <c r="F82" i="6"/>
  <c r="B82" i="6"/>
  <c r="Q82" i="6" s="1"/>
  <c r="A82" i="6"/>
  <c r="I82" i="6" s="1"/>
  <c r="B81" i="6"/>
  <c r="Q81" i="6" s="1"/>
  <c r="A81" i="6"/>
  <c r="I81" i="6" s="1"/>
  <c r="L80" i="6"/>
  <c r="F80" i="6"/>
  <c r="B80" i="6"/>
  <c r="Q80" i="6" s="1"/>
  <c r="A80" i="6"/>
  <c r="I80" i="6" s="1"/>
  <c r="N80" i="6" s="1"/>
  <c r="B79" i="6"/>
  <c r="Q79" i="6" s="1"/>
  <c r="A79" i="6"/>
  <c r="I79" i="6" s="1"/>
  <c r="L78" i="6"/>
  <c r="N78" i="6" s="1"/>
  <c r="F78" i="6"/>
  <c r="B78" i="6"/>
  <c r="Q78" i="6" s="1"/>
  <c r="A78" i="6"/>
  <c r="I78" i="6" s="1"/>
  <c r="B77" i="6"/>
  <c r="Q77" i="6" s="1"/>
  <c r="A77" i="6"/>
  <c r="I77" i="6" s="1"/>
  <c r="L76" i="6"/>
  <c r="N76" i="6" s="1"/>
  <c r="F76" i="6"/>
  <c r="B76" i="6"/>
  <c r="Q76" i="6" s="1"/>
  <c r="A76" i="6"/>
  <c r="I76" i="6" s="1"/>
  <c r="L75" i="6"/>
  <c r="B75" i="6"/>
  <c r="Q75" i="6" s="1"/>
  <c r="A75" i="6"/>
  <c r="F75" i="6" s="1"/>
  <c r="B74" i="6"/>
  <c r="A74" i="6"/>
  <c r="B73" i="6"/>
  <c r="A73" i="6" s="1"/>
  <c r="B72" i="6"/>
  <c r="A72" i="6" s="1"/>
  <c r="B71" i="6"/>
  <c r="B70" i="6"/>
  <c r="Q69" i="6"/>
  <c r="S69" i="6" s="1"/>
  <c r="B69" i="6"/>
  <c r="A69" i="6"/>
  <c r="I69" i="6" s="1"/>
  <c r="N69" i="6" s="1"/>
  <c r="Q68" i="6"/>
  <c r="L68" i="6"/>
  <c r="S68" i="6" s="1"/>
  <c r="F68" i="6"/>
  <c r="B68" i="6"/>
  <c r="A68" i="6"/>
  <c r="I68" i="6" s="1"/>
  <c r="B67" i="6"/>
  <c r="Q67" i="6" s="1"/>
  <c r="A67" i="6"/>
  <c r="I67" i="6" s="1"/>
  <c r="L66" i="6"/>
  <c r="N66" i="6" s="1"/>
  <c r="F66" i="6"/>
  <c r="B66" i="6"/>
  <c r="Q66" i="6" s="1"/>
  <c r="A66" i="6"/>
  <c r="I66" i="6" s="1"/>
  <c r="B65" i="6"/>
  <c r="Q65" i="6" s="1"/>
  <c r="A65" i="6"/>
  <c r="I65" i="6" s="1"/>
  <c r="L64" i="6"/>
  <c r="N64" i="6" s="1"/>
  <c r="F64" i="6"/>
  <c r="B64" i="6"/>
  <c r="Q64" i="6" s="1"/>
  <c r="A64" i="6"/>
  <c r="I64" i="6" s="1"/>
  <c r="B63" i="6"/>
  <c r="L63" i="6" s="1"/>
  <c r="A63" i="6"/>
  <c r="I63" i="6" s="1"/>
  <c r="L62" i="6"/>
  <c r="F62" i="6"/>
  <c r="B62" i="6"/>
  <c r="Q62" i="6" s="1"/>
  <c r="A62" i="6"/>
  <c r="I62" i="6" s="1"/>
  <c r="B61" i="6"/>
  <c r="L61" i="6" s="1"/>
  <c r="A61" i="6"/>
  <c r="I61" i="6" s="1"/>
  <c r="L60" i="6"/>
  <c r="F60" i="6"/>
  <c r="B60" i="6"/>
  <c r="Q60" i="6" s="1"/>
  <c r="A60" i="6"/>
  <c r="I60" i="6" s="1"/>
  <c r="B59" i="6"/>
  <c r="Q59" i="6" s="1"/>
  <c r="A59" i="6"/>
  <c r="I59" i="6" s="1"/>
  <c r="L58" i="6"/>
  <c r="N58" i="6" s="1"/>
  <c r="I58" i="6"/>
  <c r="B58" i="6"/>
  <c r="Q58" i="6" s="1"/>
  <c r="A58" i="6"/>
  <c r="F58" i="6" s="1"/>
  <c r="L57" i="6"/>
  <c r="N57" i="6" s="1"/>
  <c r="I57" i="6"/>
  <c r="B57" i="6"/>
  <c r="Q57" i="6" s="1"/>
  <c r="S57" i="6" s="1"/>
  <c r="A57" i="6"/>
  <c r="F57" i="6" s="1"/>
  <c r="L56" i="6"/>
  <c r="N56" i="6" s="1"/>
  <c r="I56" i="6"/>
  <c r="B56" i="6"/>
  <c r="Q56" i="6" s="1"/>
  <c r="S56" i="6" s="1"/>
  <c r="A56" i="6"/>
  <c r="F56" i="6" s="1"/>
  <c r="L55" i="6"/>
  <c r="I55" i="6"/>
  <c r="B55" i="6"/>
  <c r="Q55" i="6" s="1"/>
  <c r="A55" i="6"/>
  <c r="F55" i="6" s="1"/>
  <c r="B54" i="6"/>
  <c r="A54" i="6"/>
  <c r="L53" i="6"/>
  <c r="N53" i="6" s="1"/>
  <c r="I53" i="6"/>
  <c r="B53" i="6"/>
  <c r="Q53" i="6" s="1"/>
  <c r="S53" i="6" s="1"/>
  <c r="A53" i="6"/>
  <c r="F53" i="6" s="1"/>
  <c r="L52" i="6"/>
  <c r="M403" i="6" s="1"/>
  <c r="I52" i="6"/>
  <c r="B52" i="6"/>
  <c r="Q52" i="6" s="1"/>
  <c r="S52" i="6" s="1"/>
  <c r="A52" i="6"/>
  <c r="F52" i="6" s="1"/>
  <c r="L51" i="6"/>
  <c r="M402" i="6" s="1"/>
  <c r="I51" i="6"/>
  <c r="B51" i="6"/>
  <c r="Q51" i="6" s="1"/>
  <c r="S51" i="6" s="1"/>
  <c r="A51" i="6"/>
  <c r="F51" i="6" s="1"/>
  <c r="L50" i="6"/>
  <c r="M401" i="6" s="1"/>
  <c r="I50" i="6"/>
  <c r="N401" i="6" s="1"/>
  <c r="B50" i="6"/>
  <c r="Q50" i="6" s="1"/>
  <c r="S50" i="6" s="1"/>
  <c r="A50" i="6"/>
  <c r="F50" i="6" s="1"/>
  <c r="L49" i="6"/>
  <c r="N49" i="6" s="1"/>
  <c r="I49" i="6"/>
  <c r="B49" i="6"/>
  <c r="Q49" i="6" s="1"/>
  <c r="S49" i="6" s="1"/>
  <c r="A49" i="6"/>
  <c r="F49" i="6" s="1"/>
  <c r="L48" i="6"/>
  <c r="N48" i="6" s="1"/>
  <c r="I48" i="6"/>
  <c r="B48" i="6"/>
  <c r="Q48" i="6" s="1"/>
  <c r="S48" i="6" s="1"/>
  <c r="A48" i="6"/>
  <c r="F48" i="6" s="1"/>
  <c r="L47" i="6"/>
  <c r="N47" i="6" s="1"/>
  <c r="I47" i="6"/>
  <c r="B47" i="6"/>
  <c r="Q47" i="6" s="1"/>
  <c r="S47" i="6" s="1"/>
  <c r="A47" i="6"/>
  <c r="F47" i="6" s="1"/>
  <c r="L46" i="6"/>
  <c r="N46" i="6" s="1"/>
  <c r="I46" i="6"/>
  <c r="B46" i="6"/>
  <c r="Q46" i="6" s="1"/>
  <c r="S46" i="6" s="1"/>
  <c r="A46" i="6"/>
  <c r="F46" i="6" s="1"/>
  <c r="L45" i="6"/>
  <c r="I45" i="6"/>
  <c r="B45" i="6"/>
  <c r="Q45" i="6" s="1"/>
  <c r="A45" i="6"/>
  <c r="F45" i="6" s="1"/>
  <c r="L44" i="6"/>
  <c r="I44" i="6"/>
  <c r="B44" i="6"/>
  <c r="Q44" i="6" s="1"/>
  <c r="A44" i="6"/>
  <c r="F44" i="6" s="1"/>
  <c r="L43" i="6"/>
  <c r="S43" i="6" s="1"/>
  <c r="B43" i="6"/>
  <c r="Q43" i="6" s="1"/>
  <c r="A43" i="6"/>
  <c r="I43" i="6" s="1"/>
  <c r="L42" i="6"/>
  <c r="L54" i="6" s="1"/>
  <c r="B42" i="6"/>
  <c r="Q42" i="6" s="1"/>
  <c r="A42" i="6"/>
  <c r="I42" i="6" s="1"/>
  <c r="B41" i="6"/>
  <c r="A41" i="6"/>
  <c r="L40" i="6"/>
  <c r="F40" i="6"/>
  <c r="E40" i="6" s="1"/>
  <c r="B40" i="6"/>
  <c r="Q40" i="6" s="1"/>
  <c r="P40" i="6" s="1"/>
  <c r="A40" i="6"/>
  <c r="I40" i="6" s="1"/>
  <c r="H40" i="6" s="1"/>
  <c r="L39" i="6"/>
  <c r="N39" i="6" s="1"/>
  <c r="F39" i="6"/>
  <c r="E39" i="6" s="1"/>
  <c r="B39" i="6"/>
  <c r="Q39" i="6" s="1"/>
  <c r="P39" i="6" s="1"/>
  <c r="A39" i="6"/>
  <c r="I39" i="6" s="1"/>
  <c r="H39" i="6" s="1"/>
  <c r="L38" i="6"/>
  <c r="F38" i="6"/>
  <c r="E38" i="6" s="1"/>
  <c r="B38" i="6"/>
  <c r="Q38" i="6" s="1"/>
  <c r="P38" i="6" s="1"/>
  <c r="A38" i="6"/>
  <c r="I38" i="6" s="1"/>
  <c r="H38" i="6" s="1"/>
  <c r="L37" i="6"/>
  <c r="N37" i="6" s="1"/>
  <c r="F37" i="6"/>
  <c r="E37" i="6" s="1"/>
  <c r="B37" i="6"/>
  <c r="Q37" i="6" s="1"/>
  <c r="A37" i="6"/>
  <c r="I37" i="6" s="1"/>
  <c r="H37" i="6" s="1"/>
  <c r="L36" i="6"/>
  <c r="F36" i="6"/>
  <c r="E36" i="6" s="1"/>
  <c r="B36" i="6"/>
  <c r="Q36" i="6" s="1"/>
  <c r="A36" i="6"/>
  <c r="I36" i="6" s="1"/>
  <c r="H36" i="6" s="1"/>
  <c r="B35" i="6"/>
  <c r="L35" i="6" s="1"/>
  <c r="A35" i="6"/>
  <c r="I35" i="6" s="1"/>
  <c r="H35" i="6" s="1"/>
  <c r="B34" i="6"/>
  <c r="A34" i="6" s="1"/>
  <c r="Q33" i="6"/>
  <c r="L33" i="6"/>
  <c r="S33" i="6" s="1"/>
  <c r="F33" i="6"/>
  <c r="E33" i="6"/>
  <c r="B33" i="6"/>
  <c r="A33" i="6"/>
  <c r="I33" i="6" s="1"/>
  <c r="H33" i="6" s="1"/>
  <c r="L32" i="6"/>
  <c r="N32" i="6" s="1"/>
  <c r="I32" i="6"/>
  <c r="H32" i="6"/>
  <c r="B32" i="6"/>
  <c r="Q32" i="6" s="1"/>
  <c r="A32" i="6"/>
  <c r="F32" i="6" s="1"/>
  <c r="B31" i="6"/>
  <c r="L31" i="6" s="1"/>
  <c r="B30" i="6"/>
  <c r="A30" i="6"/>
  <c r="B29" i="6"/>
  <c r="A29" i="6" s="1"/>
  <c r="B28" i="6"/>
  <c r="A28" i="6"/>
  <c r="G27" i="6"/>
  <c r="D27" i="6"/>
  <c r="B27" i="6"/>
  <c r="A27" i="6" s="1"/>
  <c r="B26" i="6"/>
  <c r="A26" i="6"/>
  <c r="B25" i="6"/>
  <c r="A25" i="6"/>
  <c r="G24" i="6"/>
  <c r="D24" i="6"/>
  <c r="B24" i="6"/>
  <c r="A24" i="6"/>
  <c r="H23" i="6"/>
  <c r="E23" i="6"/>
  <c r="B23" i="6"/>
  <c r="Q23" i="6" s="1"/>
  <c r="Q22" i="6"/>
  <c r="L22" i="6"/>
  <c r="S22" i="6" s="1"/>
  <c r="H22" i="6"/>
  <c r="F22" i="6"/>
  <c r="E22" i="6"/>
  <c r="B22" i="6"/>
  <c r="A22" i="6"/>
  <c r="I22" i="6" s="1"/>
  <c r="L21" i="6"/>
  <c r="H21" i="6"/>
  <c r="F21" i="6"/>
  <c r="E21" i="6"/>
  <c r="B21" i="6"/>
  <c r="Q21" i="6" s="1"/>
  <c r="Q24" i="6" s="1"/>
  <c r="A21" i="6"/>
  <c r="I21" i="6" s="1"/>
  <c r="B20" i="6"/>
  <c r="A20" i="6"/>
  <c r="V19" i="6"/>
  <c r="R19" i="6"/>
  <c r="Q19" i="6"/>
  <c r="L19" i="6"/>
  <c r="H19" i="6"/>
  <c r="F19" i="6"/>
  <c r="E19" i="6"/>
  <c r="B19" i="6"/>
  <c r="A19" i="6"/>
  <c r="I19" i="6" s="1"/>
  <c r="B18" i="6"/>
  <c r="A18" i="6"/>
  <c r="L17" i="6"/>
  <c r="B17" i="6"/>
  <c r="O17" i="6" s="1"/>
  <c r="A17" i="6"/>
  <c r="F17" i="6" s="1"/>
  <c r="E17" i="6" s="1"/>
  <c r="B16" i="6"/>
  <c r="A16" i="6"/>
  <c r="O15" i="6"/>
  <c r="L15" i="6"/>
  <c r="N15" i="6" s="1"/>
  <c r="F15" i="6"/>
  <c r="E15" i="6" s="1"/>
  <c r="B15" i="6"/>
  <c r="J15" i="6" s="1"/>
  <c r="A15" i="6"/>
  <c r="I15" i="6" s="1"/>
  <c r="H15" i="6" s="1"/>
  <c r="B14" i="6"/>
  <c r="A14" i="6" s="1"/>
  <c r="G13" i="6"/>
  <c r="D13" i="6"/>
  <c r="B13" i="6"/>
  <c r="A13" i="6"/>
  <c r="O12" i="6"/>
  <c r="P12" i="6" s="1"/>
  <c r="L12" i="6"/>
  <c r="H12" i="6"/>
  <c r="F12" i="6"/>
  <c r="E12" i="6"/>
  <c r="B12" i="6"/>
  <c r="J12" i="6" s="1"/>
  <c r="A12" i="6"/>
  <c r="I12" i="6" s="1"/>
  <c r="O11" i="6"/>
  <c r="P11" i="6" s="1"/>
  <c r="L11" i="6"/>
  <c r="H11" i="6"/>
  <c r="F11" i="6"/>
  <c r="E11" i="6"/>
  <c r="B11" i="6"/>
  <c r="J11" i="6" s="1"/>
  <c r="A11" i="6"/>
  <c r="I11" i="6" s="1"/>
  <c r="O10" i="6"/>
  <c r="P10" i="6" s="1"/>
  <c r="L10" i="6"/>
  <c r="N10" i="6" s="1"/>
  <c r="H10" i="6"/>
  <c r="F10" i="6"/>
  <c r="E10" i="6"/>
  <c r="B10" i="6"/>
  <c r="J10" i="6" s="1"/>
  <c r="A10" i="6"/>
  <c r="I10" i="6" s="1"/>
  <c r="O9" i="6"/>
  <c r="P9" i="6" s="1"/>
  <c r="L9" i="6"/>
  <c r="H9" i="6"/>
  <c r="F9" i="6"/>
  <c r="E9" i="6"/>
  <c r="B9" i="6"/>
  <c r="J9" i="6" s="1"/>
  <c r="A9" i="6"/>
  <c r="I9" i="6" s="1"/>
  <c r="W8" i="6"/>
  <c r="L8" i="6"/>
  <c r="H8" i="6"/>
  <c r="E8" i="6"/>
  <c r="B8" i="6"/>
  <c r="O8" i="6" s="1"/>
  <c r="P8" i="6" s="1"/>
  <c r="A8" i="6"/>
  <c r="F8" i="6" s="1"/>
  <c r="L7" i="6"/>
  <c r="B7" i="6"/>
  <c r="O7" i="6" s="1"/>
  <c r="A7" i="6"/>
  <c r="F7" i="6" s="1"/>
  <c r="E7" i="6" s="1"/>
  <c r="L6" i="6"/>
  <c r="L13" i="6" s="1"/>
  <c r="B6" i="6"/>
  <c r="O6" i="6" s="1"/>
  <c r="A6" i="6"/>
  <c r="F6" i="6" s="1"/>
  <c r="L5" i="6"/>
  <c r="I5" i="6"/>
  <c r="F5" i="6"/>
  <c r="B5" i="6"/>
  <c r="Q5" i="6" s="1"/>
  <c r="A5" i="6"/>
  <c r="S1" i="6"/>
  <c r="C1" i="6"/>
  <c r="A498" i="5"/>
  <c r="A497" i="5"/>
  <c r="AO496" i="5"/>
  <c r="AN496" i="5"/>
  <c r="AL496" i="5"/>
  <c r="AF496" i="5"/>
  <c r="AH496" i="5" s="1"/>
  <c r="A496" i="5"/>
  <c r="AC496" i="5" s="1"/>
  <c r="AI496" i="5" s="1"/>
  <c r="AO495" i="5"/>
  <c r="AL495" i="5"/>
  <c r="AF495" i="5"/>
  <c r="AN495" i="5" s="1"/>
  <c r="A495" i="5"/>
  <c r="AL494" i="5"/>
  <c r="AO494" i="5" s="1"/>
  <c r="AI494" i="5"/>
  <c r="AF494" i="5"/>
  <c r="AN494" i="5" s="1"/>
  <c r="AC494" i="5"/>
  <c r="AH494" i="5" s="1"/>
  <c r="Z494" i="5"/>
  <c r="A494" i="5"/>
  <c r="AL493" i="5"/>
  <c r="AO493" i="5" s="1"/>
  <c r="AF493" i="5"/>
  <c r="AH493" i="5" s="1"/>
  <c r="AC493" i="5"/>
  <c r="AI493" i="5" s="1"/>
  <c r="Z493" i="5"/>
  <c r="A493" i="5"/>
  <c r="AN492" i="5"/>
  <c r="AO492" i="5" s="1"/>
  <c r="AL492" i="5"/>
  <c r="AF492" i="5"/>
  <c r="AH492" i="5" s="1"/>
  <c r="A492" i="5"/>
  <c r="AC492" i="5" s="1"/>
  <c r="AO491" i="5"/>
  <c r="AL491" i="5"/>
  <c r="AF491" i="5"/>
  <c r="AN491" i="5" s="1"/>
  <c r="A491" i="5"/>
  <c r="AL490" i="5"/>
  <c r="AF490" i="5"/>
  <c r="AN490" i="5" s="1"/>
  <c r="AC490" i="5"/>
  <c r="AH490" i="5" s="1"/>
  <c r="AI490" i="5" s="1"/>
  <c r="Z490" i="5"/>
  <c r="A490" i="5"/>
  <c r="A489" i="5"/>
  <c r="A488" i="5"/>
  <c r="A487" i="5"/>
  <c r="A486" i="5"/>
  <c r="A485" i="5"/>
  <c r="A483" i="5"/>
  <c r="A482" i="5"/>
  <c r="AO481" i="5"/>
  <c r="AN481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L468" i="5"/>
  <c r="AF468" i="5"/>
  <c r="AC468" i="5"/>
  <c r="Z468" i="5"/>
  <c r="A468" i="5"/>
  <c r="A467" i="5"/>
  <c r="AO466" i="5"/>
  <c r="AN466" i="5"/>
  <c r="AH466" i="5"/>
  <c r="A466" i="5"/>
  <c r="A465" i="5"/>
  <c r="A464" i="5"/>
  <c r="A463" i="5"/>
  <c r="A462" i="5"/>
  <c r="A461" i="5"/>
  <c r="AL460" i="5"/>
  <c r="AF460" i="5"/>
  <c r="AN460" i="5" s="1"/>
  <c r="AC460" i="5"/>
  <c r="Z460" i="5"/>
  <c r="A460" i="5"/>
  <c r="AL459" i="5"/>
  <c r="AF459" i="5"/>
  <c r="AC459" i="5"/>
  <c r="Z459" i="5"/>
  <c r="A459" i="5"/>
  <c r="AL458" i="5"/>
  <c r="AF458" i="5"/>
  <c r="AN458" i="5" s="1"/>
  <c r="AO458" i="5" s="1"/>
  <c r="A458" i="5"/>
  <c r="AL457" i="5"/>
  <c r="AI457" i="5"/>
  <c r="AF457" i="5"/>
  <c r="AN457" i="5" s="1"/>
  <c r="AO457" i="5" s="1"/>
  <c r="Z457" i="5"/>
  <c r="A457" i="5"/>
  <c r="AC457" i="5" s="1"/>
  <c r="AH457" i="5" s="1"/>
  <c r="AL456" i="5"/>
  <c r="AO456" i="5" s="1"/>
  <c r="AF456" i="5"/>
  <c r="AN456" i="5" s="1"/>
  <c r="AC456" i="5"/>
  <c r="Z456" i="5"/>
  <c r="A456" i="5"/>
  <c r="AL455" i="5"/>
  <c r="AO455" i="5" s="1"/>
  <c r="AF455" i="5"/>
  <c r="AH455" i="5" s="1"/>
  <c r="AC455" i="5"/>
  <c r="AI455" i="5" s="1"/>
  <c r="Z455" i="5"/>
  <c r="A455" i="5"/>
  <c r="AL454" i="5"/>
  <c r="AF454" i="5"/>
  <c r="AN454" i="5" s="1"/>
  <c r="AO454" i="5" s="1"/>
  <c r="A454" i="5"/>
  <c r="AL453" i="5"/>
  <c r="AF453" i="5"/>
  <c r="AN453" i="5" s="1"/>
  <c r="AO453" i="5" s="1"/>
  <c r="A453" i="5"/>
  <c r="AL452" i="5"/>
  <c r="AF452" i="5"/>
  <c r="AF465" i="5" s="1"/>
  <c r="A452" i="5"/>
  <c r="A451" i="5"/>
  <c r="A450" i="5"/>
  <c r="A449" i="5"/>
  <c r="A448" i="5"/>
  <c r="AL447" i="5"/>
  <c r="AF447" i="5"/>
  <c r="A447" i="5"/>
  <c r="A446" i="5"/>
  <c r="A445" i="5"/>
  <c r="A444" i="5"/>
  <c r="A443" i="5"/>
  <c r="A442" i="5"/>
  <c r="A441" i="5"/>
  <c r="A440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L419" i="5"/>
  <c r="AI419" i="5"/>
  <c r="AF419" i="5"/>
  <c r="AC419" i="5"/>
  <c r="Z419" i="5"/>
  <c r="A419" i="5"/>
  <c r="A418" i="5"/>
  <c r="A417" i="5"/>
  <c r="Q416" i="5"/>
  <c r="A416" i="5"/>
  <c r="Q415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Q393" i="5"/>
  <c r="L393" i="5"/>
  <c r="A393" i="5"/>
  <c r="I393" i="5" s="1"/>
  <c r="S392" i="5"/>
  <c r="Q392" i="5"/>
  <c r="L392" i="5"/>
  <c r="I392" i="5"/>
  <c r="A392" i="5"/>
  <c r="F392" i="5" s="1"/>
  <c r="Q391" i="5"/>
  <c r="S391" i="5" s="1"/>
  <c r="L391" i="5"/>
  <c r="N391" i="5" s="1"/>
  <c r="I391" i="5"/>
  <c r="F391" i="5"/>
  <c r="A391" i="5"/>
  <c r="Q390" i="5"/>
  <c r="S390" i="5" s="1"/>
  <c r="L390" i="5"/>
  <c r="A390" i="5"/>
  <c r="Q389" i="5"/>
  <c r="L389" i="5"/>
  <c r="A389" i="5"/>
  <c r="I389" i="5" s="1"/>
  <c r="S388" i="5"/>
  <c r="Q388" i="5"/>
  <c r="L388" i="5"/>
  <c r="N388" i="5" s="1"/>
  <c r="I388" i="5"/>
  <c r="A388" i="5"/>
  <c r="F388" i="5" s="1"/>
  <c r="Q387" i="5"/>
  <c r="S387" i="5" s="1"/>
  <c r="L387" i="5"/>
  <c r="N387" i="5" s="1"/>
  <c r="I387" i="5"/>
  <c r="F387" i="5"/>
  <c r="A387" i="5"/>
  <c r="Q386" i="5"/>
  <c r="S386" i="5" s="1"/>
  <c r="L386" i="5"/>
  <c r="A386" i="5"/>
  <c r="Q385" i="5"/>
  <c r="L385" i="5"/>
  <c r="A385" i="5"/>
  <c r="I385" i="5" s="1"/>
  <c r="S384" i="5"/>
  <c r="Q384" i="5"/>
  <c r="L384" i="5"/>
  <c r="N384" i="5" s="1"/>
  <c r="I384" i="5"/>
  <c r="A384" i="5"/>
  <c r="F384" i="5" s="1"/>
  <c r="Q383" i="5"/>
  <c r="S383" i="5" s="1"/>
  <c r="L383" i="5"/>
  <c r="N383" i="5" s="1"/>
  <c r="I383" i="5"/>
  <c r="F383" i="5"/>
  <c r="A383" i="5"/>
  <c r="Q382" i="5"/>
  <c r="S382" i="5" s="1"/>
  <c r="L382" i="5"/>
  <c r="A382" i="5"/>
  <c r="Q381" i="5"/>
  <c r="L381" i="5"/>
  <c r="A381" i="5"/>
  <c r="I381" i="5" s="1"/>
  <c r="S380" i="5"/>
  <c r="Q380" i="5"/>
  <c r="L380" i="5"/>
  <c r="N380" i="5" s="1"/>
  <c r="I380" i="5"/>
  <c r="A380" i="5"/>
  <c r="F380" i="5" s="1"/>
  <c r="Q379" i="5"/>
  <c r="S379" i="5" s="1"/>
  <c r="L379" i="5"/>
  <c r="N379" i="5" s="1"/>
  <c r="I379" i="5"/>
  <c r="F379" i="5"/>
  <c r="A379" i="5"/>
  <c r="Q378" i="5"/>
  <c r="S378" i="5" s="1"/>
  <c r="L378" i="5"/>
  <c r="A378" i="5"/>
  <c r="Q377" i="5"/>
  <c r="L377" i="5"/>
  <c r="A377" i="5"/>
  <c r="I377" i="5" s="1"/>
  <c r="A376" i="5"/>
  <c r="Q375" i="5"/>
  <c r="S375" i="5" s="1"/>
  <c r="L375" i="5"/>
  <c r="N375" i="5" s="1"/>
  <c r="I375" i="5"/>
  <c r="F375" i="5"/>
  <c r="A375" i="5"/>
  <c r="Q374" i="5"/>
  <c r="S374" i="5" s="1"/>
  <c r="L374" i="5"/>
  <c r="A374" i="5"/>
  <c r="Q373" i="5"/>
  <c r="L373" i="5"/>
  <c r="A373" i="5"/>
  <c r="I373" i="5" s="1"/>
  <c r="S372" i="5"/>
  <c r="Q372" i="5"/>
  <c r="L372" i="5"/>
  <c r="I372" i="5"/>
  <c r="A372" i="5"/>
  <c r="F372" i="5" s="1"/>
  <c r="Q371" i="5"/>
  <c r="S371" i="5" s="1"/>
  <c r="L371" i="5"/>
  <c r="N371" i="5" s="1"/>
  <c r="I371" i="5"/>
  <c r="F371" i="5"/>
  <c r="A371" i="5"/>
  <c r="Q370" i="5"/>
  <c r="S370" i="5" s="1"/>
  <c r="L370" i="5"/>
  <c r="A370" i="5"/>
  <c r="Q369" i="5"/>
  <c r="L369" i="5"/>
  <c r="A369" i="5"/>
  <c r="I369" i="5" s="1"/>
  <c r="S368" i="5"/>
  <c r="Q368" i="5"/>
  <c r="L368" i="5"/>
  <c r="N368" i="5" s="1"/>
  <c r="I368" i="5"/>
  <c r="A368" i="5"/>
  <c r="F368" i="5" s="1"/>
  <c r="Q367" i="5"/>
  <c r="S367" i="5" s="1"/>
  <c r="L367" i="5"/>
  <c r="N367" i="5" s="1"/>
  <c r="I367" i="5"/>
  <c r="F367" i="5"/>
  <c r="A367" i="5"/>
  <c r="Q366" i="5"/>
  <c r="S366" i="5" s="1"/>
  <c r="L366" i="5"/>
  <c r="A366" i="5"/>
  <c r="Q365" i="5"/>
  <c r="L365" i="5"/>
  <c r="L376" i="5" s="1"/>
  <c r="A365" i="5"/>
  <c r="I365" i="5" s="1"/>
  <c r="S364" i="5"/>
  <c r="Q364" i="5"/>
  <c r="Q376" i="5" s="1"/>
  <c r="L364" i="5"/>
  <c r="I364" i="5"/>
  <c r="F364" i="5"/>
  <c r="A364" i="5"/>
  <c r="A363" i="5"/>
  <c r="N362" i="5"/>
  <c r="A362" i="5"/>
  <c r="Q361" i="5"/>
  <c r="S362" i="5" s="1"/>
  <c r="J361" i="5"/>
  <c r="K361" i="5" s="1"/>
  <c r="A361" i="5"/>
  <c r="A360" i="5"/>
  <c r="S359" i="5"/>
  <c r="Q359" i="5"/>
  <c r="O359" i="5"/>
  <c r="L359" i="5"/>
  <c r="L361" i="5" s="1"/>
  <c r="K359" i="5"/>
  <c r="J359" i="5"/>
  <c r="G359" i="5"/>
  <c r="A359" i="5"/>
  <c r="A358" i="5"/>
  <c r="N351" i="5"/>
  <c r="Q347" i="5"/>
  <c r="L347" i="5"/>
  <c r="N347" i="5" s="1"/>
  <c r="I347" i="5"/>
  <c r="F347" i="5"/>
  <c r="A347" i="5"/>
  <c r="Q346" i="5"/>
  <c r="S346" i="5" s="1"/>
  <c r="L346" i="5"/>
  <c r="A346" i="5"/>
  <c r="Q345" i="5"/>
  <c r="L345" i="5"/>
  <c r="F345" i="5"/>
  <c r="A345" i="5"/>
  <c r="I345" i="5" s="1"/>
  <c r="S344" i="5"/>
  <c r="Q344" i="5"/>
  <c r="L344" i="5"/>
  <c r="I344" i="5"/>
  <c r="N344" i="5" s="1"/>
  <c r="A344" i="5"/>
  <c r="F344" i="5" s="1"/>
  <c r="Q343" i="5"/>
  <c r="L343" i="5"/>
  <c r="N343" i="5" s="1"/>
  <c r="I343" i="5"/>
  <c r="F343" i="5"/>
  <c r="A343" i="5"/>
  <c r="S342" i="5"/>
  <c r="Q342" i="5"/>
  <c r="L342" i="5"/>
  <c r="A342" i="5"/>
  <c r="Q341" i="5"/>
  <c r="L341" i="5"/>
  <c r="F341" i="5"/>
  <c r="A341" i="5"/>
  <c r="I341" i="5" s="1"/>
  <c r="S340" i="5"/>
  <c r="Q340" i="5"/>
  <c r="L340" i="5"/>
  <c r="I340" i="5"/>
  <c r="N340" i="5" s="1"/>
  <c r="A340" i="5"/>
  <c r="F340" i="5" s="1"/>
  <c r="Q339" i="5"/>
  <c r="L339" i="5"/>
  <c r="N339" i="5" s="1"/>
  <c r="I339" i="5"/>
  <c r="F339" i="5"/>
  <c r="A339" i="5"/>
  <c r="S338" i="5"/>
  <c r="Q338" i="5"/>
  <c r="L338" i="5"/>
  <c r="A338" i="5"/>
  <c r="Q337" i="5"/>
  <c r="L337" i="5"/>
  <c r="F337" i="5"/>
  <c r="A337" i="5"/>
  <c r="I337" i="5" s="1"/>
  <c r="S336" i="5"/>
  <c r="Q336" i="5"/>
  <c r="N336" i="5"/>
  <c r="L336" i="5"/>
  <c r="A336" i="5"/>
  <c r="Q335" i="5"/>
  <c r="L335" i="5"/>
  <c r="F335" i="5"/>
  <c r="A335" i="5"/>
  <c r="I335" i="5" s="1"/>
  <c r="S334" i="5"/>
  <c r="Q334" i="5"/>
  <c r="L334" i="5"/>
  <c r="I334" i="5"/>
  <c r="N334" i="5" s="1"/>
  <c r="A334" i="5"/>
  <c r="F334" i="5" s="1"/>
  <c r="Q333" i="5"/>
  <c r="L333" i="5"/>
  <c r="I333" i="5"/>
  <c r="F333" i="5"/>
  <c r="A333" i="5"/>
  <c r="Q332" i="5"/>
  <c r="S332" i="5" s="1"/>
  <c r="L332" i="5"/>
  <c r="F332" i="5"/>
  <c r="A332" i="5"/>
  <c r="I332" i="5" s="1"/>
  <c r="N332" i="5" s="1"/>
  <c r="Q331" i="5"/>
  <c r="L331" i="5"/>
  <c r="S331" i="5" s="1"/>
  <c r="F331" i="5"/>
  <c r="A331" i="5"/>
  <c r="I331" i="5" s="1"/>
  <c r="Q330" i="5"/>
  <c r="Q348" i="5" s="1"/>
  <c r="L330" i="5"/>
  <c r="S330" i="5" s="1"/>
  <c r="A330" i="5"/>
  <c r="F330" i="5" s="1"/>
  <c r="A329" i="5"/>
  <c r="S328" i="5"/>
  <c r="Q328" i="5"/>
  <c r="L328" i="5"/>
  <c r="A328" i="5"/>
  <c r="I328" i="5" s="1"/>
  <c r="N328" i="5" s="1"/>
  <c r="Q327" i="5"/>
  <c r="L327" i="5"/>
  <c r="I327" i="5"/>
  <c r="N327" i="5" s="1"/>
  <c r="F327" i="5"/>
  <c r="A327" i="5"/>
  <c r="Q326" i="5"/>
  <c r="L326" i="5"/>
  <c r="M429" i="5" s="1"/>
  <c r="F326" i="5"/>
  <c r="A326" i="5"/>
  <c r="I326" i="5" s="1"/>
  <c r="Q325" i="5"/>
  <c r="L325" i="5"/>
  <c r="M428" i="5" s="1"/>
  <c r="A325" i="5"/>
  <c r="I325" i="5" s="1"/>
  <c r="N325" i="5" s="1"/>
  <c r="Q324" i="5"/>
  <c r="L324" i="5"/>
  <c r="S324" i="5" s="1"/>
  <c r="I324" i="5"/>
  <c r="F324" i="5"/>
  <c r="A324" i="5"/>
  <c r="S323" i="5"/>
  <c r="Q323" i="5"/>
  <c r="L323" i="5"/>
  <c r="I323" i="5"/>
  <c r="N323" i="5" s="1"/>
  <c r="F323" i="5"/>
  <c r="A323" i="5"/>
  <c r="Q322" i="5"/>
  <c r="L322" i="5"/>
  <c r="N322" i="5" s="1"/>
  <c r="F322" i="5"/>
  <c r="A322" i="5"/>
  <c r="I322" i="5" s="1"/>
  <c r="Q321" i="5"/>
  <c r="L321" i="5"/>
  <c r="S321" i="5" s="1"/>
  <c r="A321" i="5"/>
  <c r="I321" i="5" s="1"/>
  <c r="N321" i="5" s="1"/>
  <c r="Q320" i="5"/>
  <c r="L320" i="5"/>
  <c r="S320" i="5" s="1"/>
  <c r="I320" i="5"/>
  <c r="F320" i="5"/>
  <c r="A320" i="5"/>
  <c r="S319" i="5"/>
  <c r="Q319" i="5"/>
  <c r="L319" i="5"/>
  <c r="I319" i="5"/>
  <c r="N319" i="5" s="1"/>
  <c r="F319" i="5"/>
  <c r="A319" i="5"/>
  <c r="Q318" i="5"/>
  <c r="L318" i="5"/>
  <c r="S318" i="5" s="1"/>
  <c r="F318" i="5"/>
  <c r="A318" i="5"/>
  <c r="I318" i="5" s="1"/>
  <c r="N318" i="5" s="1"/>
  <c r="Q317" i="5"/>
  <c r="Q329" i="5" s="1"/>
  <c r="L317" i="5"/>
  <c r="S317" i="5" s="1"/>
  <c r="A317" i="5"/>
  <c r="I317" i="5" s="1"/>
  <c r="A316" i="5"/>
  <c r="A315" i="5"/>
  <c r="A314" i="5"/>
  <c r="A313" i="5"/>
  <c r="A312" i="5"/>
  <c r="S311" i="5"/>
  <c r="R311" i="5" s="1"/>
  <c r="Q311" i="5"/>
  <c r="O311" i="5"/>
  <c r="P311" i="5" s="1"/>
  <c r="L311" i="5"/>
  <c r="K311" i="5"/>
  <c r="J311" i="5"/>
  <c r="A311" i="5"/>
  <c r="F311" i="5" s="1"/>
  <c r="M311" i="5" s="1"/>
  <c r="A310" i="5"/>
  <c r="A309" i="5"/>
  <c r="A308" i="5"/>
  <c r="Q307" i="5"/>
  <c r="P307" i="5" s="1"/>
  <c r="O307" i="5"/>
  <c r="R307" i="5" s="1"/>
  <c r="L307" i="5"/>
  <c r="S307" i="5" s="1"/>
  <c r="J307" i="5"/>
  <c r="I307" i="5"/>
  <c r="D307" i="5"/>
  <c r="A307" i="5"/>
  <c r="G307" i="5" s="1"/>
  <c r="Q306" i="5"/>
  <c r="P306" i="5" s="1"/>
  <c r="O306" i="5"/>
  <c r="N306" i="5"/>
  <c r="L306" i="5"/>
  <c r="S306" i="5" s="1"/>
  <c r="J306" i="5"/>
  <c r="I306" i="5"/>
  <c r="F306" i="5"/>
  <c r="E306" i="5" s="1"/>
  <c r="D306" i="5"/>
  <c r="A306" i="5"/>
  <c r="G306" i="5" s="1"/>
  <c r="H306" i="5" s="1"/>
  <c r="A305" i="5"/>
  <c r="A304" i="5"/>
  <c r="A303" i="5"/>
  <c r="S302" i="5"/>
  <c r="Q302" i="5"/>
  <c r="P302" i="5"/>
  <c r="O302" i="5"/>
  <c r="R302" i="5" s="1"/>
  <c r="L302" i="5"/>
  <c r="K302" i="5"/>
  <c r="J302" i="5"/>
  <c r="A302" i="5"/>
  <c r="S301" i="5"/>
  <c r="Q301" i="5"/>
  <c r="P301" i="5"/>
  <c r="O301" i="5"/>
  <c r="R301" i="5" s="1"/>
  <c r="L301" i="5"/>
  <c r="K301" i="5"/>
  <c r="J301" i="5"/>
  <c r="A301" i="5"/>
  <c r="Q300" i="5"/>
  <c r="P300" i="5"/>
  <c r="O300" i="5"/>
  <c r="R300" i="5" s="1"/>
  <c r="L300" i="5"/>
  <c r="K300" i="5"/>
  <c r="J300" i="5"/>
  <c r="D300" i="5"/>
  <c r="E300" i="5" s="1"/>
  <c r="A300" i="5"/>
  <c r="G300" i="5" s="1"/>
  <c r="M300" i="5" s="1"/>
  <c r="Q299" i="5"/>
  <c r="P299" i="5" s="1"/>
  <c r="O299" i="5"/>
  <c r="R299" i="5" s="1"/>
  <c r="M299" i="5"/>
  <c r="L299" i="5"/>
  <c r="J299" i="5"/>
  <c r="K299" i="5" s="1"/>
  <c r="I299" i="5"/>
  <c r="F299" i="5"/>
  <c r="E299" i="5"/>
  <c r="D299" i="5"/>
  <c r="A299" i="5"/>
  <c r="G299" i="5" s="1"/>
  <c r="H299" i="5" s="1"/>
  <c r="R298" i="5"/>
  <c r="Q298" i="5"/>
  <c r="O298" i="5"/>
  <c r="P298" i="5" s="1"/>
  <c r="N298" i="5"/>
  <c r="L298" i="5"/>
  <c r="S298" i="5" s="1"/>
  <c r="J298" i="5"/>
  <c r="I298" i="5"/>
  <c r="F298" i="5"/>
  <c r="A298" i="5"/>
  <c r="D298" i="5" s="1"/>
  <c r="E298" i="5" s="1"/>
  <c r="S297" i="5"/>
  <c r="Q297" i="5"/>
  <c r="O297" i="5"/>
  <c r="L297" i="5"/>
  <c r="K297" i="5"/>
  <c r="J297" i="5"/>
  <c r="A297" i="5"/>
  <c r="Q296" i="5"/>
  <c r="P296" i="5"/>
  <c r="O296" i="5"/>
  <c r="R296" i="5" s="1"/>
  <c r="L296" i="5"/>
  <c r="J296" i="5"/>
  <c r="D296" i="5"/>
  <c r="A296" i="5"/>
  <c r="G296" i="5" s="1"/>
  <c r="M296" i="5" s="1"/>
  <c r="Q295" i="5"/>
  <c r="P295" i="5" s="1"/>
  <c r="O295" i="5"/>
  <c r="R295" i="5" s="1"/>
  <c r="M295" i="5"/>
  <c r="L295" i="5"/>
  <c r="S295" i="5" s="1"/>
  <c r="J295" i="5"/>
  <c r="K295" i="5" s="1"/>
  <c r="I295" i="5"/>
  <c r="F295" i="5"/>
  <c r="E295" i="5"/>
  <c r="D295" i="5"/>
  <c r="A295" i="5"/>
  <c r="G295" i="5" s="1"/>
  <c r="H295" i="5" s="1"/>
  <c r="Q294" i="5"/>
  <c r="Q303" i="5" s="1"/>
  <c r="O294" i="5"/>
  <c r="P294" i="5" s="1"/>
  <c r="N294" i="5"/>
  <c r="L294" i="5"/>
  <c r="J294" i="5"/>
  <c r="I294" i="5"/>
  <c r="F294" i="5"/>
  <c r="A294" i="5"/>
  <c r="D294" i="5" s="1"/>
  <c r="A293" i="5"/>
  <c r="N287" i="5"/>
  <c r="Q283" i="5"/>
  <c r="L283" i="5"/>
  <c r="S283" i="5" s="1"/>
  <c r="A283" i="5"/>
  <c r="Q282" i="5"/>
  <c r="L282" i="5"/>
  <c r="I282" i="5"/>
  <c r="A282" i="5"/>
  <c r="F282" i="5" s="1"/>
  <c r="S281" i="5"/>
  <c r="Q281" i="5"/>
  <c r="L281" i="5"/>
  <c r="I281" i="5"/>
  <c r="F281" i="5"/>
  <c r="A281" i="5"/>
  <c r="Q280" i="5"/>
  <c r="S280" i="5" s="1"/>
  <c r="L280" i="5"/>
  <c r="F280" i="5"/>
  <c r="A280" i="5"/>
  <c r="I280" i="5" s="1"/>
  <c r="N280" i="5" s="1"/>
  <c r="Q279" i="5"/>
  <c r="L279" i="5"/>
  <c r="S279" i="5" s="1"/>
  <c r="A279" i="5"/>
  <c r="Q278" i="5"/>
  <c r="L278" i="5"/>
  <c r="I278" i="5"/>
  <c r="A278" i="5"/>
  <c r="F278" i="5" s="1"/>
  <c r="S277" i="5"/>
  <c r="Q277" i="5"/>
  <c r="L277" i="5"/>
  <c r="I277" i="5"/>
  <c r="F277" i="5"/>
  <c r="A277" i="5"/>
  <c r="Q276" i="5"/>
  <c r="S276" i="5" s="1"/>
  <c r="L276" i="5"/>
  <c r="F276" i="5"/>
  <c r="A276" i="5"/>
  <c r="I276" i="5" s="1"/>
  <c r="N276" i="5" s="1"/>
  <c r="Q275" i="5"/>
  <c r="L275" i="5"/>
  <c r="S275" i="5" s="1"/>
  <c r="A275" i="5"/>
  <c r="Q274" i="5"/>
  <c r="L274" i="5"/>
  <c r="I274" i="5"/>
  <c r="A274" i="5"/>
  <c r="F274" i="5" s="1"/>
  <c r="S273" i="5"/>
  <c r="Q273" i="5"/>
  <c r="L273" i="5"/>
  <c r="I273" i="5"/>
  <c r="F273" i="5"/>
  <c r="A273" i="5"/>
  <c r="Q272" i="5"/>
  <c r="S272" i="5" s="1"/>
  <c r="N272" i="5"/>
  <c r="L272" i="5"/>
  <c r="A272" i="5"/>
  <c r="S271" i="5"/>
  <c r="Q271" i="5"/>
  <c r="L271" i="5"/>
  <c r="I271" i="5"/>
  <c r="F271" i="5"/>
  <c r="A271" i="5"/>
  <c r="Q270" i="5"/>
  <c r="S270" i="5" s="1"/>
  <c r="L270" i="5"/>
  <c r="F270" i="5"/>
  <c r="A270" i="5"/>
  <c r="I270" i="5" s="1"/>
  <c r="N270" i="5" s="1"/>
  <c r="Q269" i="5"/>
  <c r="L269" i="5"/>
  <c r="S269" i="5" s="1"/>
  <c r="A269" i="5"/>
  <c r="Q268" i="5"/>
  <c r="L268" i="5"/>
  <c r="L284" i="5" s="1"/>
  <c r="I268" i="5"/>
  <c r="A268" i="5"/>
  <c r="F268" i="5" s="1"/>
  <c r="S267" i="5"/>
  <c r="Q267" i="5"/>
  <c r="L267" i="5"/>
  <c r="I267" i="5"/>
  <c r="F267" i="5"/>
  <c r="A267" i="5"/>
  <c r="Q266" i="5"/>
  <c r="L266" i="5"/>
  <c r="F266" i="5"/>
  <c r="A266" i="5"/>
  <c r="I266" i="5" s="1"/>
  <c r="A265" i="5"/>
  <c r="Q264" i="5"/>
  <c r="L264" i="5"/>
  <c r="I264" i="5"/>
  <c r="A264" i="5"/>
  <c r="F264" i="5" s="1"/>
  <c r="S263" i="5"/>
  <c r="Q263" i="5"/>
  <c r="L263" i="5"/>
  <c r="M421" i="5" s="1"/>
  <c r="I263" i="5"/>
  <c r="F263" i="5"/>
  <c r="A263" i="5"/>
  <c r="Q262" i="5"/>
  <c r="S262" i="5" s="1"/>
  <c r="L262" i="5"/>
  <c r="M420" i="5" s="1"/>
  <c r="F262" i="5"/>
  <c r="A262" i="5"/>
  <c r="I262" i="5" s="1"/>
  <c r="N262" i="5" s="1"/>
  <c r="Q261" i="5"/>
  <c r="L261" i="5"/>
  <c r="A261" i="5"/>
  <c r="Q260" i="5"/>
  <c r="L260" i="5"/>
  <c r="I260" i="5"/>
  <c r="A260" i="5"/>
  <c r="F260" i="5" s="1"/>
  <c r="S259" i="5"/>
  <c r="Q259" i="5"/>
  <c r="L259" i="5"/>
  <c r="N259" i="5" s="1"/>
  <c r="I259" i="5"/>
  <c r="F259" i="5"/>
  <c r="A259" i="5"/>
  <c r="Q258" i="5"/>
  <c r="S258" i="5" s="1"/>
  <c r="L258" i="5"/>
  <c r="F258" i="5"/>
  <c r="A258" i="5"/>
  <c r="I258" i="5" s="1"/>
  <c r="N258" i="5" s="1"/>
  <c r="Q257" i="5"/>
  <c r="L257" i="5"/>
  <c r="S257" i="5" s="1"/>
  <c r="A257" i="5"/>
  <c r="Q256" i="5"/>
  <c r="L256" i="5"/>
  <c r="I256" i="5"/>
  <c r="A256" i="5"/>
  <c r="F256" i="5" s="1"/>
  <c r="S255" i="5"/>
  <c r="Q255" i="5"/>
  <c r="L255" i="5"/>
  <c r="N255" i="5" s="1"/>
  <c r="I255" i="5"/>
  <c r="F255" i="5"/>
  <c r="A255" i="5"/>
  <c r="Q254" i="5"/>
  <c r="S254" i="5" s="1"/>
  <c r="L254" i="5"/>
  <c r="F254" i="5"/>
  <c r="A254" i="5"/>
  <c r="I254" i="5" s="1"/>
  <c r="N254" i="5" s="1"/>
  <c r="Q253" i="5"/>
  <c r="Q265" i="5" s="1"/>
  <c r="L253" i="5"/>
  <c r="L265" i="5" s="1"/>
  <c r="A253" i="5"/>
  <c r="A252" i="5"/>
  <c r="A251" i="5"/>
  <c r="A250" i="5"/>
  <c r="L249" i="5"/>
  <c r="K249" i="5"/>
  <c r="A249" i="5"/>
  <c r="A248" i="5"/>
  <c r="S247" i="5"/>
  <c r="I247" i="5"/>
  <c r="F247" i="5"/>
  <c r="A247" i="5"/>
  <c r="R246" i="5"/>
  <c r="Q246" i="5"/>
  <c r="Q247" i="5" s="1"/>
  <c r="P246" i="5"/>
  <c r="O246" i="5"/>
  <c r="N246" i="5"/>
  <c r="N247" i="5" s="1"/>
  <c r="M246" i="5"/>
  <c r="L246" i="5"/>
  <c r="L247" i="5" s="1"/>
  <c r="K246" i="5"/>
  <c r="J246" i="5"/>
  <c r="A246" i="5"/>
  <c r="A245" i="5"/>
  <c r="A244" i="5"/>
  <c r="R243" i="5"/>
  <c r="Q243" i="5"/>
  <c r="S244" i="5" s="1"/>
  <c r="P243" i="5"/>
  <c r="P249" i="5" s="1"/>
  <c r="O243" i="5"/>
  <c r="L243" i="5"/>
  <c r="L244" i="5" s="1"/>
  <c r="K243" i="5"/>
  <c r="J243" i="5"/>
  <c r="I243" i="5"/>
  <c r="H243" i="5"/>
  <c r="M243" i="5" s="1"/>
  <c r="E243" i="5"/>
  <c r="D243" i="5"/>
  <c r="A243" i="5"/>
  <c r="G243" i="5" s="1"/>
  <c r="A242" i="5"/>
  <c r="Q241" i="5"/>
  <c r="A241" i="5"/>
  <c r="Q240" i="5"/>
  <c r="P240" i="5"/>
  <c r="O240" i="5"/>
  <c r="N240" i="5"/>
  <c r="L240" i="5"/>
  <c r="L241" i="5" s="1"/>
  <c r="K240" i="5"/>
  <c r="J240" i="5"/>
  <c r="R240" i="5" s="1"/>
  <c r="I240" i="5"/>
  <c r="I241" i="5" s="1"/>
  <c r="F240" i="5"/>
  <c r="F241" i="5" s="1"/>
  <c r="E240" i="5"/>
  <c r="A240" i="5"/>
  <c r="H240" i="5" s="1"/>
  <c r="M240" i="5" s="1"/>
  <c r="A239" i="5"/>
  <c r="A238" i="5"/>
  <c r="N231" i="5"/>
  <c r="Q227" i="5"/>
  <c r="L227" i="5"/>
  <c r="S227" i="5" s="1"/>
  <c r="A227" i="5"/>
  <c r="I227" i="5" s="1"/>
  <c r="N227" i="5" s="1"/>
  <c r="Q226" i="5"/>
  <c r="L226" i="5"/>
  <c r="S226" i="5" s="1"/>
  <c r="I226" i="5"/>
  <c r="F226" i="5"/>
  <c r="Q225" i="5"/>
  <c r="S225" i="5" s="1"/>
  <c r="L225" i="5"/>
  <c r="N225" i="5" s="1"/>
  <c r="I225" i="5"/>
  <c r="F225" i="5"/>
  <c r="A225" i="5"/>
  <c r="Q224" i="5"/>
  <c r="S224" i="5" s="1"/>
  <c r="L224" i="5"/>
  <c r="F224" i="5"/>
  <c r="A224" i="5"/>
  <c r="I224" i="5" s="1"/>
  <c r="N224" i="5" s="1"/>
  <c r="Q223" i="5"/>
  <c r="L223" i="5"/>
  <c r="S223" i="5" s="1"/>
  <c r="A223" i="5"/>
  <c r="Q222" i="5"/>
  <c r="L222" i="5"/>
  <c r="N222" i="5" s="1"/>
  <c r="I222" i="5"/>
  <c r="A222" i="5"/>
  <c r="F222" i="5" s="1"/>
  <c r="Q221" i="5"/>
  <c r="S221" i="5" s="1"/>
  <c r="L221" i="5"/>
  <c r="N221" i="5" s="1"/>
  <c r="I221" i="5"/>
  <c r="F221" i="5"/>
  <c r="A221" i="5"/>
  <c r="Q220" i="5"/>
  <c r="S220" i="5" s="1"/>
  <c r="L220" i="5"/>
  <c r="F220" i="5"/>
  <c r="A220" i="5"/>
  <c r="I220" i="5" s="1"/>
  <c r="N220" i="5" s="1"/>
  <c r="Q219" i="5"/>
  <c r="L219" i="5"/>
  <c r="S219" i="5" s="1"/>
  <c r="A219" i="5"/>
  <c r="Q218" i="5"/>
  <c r="L218" i="5"/>
  <c r="N218" i="5" s="1"/>
  <c r="I218" i="5"/>
  <c r="A218" i="5"/>
  <c r="F218" i="5" s="1"/>
  <c r="Q217" i="5"/>
  <c r="L217" i="5"/>
  <c r="N217" i="5" s="1"/>
  <c r="I217" i="5"/>
  <c r="F217" i="5"/>
  <c r="A217" i="5"/>
  <c r="S216" i="5"/>
  <c r="Q216" i="5"/>
  <c r="N216" i="5"/>
  <c r="L216" i="5"/>
  <c r="A216" i="5"/>
  <c r="Q215" i="5"/>
  <c r="L215" i="5"/>
  <c r="N215" i="5" s="1"/>
  <c r="I215" i="5"/>
  <c r="F215" i="5"/>
  <c r="A215" i="5"/>
  <c r="S214" i="5"/>
  <c r="Q214" i="5"/>
  <c r="L214" i="5"/>
  <c r="I214" i="5"/>
  <c r="N214" i="5" s="1"/>
  <c r="F214" i="5"/>
  <c r="A214" i="5"/>
  <c r="Q213" i="5"/>
  <c r="L213" i="5"/>
  <c r="S213" i="5" s="1"/>
  <c r="A213" i="5"/>
  <c r="I213" i="5" s="1"/>
  <c r="S212" i="5"/>
  <c r="Q212" i="5"/>
  <c r="L212" i="5"/>
  <c r="N212" i="5" s="1"/>
  <c r="I212" i="5"/>
  <c r="F212" i="5"/>
  <c r="A212" i="5"/>
  <c r="Q211" i="5"/>
  <c r="S211" i="5" s="1"/>
  <c r="L211" i="5"/>
  <c r="A211" i="5"/>
  <c r="Q210" i="5"/>
  <c r="L210" i="5"/>
  <c r="A210" i="5"/>
  <c r="I210" i="5" s="1"/>
  <c r="A209" i="5"/>
  <c r="Q208" i="5"/>
  <c r="S208" i="5" s="1"/>
  <c r="L208" i="5"/>
  <c r="N208" i="5" s="1"/>
  <c r="I208" i="5"/>
  <c r="F208" i="5"/>
  <c r="A208" i="5"/>
  <c r="Q207" i="5"/>
  <c r="S207" i="5" s="1"/>
  <c r="L207" i="5"/>
  <c r="M413" i="5" s="1"/>
  <c r="A207" i="5"/>
  <c r="Q206" i="5"/>
  <c r="L206" i="5"/>
  <c r="A206" i="5"/>
  <c r="I206" i="5" s="1"/>
  <c r="S205" i="5"/>
  <c r="Q205" i="5"/>
  <c r="L205" i="5"/>
  <c r="M411" i="5" s="1"/>
  <c r="I205" i="5"/>
  <c r="A205" i="5"/>
  <c r="F205" i="5" s="1"/>
  <c r="Q204" i="5"/>
  <c r="S204" i="5" s="1"/>
  <c r="L204" i="5"/>
  <c r="N204" i="5" s="1"/>
  <c r="I204" i="5"/>
  <c r="F204" i="5"/>
  <c r="A204" i="5"/>
  <c r="Q203" i="5"/>
  <c r="S203" i="5" s="1"/>
  <c r="L203" i="5"/>
  <c r="A203" i="5"/>
  <c r="Q202" i="5"/>
  <c r="L202" i="5"/>
  <c r="A202" i="5"/>
  <c r="I202" i="5" s="1"/>
  <c r="S201" i="5"/>
  <c r="Q201" i="5"/>
  <c r="L201" i="5"/>
  <c r="N201" i="5" s="1"/>
  <c r="I201" i="5"/>
  <c r="A201" i="5"/>
  <c r="F201" i="5" s="1"/>
  <c r="Q200" i="5"/>
  <c r="S200" i="5" s="1"/>
  <c r="L200" i="5"/>
  <c r="N200" i="5" s="1"/>
  <c r="I200" i="5"/>
  <c r="F200" i="5"/>
  <c r="A200" i="5"/>
  <c r="Q199" i="5"/>
  <c r="S199" i="5" s="1"/>
  <c r="L199" i="5"/>
  <c r="A199" i="5"/>
  <c r="Q198" i="5"/>
  <c r="L198" i="5"/>
  <c r="L209" i="5" s="1"/>
  <c r="A198" i="5"/>
  <c r="I198" i="5" s="1"/>
  <c r="S197" i="5"/>
  <c r="Q197" i="5"/>
  <c r="Q209" i="5" s="1"/>
  <c r="L197" i="5"/>
  <c r="N197" i="5" s="1"/>
  <c r="I197" i="5"/>
  <c r="A197" i="5"/>
  <c r="F197" i="5" s="1"/>
  <c r="A196" i="5"/>
  <c r="A195" i="5"/>
  <c r="A194" i="5"/>
  <c r="A193" i="5"/>
  <c r="A192" i="5"/>
  <c r="Q191" i="5"/>
  <c r="L191" i="5"/>
  <c r="I191" i="5"/>
  <c r="A191" i="5"/>
  <c r="P190" i="5"/>
  <c r="K190" i="5"/>
  <c r="H190" i="5"/>
  <c r="F190" i="5"/>
  <c r="F191" i="5" s="1"/>
  <c r="E190" i="5"/>
  <c r="A190" i="5"/>
  <c r="I190" i="5" s="1"/>
  <c r="A189" i="5"/>
  <c r="L188" i="5"/>
  <c r="A188" i="5"/>
  <c r="S187" i="5"/>
  <c r="R187" i="5"/>
  <c r="Q187" i="5"/>
  <c r="P187" i="5"/>
  <c r="Q188" i="5" s="1"/>
  <c r="L187" i="5"/>
  <c r="K187" i="5"/>
  <c r="I187" i="5"/>
  <c r="N187" i="5" s="1"/>
  <c r="A187" i="5"/>
  <c r="A186" i="5"/>
  <c r="H185" i="5"/>
  <c r="A185" i="5"/>
  <c r="O184" i="5"/>
  <c r="A184" i="5"/>
  <c r="Q183" i="5"/>
  <c r="S183" i="5" s="1"/>
  <c r="L183" i="5"/>
  <c r="N183" i="5" s="1"/>
  <c r="I183" i="5"/>
  <c r="F183" i="5"/>
  <c r="A183" i="5"/>
  <c r="A182" i="5"/>
  <c r="P181" i="5"/>
  <c r="M181" i="5"/>
  <c r="K181" i="5"/>
  <c r="A181" i="5"/>
  <c r="R180" i="5"/>
  <c r="Q180" i="5"/>
  <c r="P180" i="5"/>
  <c r="O180" i="5"/>
  <c r="L180" i="5"/>
  <c r="K180" i="5"/>
  <c r="J180" i="5"/>
  <c r="I180" i="5"/>
  <c r="H180" i="5"/>
  <c r="M180" i="5" s="1"/>
  <c r="F180" i="5"/>
  <c r="F181" i="5" s="1"/>
  <c r="E180" i="5"/>
  <c r="D180" i="5"/>
  <c r="A180" i="5"/>
  <c r="G180" i="5" s="1"/>
  <c r="A179" i="5"/>
  <c r="R178" i="5"/>
  <c r="Q178" i="5"/>
  <c r="A178" i="5"/>
  <c r="S177" i="5"/>
  <c r="Q177" i="5"/>
  <c r="P177" i="5"/>
  <c r="O177" i="5"/>
  <c r="R177" i="5" s="1"/>
  <c r="L177" i="5"/>
  <c r="K177" i="5"/>
  <c r="J177" i="5"/>
  <c r="A177" i="5"/>
  <c r="A176" i="5"/>
  <c r="A175" i="5"/>
  <c r="Q174" i="5"/>
  <c r="P174" i="5"/>
  <c r="P184" i="5" s="1"/>
  <c r="P193" i="5" s="1"/>
  <c r="O174" i="5"/>
  <c r="L174" i="5"/>
  <c r="K174" i="5"/>
  <c r="J174" i="5"/>
  <c r="R174" i="5" s="1"/>
  <c r="I174" i="5"/>
  <c r="H174" i="5"/>
  <c r="M174" i="5" s="1"/>
  <c r="F174" i="5"/>
  <c r="F175" i="5" s="1"/>
  <c r="E174" i="5"/>
  <c r="D174" i="5"/>
  <c r="A174" i="5"/>
  <c r="G174" i="5" s="1"/>
  <c r="A173" i="5"/>
  <c r="L172" i="5"/>
  <c r="A172" i="5"/>
  <c r="Q171" i="5"/>
  <c r="P171" i="5"/>
  <c r="O171" i="5"/>
  <c r="P173" i="5" s="1"/>
  <c r="L171" i="5"/>
  <c r="K171" i="5"/>
  <c r="J171" i="5"/>
  <c r="J184" i="5" s="1"/>
  <c r="I171" i="5"/>
  <c r="F171" i="5"/>
  <c r="F172" i="5" s="1"/>
  <c r="E171" i="5"/>
  <c r="A171" i="5"/>
  <c r="H171" i="5" s="1"/>
  <c r="A170" i="5"/>
  <c r="Q161" i="5"/>
  <c r="S161" i="5" s="1"/>
  <c r="L161" i="5"/>
  <c r="A161" i="5"/>
  <c r="Q160" i="5"/>
  <c r="L160" i="5"/>
  <c r="A160" i="5"/>
  <c r="I160" i="5" s="1"/>
  <c r="S159" i="5"/>
  <c r="Q159" i="5"/>
  <c r="L159" i="5"/>
  <c r="I159" i="5"/>
  <c r="A159" i="5"/>
  <c r="F159" i="5" s="1"/>
  <c r="I158" i="5"/>
  <c r="F158" i="5"/>
  <c r="A158" i="5"/>
  <c r="Q157" i="5"/>
  <c r="S157" i="5" s="1"/>
  <c r="L157" i="5"/>
  <c r="A157" i="5"/>
  <c r="Q156" i="5"/>
  <c r="L156" i="5"/>
  <c r="A156" i="5"/>
  <c r="I156" i="5" s="1"/>
  <c r="S155" i="5"/>
  <c r="Q155" i="5"/>
  <c r="I155" i="5"/>
  <c r="N155" i="5" s="1"/>
  <c r="F155" i="5"/>
  <c r="A155" i="5"/>
  <c r="A154" i="5"/>
  <c r="A153" i="5"/>
  <c r="A152" i="5"/>
  <c r="Q151" i="5"/>
  <c r="L151" i="5"/>
  <c r="A151" i="5"/>
  <c r="I151" i="5" s="1"/>
  <c r="S150" i="5"/>
  <c r="Q150" i="5"/>
  <c r="L150" i="5"/>
  <c r="N150" i="5" s="1"/>
  <c r="I150" i="5"/>
  <c r="A150" i="5"/>
  <c r="F150" i="5" s="1"/>
  <c r="Q149" i="5"/>
  <c r="S149" i="5" s="1"/>
  <c r="L149" i="5"/>
  <c r="N149" i="5" s="1"/>
  <c r="I149" i="5"/>
  <c r="F149" i="5"/>
  <c r="A149" i="5"/>
  <c r="Q148" i="5"/>
  <c r="S148" i="5" s="1"/>
  <c r="L148" i="5"/>
  <c r="A148" i="5"/>
  <c r="Q147" i="5"/>
  <c r="L147" i="5"/>
  <c r="A147" i="5"/>
  <c r="I147" i="5" s="1"/>
  <c r="S146" i="5"/>
  <c r="Q146" i="5"/>
  <c r="L146" i="5"/>
  <c r="I146" i="5"/>
  <c r="A146" i="5"/>
  <c r="F146" i="5" s="1"/>
  <c r="Q145" i="5"/>
  <c r="S145" i="5" s="1"/>
  <c r="L145" i="5"/>
  <c r="N145" i="5" s="1"/>
  <c r="I145" i="5"/>
  <c r="F145" i="5"/>
  <c r="A145" i="5"/>
  <c r="Q144" i="5"/>
  <c r="S144" i="5" s="1"/>
  <c r="L144" i="5"/>
  <c r="A144" i="5"/>
  <c r="Q143" i="5"/>
  <c r="L143" i="5"/>
  <c r="A143" i="5"/>
  <c r="I143" i="5" s="1"/>
  <c r="S142" i="5"/>
  <c r="Q142" i="5"/>
  <c r="L142" i="5"/>
  <c r="N142" i="5" s="1"/>
  <c r="I142" i="5"/>
  <c r="A142" i="5"/>
  <c r="F142" i="5" s="1"/>
  <c r="Q141" i="5"/>
  <c r="S141" i="5" s="1"/>
  <c r="L141" i="5"/>
  <c r="N141" i="5" s="1"/>
  <c r="I141" i="5"/>
  <c r="F141" i="5"/>
  <c r="A141" i="5"/>
  <c r="Q140" i="5"/>
  <c r="S140" i="5" s="1"/>
  <c r="L140" i="5"/>
  <c r="A140" i="5"/>
  <c r="Q139" i="5"/>
  <c r="L139" i="5"/>
  <c r="A139" i="5"/>
  <c r="I139" i="5" s="1"/>
  <c r="S138" i="5"/>
  <c r="Q138" i="5"/>
  <c r="L138" i="5"/>
  <c r="I138" i="5"/>
  <c r="A138" i="5"/>
  <c r="F138" i="5" s="1"/>
  <c r="Q137" i="5"/>
  <c r="S137" i="5" s="1"/>
  <c r="L137" i="5"/>
  <c r="I137" i="5"/>
  <c r="F137" i="5"/>
  <c r="A137" i="5"/>
  <c r="Q136" i="5"/>
  <c r="S136" i="5" s="1"/>
  <c r="N136" i="5"/>
  <c r="L136" i="5"/>
  <c r="F136" i="5"/>
  <c r="A136" i="5"/>
  <c r="I136" i="5" s="1"/>
  <c r="Q135" i="5"/>
  <c r="L135" i="5"/>
  <c r="A135" i="5"/>
  <c r="A134" i="5"/>
  <c r="S133" i="5"/>
  <c r="Q133" i="5"/>
  <c r="L133" i="5"/>
  <c r="N133" i="5" s="1"/>
  <c r="I133" i="5"/>
  <c r="F133" i="5"/>
  <c r="A133" i="5"/>
  <c r="Q132" i="5"/>
  <c r="S132" i="5" s="1"/>
  <c r="L132" i="5"/>
  <c r="M408" i="5" s="1"/>
  <c r="A132" i="5"/>
  <c r="I132" i="5" s="1"/>
  <c r="N132" i="5" s="1"/>
  <c r="Q131" i="5"/>
  <c r="L131" i="5"/>
  <c r="A131" i="5"/>
  <c r="Q130" i="5"/>
  <c r="L130" i="5"/>
  <c r="I130" i="5"/>
  <c r="A130" i="5"/>
  <c r="F130" i="5" s="1"/>
  <c r="Q129" i="5"/>
  <c r="S129" i="5" s="1"/>
  <c r="L129" i="5"/>
  <c r="N129" i="5" s="1"/>
  <c r="I129" i="5"/>
  <c r="F129" i="5"/>
  <c r="A129" i="5"/>
  <c r="Q128" i="5"/>
  <c r="S128" i="5" s="1"/>
  <c r="L128" i="5"/>
  <c r="F128" i="5"/>
  <c r="A128" i="5"/>
  <c r="I128" i="5" s="1"/>
  <c r="N128" i="5" s="1"/>
  <c r="Q127" i="5"/>
  <c r="L127" i="5"/>
  <c r="A127" i="5"/>
  <c r="Q126" i="5"/>
  <c r="L126" i="5"/>
  <c r="I126" i="5"/>
  <c r="A126" i="5"/>
  <c r="F126" i="5" s="1"/>
  <c r="Q125" i="5"/>
  <c r="S125" i="5" s="1"/>
  <c r="L125" i="5"/>
  <c r="N125" i="5" s="1"/>
  <c r="I125" i="5"/>
  <c r="F125" i="5"/>
  <c r="A125" i="5"/>
  <c r="Q124" i="5"/>
  <c r="S124" i="5" s="1"/>
  <c r="L124" i="5"/>
  <c r="F124" i="5"/>
  <c r="A124" i="5"/>
  <c r="I124" i="5" s="1"/>
  <c r="N124" i="5" s="1"/>
  <c r="Q123" i="5"/>
  <c r="L123" i="5"/>
  <c r="F123" i="5"/>
  <c r="A123" i="5"/>
  <c r="I123" i="5" s="1"/>
  <c r="S122" i="5"/>
  <c r="Q122" i="5"/>
  <c r="L122" i="5"/>
  <c r="A122" i="5"/>
  <c r="A121" i="5"/>
  <c r="Q120" i="5"/>
  <c r="L120" i="5"/>
  <c r="N120" i="5" s="1"/>
  <c r="I120" i="5"/>
  <c r="F120" i="5"/>
  <c r="A120" i="5"/>
  <c r="Q119" i="5"/>
  <c r="L119" i="5"/>
  <c r="I119" i="5"/>
  <c r="A119" i="5"/>
  <c r="F119" i="5" s="1"/>
  <c r="Q118" i="5"/>
  <c r="L118" i="5"/>
  <c r="S118" i="5" s="1"/>
  <c r="A118" i="5"/>
  <c r="Q117" i="5"/>
  <c r="L117" i="5"/>
  <c r="S117" i="5" s="1"/>
  <c r="I117" i="5"/>
  <c r="A117" i="5"/>
  <c r="F117" i="5" s="1"/>
  <c r="Q116" i="5"/>
  <c r="L116" i="5"/>
  <c r="S116" i="5" s="1"/>
  <c r="F116" i="5"/>
  <c r="A116" i="5"/>
  <c r="I116" i="5" s="1"/>
  <c r="N116" i="5" s="1"/>
  <c r="Q115" i="5"/>
  <c r="L115" i="5"/>
  <c r="S115" i="5" s="1"/>
  <c r="F115" i="5"/>
  <c r="A115" i="5"/>
  <c r="I115" i="5" s="1"/>
  <c r="Q114" i="5"/>
  <c r="L114" i="5"/>
  <c r="F114" i="5"/>
  <c r="A114" i="5"/>
  <c r="I114" i="5" s="1"/>
  <c r="Q113" i="5"/>
  <c r="L113" i="5"/>
  <c r="I113" i="5"/>
  <c r="A113" i="5"/>
  <c r="F113" i="5" s="1"/>
  <c r="Q112" i="5"/>
  <c r="L112" i="5"/>
  <c r="A112" i="5"/>
  <c r="I112" i="5" s="1"/>
  <c r="G112" i="5" s="1"/>
  <c r="S111" i="5"/>
  <c r="Q111" i="5"/>
  <c r="L111" i="5"/>
  <c r="A111" i="5"/>
  <c r="F111" i="5" s="1"/>
  <c r="A110" i="5"/>
  <c r="A109" i="5"/>
  <c r="A108" i="5"/>
  <c r="A107" i="5"/>
  <c r="A106" i="5"/>
  <c r="A105" i="5"/>
  <c r="A104" i="5"/>
  <c r="S103" i="5"/>
  <c r="Q103" i="5"/>
  <c r="N103" i="5"/>
  <c r="L103" i="5"/>
  <c r="I103" i="5"/>
  <c r="F103" i="5"/>
  <c r="E103" i="5"/>
  <c r="D103" i="5"/>
  <c r="A103" i="5"/>
  <c r="G103" i="5" s="1"/>
  <c r="H103" i="5" s="1"/>
  <c r="Q102" i="5"/>
  <c r="L102" i="5"/>
  <c r="L104" i="5" s="1"/>
  <c r="G102" i="5"/>
  <c r="H102" i="5" s="1"/>
  <c r="F102" i="5"/>
  <c r="A102" i="5"/>
  <c r="I102" i="5" s="1"/>
  <c r="Q101" i="5"/>
  <c r="Q104" i="5" s="1"/>
  <c r="N101" i="5"/>
  <c r="L101" i="5"/>
  <c r="I101" i="5"/>
  <c r="I104" i="5" s="1"/>
  <c r="F101" i="5"/>
  <c r="F104" i="5" s="1"/>
  <c r="E101" i="5"/>
  <c r="D101" i="5"/>
  <c r="A101" i="5"/>
  <c r="G101" i="5" s="1"/>
  <c r="H101" i="5" s="1"/>
  <c r="A100" i="5"/>
  <c r="S99" i="5"/>
  <c r="Q99" i="5"/>
  <c r="O99" i="5"/>
  <c r="P99" i="5" s="1"/>
  <c r="L99" i="5"/>
  <c r="N99" i="5" s="1"/>
  <c r="J99" i="5"/>
  <c r="M99" i="5" s="1"/>
  <c r="G99" i="5"/>
  <c r="H99" i="5" s="1"/>
  <c r="F99" i="5"/>
  <c r="D99" i="5"/>
  <c r="E99" i="5" s="1"/>
  <c r="A99" i="5"/>
  <c r="I99" i="5" s="1"/>
  <c r="A98" i="5"/>
  <c r="H97" i="5"/>
  <c r="E97" i="5"/>
  <c r="A97" i="5"/>
  <c r="O96" i="5"/>
  <c r="P101" i="5" s="1"/>
  <c r="A96" i="5"/>
  <c r="Q95" i="5"/>
  <c r="P95" i="5"/>
  <c r="O95" i="5"/>
  <c r="L95" i="5"/>
  <c r="S95" i="5" s="1"/>
  <c r="J95" i="5"/>
  <c r="R95" i="5" s="1"/>
  <c r="G95" i="5"/>
  <c r="H95" i="5" s="1"/>
  <c r="F95" i="5"/>
  <c r="D95" i="5"/>
  <c r="E95" i="5" s="1"/>
  <c r="A95" i="5"/>
  <c r="I95" i="5" s="1"/>
  <c r="Q94" i="5"/>
  <c r="Q96" i="5" s="1"/>
  <c r="P94" i="5"/>
  <c r="O94" i="5"/>
  <c r="L94" i="5"/>
  <c r="K94" i="5"/>
  <c r="J94" i="5"/>
  <c r="G94" i="5"/>
  <c r="M94" i="5" s="1"/>
  <c r="A94" i="5"/>
  <c r="F94" i="5" s="1"/>
  <c r="F96" i="5" s="1"/>
  <c r="F107" i="5" s="1"/>
  <c r="Q93" i="5"/>
  <c r="L93" i="5"/>
  <c r="I93" i="5"/>
  <c r="F93" i="5"/>
  <c r="A93" i="5"/>
  <c r="B85" i="5"/>
  <c r="A85" i="5"/>
  <c r="B84" i="5"/>
  <c r="A84" i="5" s="1"/>
  <c r="B83" i="5"/>
  <c r="A83" i="5" s="1"/>
  <c r="B82" i="5"/>
  <c r="B81" i="5"/>
  <c r="B80" i="5"/>
  <c r="B79" i="5"/>
  <c r="B78" i="5"/>
  <c r="B77" i="5"/>
  <c r="B76" i="5"/>
  <c r="L75" i="5"/>
  <c r="N75" i="5" s="1"/>
  <c r="B75" i="5"/>
  <c r="Q75" i="5" s="1"/>
  <c r="A75" i="5"/>
  <c r="I75" i="5" s="1"/>
  <c r="B74" i="5"/>
  <c r="A74" i="5"/>
  <c r="B73" i="5"/>
  <c r="A73" i="5"/>
  <c r="B72" i="5"/>
  <c r="A72" i="5"/>
  <c r="Q71" i="5"/>
  <c r="L71" i="5"/>
  <c r="I71" i="5"/>
  <c r="B71" i="5"/>
  <c r="A71" i="5"/>
  <c r="F71" i="5" s="1"/>
  <c r="S70" i="5"/>
  <c r="Q70" i="5"/>
  <c r="L70" i="5"/>
  <c r="I70" i="5"/>
  <c r="F70" i="5"/>
  <c r="B70" i="5"/>
  <c r="A70" i="5"/>
  <c r="Q69" i="5"/>
  <c r="S69" i="5" s="1"/>
  <c r="B69" i="5"/>
  <c r="A69" i="5" s="1"/>
  <c r="I69" i="5" s="1"/>
  <c r="N69" i="5" s="1"/>
  <c r="S68" i="5"/>
  <c r="Q68" i="5"/>
  <c r="L68" i="5"/>
  <c r="I68" i="5"/>
  <c r="N68" i="5" s="1"/>
  <c r="B68" i="5"/>
  <c r="A68" i="5" s="1"/>
  <c r="F68" i="5" s="1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A54" i="5" s="1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A41" i="5" s="1"/>
  <c r="Q40" i="5"/>
  <c r="P40" i="5" s="1"/>
  <c r="L40" i="5"/>
  <c r="K40" i="5"/>
  <c r="F40" i="5"/>
  <c r="B40" i="5"/>
  <c r="A40" i="5"/>
  <c r="I40" i="5" s="1"/>
  <c r="Q39" i="5"/>
  <c r="P39" i="5" s="1"/>
  <c r="L39" i="5"/>
  <c r="K39" i="5"/>
  <c r="F39" i="5"/>
  <c r="B39" i="5"/>
  <c r="A39" i="5"/>
  <c r="I39" i="5" s="1"/>
  <c r="Q38" i="5"/>
  <c r="P38" i="5" s="1"/>
  <c r="L38" i="5"/>
  <c r="K38" i="5"/>
  <c r="F38" i="5"/>
  <c r="B38" i="5"/>
  <c r="A38" i="5"/>
  <c r="I38" i="5" s="1"/>
  <c r="Q37" i="5"/>
  <c r="L37" i="5"/>
  <c r="F37" i="5"/>
  <c r="B37" i="5"/>
  <c r="A37" i="5"/>
  <c r="I37" i="5" s="1"/>
  <c r="Q36" i="5"/>
  <c r="L36" i="5"/>
  <c r="F36" i="5"/>
  <c r="B36" i="5"/>
  <c r="A36" i="5"/>
  <c r="I36" i="5" s="1"/>
  <c r="L35" i="5"/>
  <c r="F35" i="5"/>
  <c r="B35" i="5"/>
  <c r="Q35" i="5" s="1"/>
  <c r="A35" i="5"/>
  <c r="I35" i="5" s="1"/>
  <c r="L34" i="5"/>
  <c r="F34" i="5"/>
  <c r="B34" i="5"/>
  <c r="Q34" i="5" s="1"/>
  <c r="A34" i="5"/>
  <c r="I34" i="5" s="1"/>
  <c r="B33" i="5"/>
  <c r="L33" i="5" s="1"/>
  <c r="A33" i="5"/>
  <c r="F33" i="5" s="1"/>
  <c r="Q32" i="5"/>
  <c r="I32" i="5"/>
  <c r="F32" i="5"/>
  <c r="B32" i="5"/>
  <c r="L32" i="5" s="1"/>
  <c r="A32" i="5"/>
  <c r="Q31" i="5"/>
  <c r="B31" i="5"/>
  <c r="L31" i="5" s="1"/>
  <c r="A31" i="5"/>
  <c r="F31" i="5" s="1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Q23" i="5"/>
  <c r="I23" i="5"/>
  <c r="D23" i="5"/>
  <c r="E23" i="5" s="1"/>
  <c r="B23" i="5"/>
  <c r="L23" i="5" s="1"/>
  <c r="A23" i="5"/>
  <c r="G23" i="5" s="1"/>
  <c r="H23" i="5" s="1"/>
  <c r="B22" i="5"/>
  <c r="Q22" i="5" s="1"/>
  <c r="Q21" i="5"/>
  <c r="B21" i="5"/>
  <c r="L21" i="5" s="1"/>
  <c r="A21" i="5"/>
  <c r="I21" i="5" s="1"/>
  <c r="B20" i="5"/>
  <c r="A20" i="5" s="1"/>
  <c r="R19" i="5"/>
  <c r="B19" i="5"/>
  <c r="L19" i="5" s="1"/>
  <c r="B18" i="5"/>
  <c r="A18" i="5"/>
  <c r="B17" i="5"/>
  <c r="J17" i="5" s="1"/>
  <c r="B16" i="5"/>
  <c r="A16" i="5"/>
  <c r="Q15" i="5"/>
  <c r="L15" i="5"/>
  <c r="S15" i="5" s="1"/>
  <c r="J15" i="5"/>
  <c r="K15" i="5" s="1"/>
  <c r="I15" i="5"/>
  <c r="D15" i="5"/>
  <c r="B15" i="5"/>
  <c r="O15" i="5" s="1"/>
  <c r="A15" i="5"/>
  <c r="G15" i="5" s="1"/>
  <c r="B14" i="5"/>
  <c r="A14" i="5"/>
  <c r="B13" i="5"/>
  <c r="A13" i="5"/>
  <c r="J12" i="5"/>
  <c r="B12" i="5"/>
  <c r="Q12" i="5" s="1"/>
  <c r="A12" i="5"/>
  <c r="I12" i="5" s="1"/>
  <c r="Q11" i="5"/>
  <c r="L11" i="5"/>
  <c r="S11" i="5" s="1"/>
  <c r="J11" i="5"/>
  <c r="K11" i="5" s="1"/>
  <c r="I11" i="5"/>
  <c r="D11" i="5"/>
  <c r="E11" i="5" s="1"/>
  <c r="B11" i="5"/>
  <c r="O11" i="5" s="1"/>
  <c r="P11" i="5" s="1"/>
  <c r="A11" i="5"/>
  <c r="G11" i="5" s="1"/>
  <c r="J10" i="5"/>
  <c r="B10" i="5"/>
  <c r="Q10" i="5" s="1"/>
  <c r="A10" i="5"/>
  <c r="I10" i="5" s="1"/>
  <c r="Q9" i="5"/>
  <c r="L9" i="5"/>
  <c r="S9" i="5" s="1"/>
  <c r="J9" i="5"/>
  <c r="K9" i="5" s="1"/>
  <c r="I9" i="5"/>
  <c r="D9" i="5"/>
  <c r="E9" i="5" s="1"/>
  <c r="B9" i="5"/>
  <c r="O9" i="5" s="1"/>
  <c r="P9" i="5" s="1"/>
  <c r="A9" i="5"/>
  <c r="G9" i="5" s="1"/>
  <c r="W8" i="5"/>
  <c r="B8" i="5"/>
  <c r="O8" i="5" s="1"/>
  <c r="P8" i="5" s="1"/>
  <c r="Q7" i="5"/>
  <c r="J7" i="5"/>
  <c r="I7" i="5"/>
  <c r="B7" i="5"/>
  <c r="L7" i="5" s="1"/>
  <c r="A7" i="5"/>
  <c r="D7" i="5" s="1"/>
  <c r="B6" i="5"/>
  <c r="J6" i="5" s="1"/>
  <c r="L5" i="5"/>
  <c r="I5" i="5"/>
  <c r="B5" i="5"/>
  <c r="Q5" i="5" s="1"/>
  <c r="A5" i="5"/>
  <c r="F5" i="5" s="1"/>
  <c r="S1" i="5"/>
  <c r="C1" i="5"/>
  <c r="C89" i="5" s="1"/>
  <c r="A498" i="15"/>
  <c r="A497" i="15"/>
  <c r="AO496" i="15"/>
  <c r="AN496" i="15"/>
  <c r="AL496" i="15"/>
  <c r="AF496" i="15"/>
  <c r="AH496" i="15" s="1"/>
  <c r="A496" i="15"/>
  <c r="AC496" i="15" s="1"/>
  <c r="AI496" i="15" s="1"/>
  <c r="AO495" i="15"/>
  <c r="AL495" i="15"/>
  <c r="AF495" i="15"/>
  <c r="AN495" i="15" s="1"/>
  <c r="A495" i="15"/>
  <c r="AL494" i="15"/>
  <c r="AO494" i="15" s="1"/>
  <c r="AI494" i="15"/>
  <c r="AF494" i="15"/>
  <c r="AN494" i="15" s="1"/>
  <c r="AC494" i="15"/>
  <c r="AH494" i="15" s="1"/>
  <c r="Z494" i="15"/>
  <c r="A494" i="15"/>
  <c r="AL493" i="15"/>
  <c r="AO493" i="15" s="1"/>
  <c r="AF493" i="15"/>
  <c r="AH493" i="15" s="1"/>
  <c r="AC493" i="15"/>
  <c r="AI493" i="15" s="1"/>
  <c r="Z493" i="15"/>
  <c r="A493" i="15"/>
  <c r="AN492" i="15"/>
  <c r="AO492" i="15" s="1"/>
  <c r="AL492" i="15"/>
  <c r="AF492" i="15"/>
  <c r="A492" i="15"/>
  <c r="AC492" i="15" s="1"/>
  <c r="AO491" i="15"/>
  <c r="AL491" i="15"/>
  <c r="AF491" i="15"/>
  <c r="AN491" i="15" s="1"/>
  <c r="A491" i="15"/>
  <c r="AL490" i="15"/>
  <c r="AF490" i="15"/>
  <c r="AN490" i="15" s="1"/>
  <c r="AC490" i="15"/>
  <c r="AH490" i="15" s="1"/>
  <c r="AI490" i="15" s="1"/>
  <c r="Z490" i="15"/>
  <c r="A490" i="15"/>
  <c r="A489" i="15"/>
  <c r="A488" i="15"/>
  <c r="A487" i="15"/>
  <c r="A486" i="15"/>
  <c r="A485" i="15"/>
  <c r="A483" i="15"/>
  <c r="A482" i="15"/>
  <c r="AO481" i="15"/>
  <c r="AN481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L468" i="15"/>
  <c r="AF468" i="15"/>
  <c r="AC468" i="15"/>
  <c r="A468" i="15"/>
  <c r="Z468" i="15" s="1"/>
  <c r="A467" i="15"/>
  <c r="AO466" i="15"/>
  <c r="AN466" i="15"/>
  <c r="AH466" i="15"/>
  <c r="A466" i="15"/>
  <c r="A465" i="15"/>
  <c r="A464" i="15"/>
  <c r="A463" i="15"/>
  <c r="A462" i="15"/>
  <c r="A461" i="15"/>
  <c r="AL460" i="15"/>
  <c r="AF460" i="15"/>
  <c r="AC460" i="15"/>
  <c r="Z460" i="15"/>
  <c r="A460" i="15"/>
  <c r="AL459" i="15"/>
  <c r="AF459" i="15"/>
  <c r="AC459" i="15"/>
  <c r="A459" i="15"/>
  <c r="Z459" i="15" s="1"/>
  <c r="AO458" i="15"/>
  <c r="AN458" i="15"/>
  <c r="AL458" i="15"/>
  <c r="AF458" i="15"/>
  <c r="A458" i="15"/>
  <c r="AL457" i="15"/>
  <c r="AF457" i="15"/>
  <c r="AN457" i="15" s="1"/>
  <c r="AO457" i="15" s="1"/>
  <c r="A457" i="15"/>
  <c r="AL456" i="15"/>
  <c r="AF456" i="15"/>
  <c r="AC456" i="15"/>
  <c r="Z456" i="15"/>
  <c r="A456" i="15"/>
  <c r="AL455" i="15"/>
  <c r="AO455" i="15" s="1"/>
  <c r="AF455" i="15"/>
  <c r="AC455" i="15"/>
  <c r="AI455" i="15" s="1"/>
  <c r="A455" i="15"/>
  <c r="Z455" i="15" s="1"/>
  <c r="AL454" i="15"/>
  <c r="AF454" i="15"/>
  <c r="A454" i="15"/>
  <c r="AL453" i="15"/>
  <c r="AF453" i="15"/>
  <c r="AN453" i="15" s="1"/>
  <c r="AO453" i="15" s="1"/>
  <c r="A453" i="15"/>
  <c r="AL452" i="15"/>
  <c r="AF452" i="15"/>
  <c r="AC452" i="15"/>
  <c r="Z452" i="15"/>
  <c r="A452" i="15"/>
  <c r="A451" i="15"/>
  <c r="A450" i="15"/>
  <c r="A449" i="15"/>
  <c r="A448" i="15"/>
  <c r="AL447" i="15"/>
  <c r="AF447" i="15"/>
  <c r="A447" i="15"/>
  <c r="A446" i="15"/>
  <c r="A445" i="15"/>
  <c r="A444" i="15"/>
  <c r="A443" i="15"/>
  <c r="A442" i="15"/>
  <c r="A441" i="15"/>
  <c r="A440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M423" i="15"/>
  <c r="A423" i="15"/>
  <c r="A422" i="15"/>
  <c r="A421" i="15"/>
  <c r="A420" i="15"/>
  <c r="AN419" i="15"/>
  <c r="AL419" i="15"/>
  <c r="AI419" i="15"/>
  <c r="AF419" i="15"/>
  <c r="Z419" i="15"/>
  <c r="A419" i="15"/>
  <c r="AC419" i="15" s="1"/>
  <c r="A418" i="15"/>
  <c r="A417" i="15"/>
  <c r="Q416" i="15"/>
  <c r="A416" i="15"/>
  <c r="Q415" i="15"/>
  <c r="A415" i="15"/>
  <c r="A414" i="15"/>
  <c r="M413" i="15"/>
  <c r="A413" i="15"/>
  <c r="A412" i="15"/>
  <c r="A411" i="15"/>
  <c r="A410" i="15"/>
  <c r="A409" i="15"/>
  <c r="A408" i="15"/>
  <c r="A407" i="15"/>
  <c r="A406" i="15"/>
  <c r="A405" i="15"/>
  <c r="A404" i="15"/>
  <c r="A403" i="15"/>
  <c r="Q393" i="15"/>
  <c r="L393" i="15"/>
  <c r="N393" i="15" s="1"/>
  <c r="I393" i="15"/>
  <c r="F393" i="15"/>
  <c r="A393" i="15"/>
  <c r="Q392" i="15"/>
  <c r="S392" i="15" s="1"/>
  <c r="L392" i="15"/>
  <c r="I392" i="15"/>
  <c r="N392" i="15" s="1"/>
  <c r="F392" i="15"/>
  <c r="A392" i="15"/>
  <c r="S391" i="15"/>
  <c r="Q391" i="15"/>
  <c r="L391" i="15"/>
  <c r="I391" i="15"/>
  <c r="N391" i="15" s="1"/>
  <c r="F391" i="15"/>
  <c r="A391" i="15"/>
  <c r="Q390" i="15"/>
  <c r="L390" i="15"/>
  <c r="F390" i="15"/>
  <c r="A390" i="15"/>
  <c r="I390" i="15" s="1"/>
  <c r="Q389" i="15"/>
  <c r="L389" i="15"/>
  <c r="S389" i="15" s="1"/>
  <c r="A389" i="15"/>
  <c r="Q388" i="15"/>
  <c r="L388" i="15"/>
  <c r="I388" i="15"/>
  <c r="F388" i="15"/>
  <c r="A388" i="15"/>
  <c r="S387" i="15"/>
  <c r="Q387" i="15"/>
  <c r="L387" i="15"/>
  <c r="I387" i="15"/>
  <c r="N387" i="15" s="1"/>
  <c r="F387" i="15"/>
  <c r="A387" i="15"/>
  <c r="Q386" i="15"/>
  <c r="L386" i="15"/>
  <c r="F386" i="15"/>
  <c r="A386" i="15"/>
  <c r="I386" i="15" s="1"/>
  <c r="N386" i="15" s="1"/>
  <c r="Q385" i="15"/>
  <c r="L385" i="15"/>
  <c r="S385" i="15" s="1"/>
  <c r="A385" i="15"/>
  <c r="Q384" i="15"/>
  <c r="L384" i="15"/>
  <c r="I384" i="15"/>
  <c r="F384" i="15"/>
  <c r="A384" i="15"/>
  <c r="S383" i="15"/>
  <c r="Q383" i="15"/>
  <c r="L383" i="15"/>
  <c r="I383" i="15"/>
  <c r="N383" i="15" s="1"/>
  <c r="F383" i="15"/>
  <c r="A383" i="15"/>
  <c r="Q382" i="15"/>
  <c r="L382" i="15"/>
  <c r="S382" i="15" s="1"/>
  <c r="F382" i="15"/>
  <c r="A382" i="15"/>
  <c r="I382" i="15" s="1"/>
  <c r="N382" i="15" s="1"/>
  <c r="Q381" i="15"/>
  <c r="L381" i="15"/>
  <c r="S381" i="15" s="1"/>
  <c r="A381" i="15"/>
  <c r="Q380" i="15"/>
  <c r="L380" i="15"/>
  <c r="I380" i="15"/>
  <c r="F380" i="15"/>
  <c r="A380" i="15"/>
  <c r="S379" i="15"/>
  <c r="Q379" i="15"/>
  <c r="L379" i="15"/>
  <c r="I379" i="15"/>
  <c r="N379" i="15" s="1"/>
  <c r="F379" i="15"/>
  <c r="A379" i="15"/>
  <c r="Q378" i="15"/>
  <c r="Q394" i="15" s="1"/>
  <c r="P394" i="15" s="1"/>
  <c r="L378" i="15"/>
  <c r="F378" i="15"/>
  <c r="A378" i="15"/>
  <c r="I378" i="15" s="1"/>
  <c r="N378" i="15" s="1"/>
  <c r="Q377" i="15"/>
  <c r="L377" i="15"/>
  <c r="S377" i="15" s="1"/>
  <c r="A377" i="15"/>
  <c r="A376" i="15"/>
  <c r="S375" i="15"/>
  <c r="Q375" i="15"/>
  <c r="L375" i="15"/>
  <c r="I375" i="15"/>
  <c r="N375" i="15" s="1"/>
  <c r="F375" i="15"/>
  <c r="A375" i="15"/>
  <c r="Q374" i="15"/>
  <c r="L374" i="15"/>
  <c r="S374" i="15" s="1"/>
  <c r="F374" i="15"/>
  <c r="A374" i="15"/>
  <c r="I374" i="15" s="1"/>
  <c r="N374" i="15" s="1"/>
  <c r="Q373" i="15"/>
  <c r="L373" i="15"/>
  <c r="S373" i="15" s="1"/>
  <c r="A373" i="15"/>
  <c r="Q372" i="15"/>
  <c r="L372" i="15"/>
  <c r="I372" i="15"/>
  <c r="F372" i="15"/>
  <c r="A372" i="15"/>
  <c r="S371" i="15"/>
  <c r="Q371" i="15"/>
  <c r="L371" i="15"/>
  <c r="I371" i="15"/>
  <c r="N371" i="15" s="1"/>
  <c r="F371" i="15"/>
  <c r="A371" i="15"/>
  <c r="Q370" i="15"/>
  <c r="L370" i="15"/>
  <c r="F370" i="15"/>
  <c r="A370" i="15"/>
  <c r="I370" i="15" s="1"/>
  <c r="N370" i="15" s="1"/>
  <c r="Q369" i="15"/>
  <c r="L369" i="15"/>
  <c r="S369" i="15" s="1"/>
  <c r="A369" i="15"/>
  <c r="Q368" i="15"/>
  <c r="L368" i="15"/>
  <c r="I368" i="15"/>
  <c r="F368" i="15"/>
  <c r="A368" i="15"/>
  <c r="S367" i="15"/>
  <c r="Q367" i="15"/>
  <c r="L367" i="15"/>
  <c r="I367" i="15"/>
  <c r="N367" i="15" s="1"/>
  <c r="F367" i="15"/>
  <c r="A367" i="15"/>
  <c r="Q366" i="15"/>
  <c r="L366" i="15"/>
  <c r="F366" i="15"/>
  <c r="A366" i="15"/>
  <c r="I366" i="15" s="1"/>
  <c r="N366" i="15" s="1"/>
  <c r="Q365" i="15"/>
  <c r="L365" i="15"/>
  <c r="S365" i="15" s="1"/>
  <c r="A365" i="15"/>
  <c r="S364" i="15"/>
  <c r="Q364" i="15"/>
  <c r="L364" i="15"/>
  <c r="I364" i="15"/>
  <c r="F364" i="15"/>
  <c r="A364" i="15"/>
  <c r="A363" i="15"/>
  <c r="S362" i="15"/>
  <c r="N362" i="15"/>
  <c r="A362" i="15"/>
  <c r="Q361" i="15"/>
  <c r="J361" i="15"/>
  <c r="K361" i="15" s="1"/>
  <c r="A361" i="15"/>
  <c r="A360" i="15"/>
  <c r="Q359" i="15"/>
  <c r="P359" i="15"/>
  <c r="O359" i="15"/>
  <c r="R359" i="15" s="1"/>
  <c r="L359" i="15"/>
  <c r="K359" i="15"/>
  <c r="J359" i="15"/>
  <c r="D359" i="15"/>
  <c r="D361" i="15" s="1"/>
  <c r="E361" i="15" s="1"/>
  <c r="A359" i="15"/>
  <c r="G359" i="15" s="1"/>
  <c r="A358" i="15"/>
  <c r="N351" i="15"/>
  <c r="S347" i="15"/>
  <c r="Q347" i="15"/>
  <c r="L347" i="15"/>
  <c r="I347" i="15"/>
  <c r="N347" i="15" s="1"/>
  <c r="F347" i="15"/>
  <c r="A347" i="15"/>
  <c r="Q346" i="15"/>
  <c r="L346" i="15"/>
  <c r="F346" i="15"/>
  <c r="A346" i="15"/>
  <c r="I346" i="15" s="1"/>
  <c r="N346" i="15" s="1"/>
  <c r="Q345" i="15"/>
  <c r="L345" i="15"/>
  <c r="S345" i="15" s="1"/>
  <c r="A345" i="15"/>
  <c r="Q344" i="15"/>
  <c r="L344" i="15"/>
  <c r="I344" i="15"/>
  <c r="F344" i="15"/>
  <c r="A344" i="15"/>
  <c r="S343" i="15"/>
  <c r="Q343" i="15"/>
  <c r="L343" i="15"/>
  <c r="I343" i="15"/>
  <c r="N343" i="15" s="1"/>
  <c r="F343" i="15"/>
  <c r="A343" i="15"/>
  <c r="Q342" i="15"/>
  <c r="L342" i="15"/>
  <c r="F342" i="15"/>
  <c r="A342" i="15"/>
  <c r="I342" i="15" s="1"/>
  <c r="N342" i="15" s="1"/>
  <c r="Q341" i="15"/>
  <c r="L341" i="15"/>
  <c r="S341" i="15" s="1"/>
  <c r="A341" i="15"/>
  <c r="Q340" i="15"/>
  <c r="L340" i="15"/>
  <c r="I340" i="15"/>
  <c r="F340" i="15"/>
  <c r="A340" i="15"/>
  <c r="S339" i="15"/>
  <c r="Q339" i="15"/>
  <c r="L339" i="15"/>
  <c r="I339" i="15"/>
  <c r="N339" i="15" s="1"/>
  <c r="F339" i="15"/>
  <c r="A339" i="15"/>
  <c r="Q338" i="15"/>
  <c r="L338" i="15"/>
  <c r="F338" i="15"/>
  <c r="A338" i="15"/>
  <c r="I338" i="15" s="1"/>
  <c r="N338" i="15" s="1"/>
  <c r="Q337" i="15"/>
  <c r="L337" i="15"/>
  <c r="S337" i="15" s="1"/>
  <c r="A337" i="15"/>
  <c r="Q336" i="15"/>
  <c r="L336" i="15"/>
  <c r="A336" i="15"/>
  <c r="Q335" i="15"/>
  <c r="L335" i="15"/>
  <c r="S335" i="15" s="1"/>
  <c r="A335" i="15"/>
  <c r="Q334" i="15"/>
  <c r="L334" i="15"/>
  <c r="I334" i="15"/>
  <c r="F334" i="15"/>
  <c r="A334" i="15"/>
  <c r="S333" i="15"/>
  <c r="Q333" i="15"/>
  <c r="L333" i="15"/>
  <c r="I333" i="15"/>
  <c r="N333" i="15" s="1"/>
  <c r="F333" i="15"/>
  <c r="A333" i="15"/>
  <c r="Q332" i="15"/>
  <c r="L332" i="15"/>
  <c r="F332" i="15"/>
  <c r="A332" i="15"/>
  <c r="I332" i="15" s="1"/>
  <c r="N332" i="15" s="1"/>
  <c r="Q331" i="15"/>
  <c r="L331" i="15"/>
  <c r="S331" i="15" s="1"/>
  <c r="A331" i="15"/>
  <c r="Q330" i="15"/>
  <c r="L330" i="15"/>
  <c r="I330" i="15"/>
  <c r="F330" i="15"/>
  <c r="A330" i="15"/>
  <c r="A329" i="15"/>
  <c r="Q328" i="15"/>
  <c r="L328" i="15"/>
  <c r="S328" i="15" s="1"/>
  <c r="F328" i="15"/>
  <c r="A328" i="15"/>
  <c r="I328" i="15" s="1"/>
  <c r="N328" i="15" s="1"/>
  <c r="Q327" i="15"/>
  <c r="L327" i="15"/>
  <c r="S327" i="15" s="1"/>
  <c r="A327" i="15"/>
  <c r="Q326" i="15"/>
  <c r="L326" i="15"/>
  <c r="I326" i="15"/>
  <c r="F326" i="15"/>
  <c r="A326" i="15"/>
  <c r="S325" i="15"/>
  <c r="Q325" i="15"/>
  <c r="L325" i="15"/>
  <c r="M428" i="15" s="1"/>
  <c r="I325" i="15"/>
  <c r="N325" i="15" s="1"/>
  <c r="F325" i="15"/>
  <c r="A325" i="15"/>
  <c r="Q324" i="15"/>
  <c r="L324" i="15"/>
  <c r="F324" i="15"/>
  <c r="A324" i="15"/>
  <c r="I324" i="15" s="1"/>
  <c r="N324" i="15" s="1"/>
  <c r="Q323" i="15"/>
  <c r="L323" i="15"/>
  <c r="S323" i="15" s="1"/>
  <c r="A323" i="15"/>
  <c r="Q322" i="15"/>
  <c r="L322" i="15"/>
  <c r="I322" i="15"/>
  <c r="F322" i="15"/>
  <c r="A322" i="15"/>
  <c r="S321" i="15"/>
  <c r="Q321" i="15"/>
  <c r="L321" i="15"/>
  <c r="I321" i="15"/>
  <c r="N321" i="15" s="1"/>
  <c r="F321" i="15"/>
  <c r="A321" i="15"/>
  <c r="Q320" i="15"/>
  <c r="L320" i="15"/>
  <c r="F320" i="15"/>
  <c r="A320" i="15"/>
  <c r="I320" i="15" s="1"/>
  <c r="N320" i="15" s="1"/>
  <c r="Q319" i="15"/>
  <c r="L319" i="15"/>
  <c r="A319" i="15"/>
  <c r="Q318" i="15"/>
  <c r="L318" i="15"/>
  <c r="I318" i="15"/>
  <c r="F318" i="15"/>
  <c r="A318" i="15"/>
  <c r="S317" i="15"/>
  <c r="Q317" i="15"/>
  <c r="Q329" i="15" s="1"/>
  <c r="L317" i="15"/>
  <c r="I317" i="15"/>
  <c r="F317" i="15"/>
  <c r="A317" i="15"/>
  <c r="A316" i="15"/>
  <c r="A315" i="15"/>
  <c r="A314" i="15"/>
  <c r="A313" i="15"/>
  <c r="A312" i="15"/>
  <c r="Q311" i="15"/>
  <c r="P311" i="15"/>
  <c r="O311" i="15"/>
  <c r="L311" i="15"/>
  <c r="K311" i="15"/>
  <c r="J311" i="15"/>
  <c r="A311" i="15"/>
  <c r="A310" i="15"/>
  <c r="A309" i="15"/>
  <c r="A308" i="15"/>
  <c r="Q307" i="15"/>
  <c r="S307" i="15" s="1"/>
  <c r="O307" i="15"/>
  <c r="R307" i="15" s="1"/>
  <c r="L307" i="15"/>
  <c r="K307" i="15"/>
  <c r="J307" i="15"/>
  <c r="G307" i="15"/>
  <c r="F307" i="15"/>
  <c r="E307" i="15" s="1"/>
  <c r="A307" i="15"/>
  <c r="D307" i="15" s="1"/>
  <c r="S306" i="15"/>
  <c r="Q306" i="15"/>
  <c r="O306" i="15"/>
  <c r="L306" i="15"/>
  <c r="J306" i="15"/>
  <c r="D306" i="15"/>
  <c r="A306" i="15"/>
  <c r="I306" i="15" s="1"/>
  <c r="N306" i="15" s="1"/>
  <c r="A305" i="15"/>
  <c r="A304" i="15"/>
  <c r="O303" i="15"/>
  <c r="A303" i="15"/>
  <c r="R302" i="15"/>
  <c r="Q302" i="15"/>
  <c r="P302" i="15"/>
  <c r="O302" i="15"/>
  <c r="L302" i="15"/>
  <c r="S302" i="15" s="1"/>
  <c r="K302" i="15"/>
  <c r="J302" i="15"/>
  <c r="G302" i="15"/>
  <c r="H302" i="15" s="1"/>
  <c r="A302" i="15"/>
  <c r="F302" i="15" s="1"/>
  <c r="R301" i="15"/>
  <c r="Q301" i="15"/>
  <c r="P301" i="15"/>
  <c r="O301" i="15"/>
  <c r="L301" i="15"/>
  <c r="S301" i="15" s="1"/>
  <c r="K301" i="15"/>
  <c r="J301" i="15"/>
  <c r="I301" i="15"/>
  <c r="N301" i="15" s="1"/>
  <c r="D301" i="15"/>
  <c r="E301" i="15" s="1"/>
  <c r="A301" i="15"/>
  <c r="F301" i="15" s="1"/>
  <c r="Q300" i="15"/>
  <c r="P300" i="15"/>
  <c r="O300" i="15"/>
  <c r="R300" i="15" s="1"/>
  <c r="L300" i="15"/>
  <c r="K300" i="15"/>
  <c r="J300" i="15"/>
  <c r="D300" i="15"/>
  <c r="E300" i="15" s="1"/>
  <c r="A300" i="15"/>
  <c r="G300" i="15" s="1"/>
  <c r="Q299" i="15"/>
  <c r="P299" i="15" s="1"/>
  <c r="O299" i="15"/>
  <c r="M299" i="15"/>
  <c r="L299" i="15"/>
  <c r="S299" i="15" s="1"/>
  <c r="J299" i="15"/>
  <c r="K299" i="15" s="1"/>
  <c r="I299" i="15"/>
  <c r="F299" i="15"/>
  <c r="E299" i="15"/>
  <c r="D299" i="15"/>
  <c r="A299" i="15"/>
  <c r="G299" i="15" s="1"/>
  <c r="H299" i="15" s="1"/>
  <c r="Q298" i="15"/>
  <c r="S298" i="15" s="1"/>
  <c r="O298" i="15"/>
  <c r="P298" i="15" s="1"/>
  <c r="N298" i="15"/>
  <c r="L298" i="15"/>
  <c r="J298" i="15"/>
  <c r="I298" i="15"/>
  <c r="F298" i="15"/>
  <c r="A298" i="15"/>
  <c r="D298" i="15" s="1"/>
  <c r="E298" i="15" s="1"/>
  <c r="S297" i="15"/>
  <c r="Q297" i="15"/>
  <c r="O297" i="15"/>
  <c r="L297" i="15"/>
  <c r="K297" i="15"/>
  <c r="J297" i="15"/>
  <c r="A297" i="15"/>
  <c r="Q296" i="15"/>
  <c r="P296" i="15"/>
  <c r="O296" i="15"/>
  <c r="R296" i="15" s="1"/>
  <c r="L296" i="15"/>
  <c r="J296" i="15"/>
  <c r="D296" i="15"/>
  <c r="A296" i="15"/>
  <c r="G296" i="15" s="1"/>
  <c r="M296" i="15" s="1"/>
  <c r="Q295" i="15"/>
  <c r="P295" i="15" s="1"/>
  <c r="O295" i="15"/>
  <c r="L295" i="15"/>
  <c r="J295" i="15"/>
  <c r="K295" i="15" s="1"/>
  <c r="I295" i="15"/>
  <c r="F295" i="15"/>
  <c r="E295" i="15"/>
  <c r="D295" i="15"/>
  <c r="A295" i="15"/>
  <c r="G295" i="15" s="1"/>
  <c r="H295" i="15" s="1"/>
  <c r="Q294" i="15"/>
  <c r="O294" i="15"/>
  <c r="P294" i="15" s="1"/>
  <c r="N294" i="15"/>
  <c r="L294" i="15"/>
  <c r="J294" i="15"/>
  <c r="I294" i="15"/>
  <c r="F294" i="15"/>
  <c r="A294" i="15"/>
  <c r="D294" i="15" s="1"/>
  <c r="A293" i="15"/>
  <c r="N287" i="15"/>
  <c r="Q283" i="15"/>
  <c r="L283" i="15"/>
  <c r="S283" i="15" s="1"/>
  <c r="A283" i="15"/>
  <c r="Q282" i="15"/>
  <c r="L282" i="15"/>
  <c r="I282" i="15"/>
  <c r="A282" i="15"/>
  <c r="F282" i="15" s="1"/>
  <c r="S281" i="15"/>
  <c r="Q281" i="15"/>
  <c r="L281" i="15"/>
  <c r="I281" i="15"/>
  <c r="F281" i="15"/>
  <c r="A281" i="15"/>
  <c r="Q280" i="15"/>
  <c r="S280" i="15" s="1"/>
  <c r="L280" i="15"/>
  <c r="F280" i="15"/>
  <c r="A280" i="15"/>
  <c r="I280" i="15" s="1"/>
  <c r="N280" i="15" s="1"/>
  <c r="Q279" i="15"/>
  <c r="L279" i="15"/>
  <c r="S279" i="15" s="1"/>
  <c r="A279" i="15"/>
  <c r="Q278" i="15"/>
  <c r="L278" i="15"/>
  <c r="I278" i="15"/>
  <c r="A278" i="15"/>
  <c r="F278" i="15" s="1"/>
  <c r="S277" i="15"/>
  <c r="Q277" i="15"/>
  <c r="L277" i="15"/>
  <c r="N277" i="15" s="1"/>
  <c r="I277" i="15"/>
  <c r="F277" i="15"/>
  <c r="A277" i="15"/>
  <c r="Q276" i="15"/>
  <c r="S276" i="15" s="1"/>
  <c r="L276" i="15"/>
  <c r="F276" i="15"/>
  <c r="A276" i="15"/>
  <c r="I276" i="15" s="1"/>
  <c r="N276" i="15" s="1"/>
  <c r="Q275" i="15"/>
  <c r="L275" i="15"/>
  <c r="S275" i="15" s="1"/>
  <c r="A275" i="15"/>
  <c r="Q274" i="15"/>
  <c r="L274" i="15"/>
  <c r="I274" i="15"/>
  <c r="A274" i="15"/>
  <c r="F274" i="15" s="1"/>
  <c r="S273" i="15"/>
  <c r="Q273" i="15"/>
  <c r="L273" i="15"/>
  <c r="I273" i="15"/>
  <c r="F273" i="15"/>
  <c r="A273" i="15"/>
  <c r="Q272" i="15"/>
  <c r="S272" i="15" s="1"/>
  <c r="N272" i="15"/>
  <c r="L272" i="15"/>
  <c r="A272" i="15"/>
  <c r="S271" i="15"/>
  <c r="Q271" i="15"/>
  <c r="L271" i="15"/>
  <c r="N271" i="15" s="1"/>
  <c r="I271" i="15"/>
  <c r="F271" i="15"/>
  <c r="A271" i="15"/>
  <c r="Q270" i="15"/>
  <c r="S270" i="15" s="1"/>
  <c r="L270" i="15"/>
  <c r="F270" i="15"/>
  <c r="A270" i="15"/>
  <c r="I270" i="15" s="1"/>
  <c r="N270" i="15" s="1"/>
  <c r="Q269" i="15"/>
  <c r="L269" i="15"/>
  <c r="S269" i="15" s="1"/>
  <c r="A269" i="15"/>
  <c r="Q268" i="15"/>
  <c r="L268" i="15"/>
  <c r="L284" i="15" s="1"/>
  <c r="I268" i="15"/>
  <c r="A268" i="15"/>
  <c r="F268" i="15" s="1"/>
  <c r="S267" i="15"/>
  <c r="Q267" i="15"/>
  <c r="L267" i="15"/>
  <c r="I267" i="15"/>
  <c r="F267" i="15"/>
  <c r="A267" i="15"/>
  <c r="Q266" i="15"/>
  <c r="L266" i="15"/>
  <c r="F266" i="15"/>
  <c r="A266" i="15"/>
  <c r="I266" i="15" s="1"/>
  <c r="A265" i="15"/>
  <c r="Q264" i="15"/>
  <c r="L264" i="15"/>
  <c r="I264" i="15"/>
  <c r="F264" i="15"/>
  <c r="A264" i="15"/>
  <c r="S263" i="15"/>
  <c r="Q263" i="15"/>
  <c r="L263" i="15"/>
  <c r="M421" i="15" s="1"/>
  <c r="I263" i="15"/>
  <c r="N263" i="15" s="1"/>
  <c r="F263" i="15"/>
  <c r="A263" i="15"/>
  <c r="Q262" i="15"/>
  <c r="L262" i="15"/>
  <c r="M420" i="15" s="1"/>
  <c r="F262" i="15"/>
  <c r="A262" i="15"/>
  <c r="I262" i="15" s="1"/>
  <c r="N262" i="15" s="1"/>
  <c r="Q261" i="15"/>
  <c r="L261" i="15"/>
  <c r="M419" i="15" s="1"/>
  <c r="M422" i="15" s="1"/>
  <c r="A261" i="15"/>
  <c r="Q260" i="15"/>
  <c r="L260" i="15"/>
  <c r="I260" i="15"/>
  <c r="F260" i="15"/>
  <c r="A260" i="15"/>
  <c r="S259" i="15"/>
  <c r="Q259" i="15"/>
  <c r="L259" i="15"/>
  <c r="I259" i="15"/>
  <c r="N259" i="15" s="1"/>
  <c r="F259" i="15"/>
  <c r="A259" i="15"/>
  <c r="Q258" i="15"/>
  <c r="L258" i="15"/>
  <c r="S258" i="15" s="1"/>
  <c r="F258" i="15"/>
  <c r="A258" i="15"/>
  <c r="I258" i="15" s="1"/>
  <c r="N258" i="15" s="1"/>
  <c r="Q257" i="15"/>
  <c r="L257" i="15"/>
  <c r="S257" i="15" s="1"/>
  <c r="A257" i="15"/>
  <c r="Q256" i="15"/>
  <c r="L256" i="15"/>
  <c r="I256" i="15"/>
  <c r="F256" i="15"/>
  <c r="A256" i="15"/>
  <c r="S255" i="15"/>
  <c r="Q255" i="15"/>
  <c r="L255" i="15"/>
  <c r="I255" i="15"/>
  <c r="N255" i="15" s="1"/>
  <c r="F255" i="15"/>
  <c r="A255" i="15"/>
  <c r="Q254" i="15"/>
  <c r="L254" i="15"/>
  <c r="S254" i="15" s="1"/>
  <c r="F254" i="15"/>
  <c r="A254" i="15"/>
  <c r="I254" i="15" s="1"/>
  <c r="N254" i="15" s="1"/>
  <c r="Q253" i="15"/>
  <c r="L253" i="15"/>
  <c r="L265" i="15" s="1"/>
  <c r="A253" i="15"/>
  <c r="A252" i="15"/>
  <c r="A251" i="15"/>
  <c r="A250" i="15"/>
  <c r="L249" i="15"/>
  <c r="K249" i="15"/>
  <c r="A249" i="15"/>
  <c r="A248" i="15"/>
  <c r="S247" i="15"/>
  <c r="I247" i="15"/>
  <c r="F247" i="15"/>
  <c r="A247" i="15"/>
  <c r="R246" i="15"/>
  <c r="Q246" i="15"/>
  <c r="Q247" i="15" s="1"/>
  <c r="P246" i="15"/>
  <c r="O246" i="15"/>
  <c r="N246" i="15"/>
  <c r="N247" i="15" s="1"/>
  <c r="M246" i="15"/>
  <c r="L246" i="15"/>
  <c r="L247" i="15" s="1"/>
  <c r="K246" i="15"/>
  <c r="J246" i="15"/>
  <c r="A246" i="15"/>
  <c r="A245" i="15"/>
  <c r="Q244" i="15"/>
  <c r="A244" i="15"/>
  <c r="Q243" i="15"/>
  <c r="S244" i="15" s="1"/>
  <c r="P243" i="15"/>
  <c r="P249" i="15" s="1"/>
  <c r="O243" i="15"/>
  <c r="R243" i="15" s="1"/>
  <c r="M243" i="15"/>
  <c r="L243" i="15"/>
  <c r="L244" i="15" s="1"/>
  <c r="K243" i="15"/>
  <c r="J243" i="15"/>
  <c r="I243" i="15"/>
  <c r="H243" i="15"/>
  <c r="H249" i="15" s="1"/>
  <c r="E243" i="15"/>
  <c r="E249" i="15" s="1"/>
  <c r="D243" i="15"/>
  <c r="A243" i="15"/>
  <c r="G243" i="15" s="1"/>
  <c r="A242" i="15"/>
  <c r="I241" i="15"/>
  <c r="A241" i="15"/>
  <c r="Q240" i="15"/>
  <c r="Q241" i="15" s="1"/>
  <c r="P240" i="15"/>
  <c r="O240" i="15"/>
  <c r="N240" i="15"/>
  <c r="N241" i="15" s="1"/>
  <c r="M240" i="15"/>
  <c r="L240" i="15"/>
  <c r="L241" i="15" s="1"/>
  <c r="K240" i="15"/>
  <c r="J240" i="15"/>
  <c r="R240" i="15" s="1"/>
  <c r="I240" i="15"/>
  <c r="H240" i="15"/>
  <c r="F240" i="15"/>
  <c r="F241" i="15" s="1"/>
  <c r="E240" i="15"/>
  <c r="D240" i="15"/>
  <c r="A240" i="15"/>
  <c r="G240" i="15" s="1"/>
  <c r="A239" i="15"/>
  <c r="A238" i="15"/>
  <c r="N231" i="15"/>
  <c r="Q227" i="15"/>
  <c r="L227" i="15"/>
  <c r="F227" i="15"/>
  <c r="A227" i="15"/>
  <c r="I227" i="15" s="1"/>
  <c r="N227" i="15" s="1"/>
  <c r="Q226" i="15"/>
  <c r="N226" i="15"/>
  <c r="L226" i="15"/>
  <c r="S226" i="15" s="1"/>
  <c r="I226" i="15"/>
  <c r="F226" i="15"/>
  <c r="S225" i="15"/>
  <c r="Q225" i="15"/>
  <c r="L225" i="15"/>
  <c r="I225" i="15"/>
  <c r="F225" i="15"/>
  <c r="A225" i="15"/>
  <c r="Q224" i="15"/>
  <c r="S224" i="15" s="1"/>
  <c r="L224" i="15"/>
  <c r="F224" i="15"/>
  <c r="A224" i="15"/>
  <c r="I224" i="15" s="1"/>
  <c r="N224" i="15" s="1"/>
  <c r="Q223" i="15"/>
  <c r="L223" i="15"/>
  <c r="S223" i="15" s="1"/>
  <c r="A223" i="15"/>
  <c r="Q222" i="15"/>
  <c r="L222" i="15"/>
  <c r="I222" i="15"/>
  <c r="A222" i="15"/>
  <c r="F222" i="15" s="1"/>
  <c r="S221" i="15"/>
  <c r="Q221" i="15"/>
  <c r="L221" i="15"/>
  <c r="N221" i="15" s="1"/>
  <c r="I221" i="15"/>
  <c r="F221" i="15"/>
  <c r="A221" i="15"/>
  <c r="Q220" i="15"/>
  <c r="S220" i="15" s="1"/>
  <c r="L220" i="15"/>
  <c r="F220" i="15"/>
  <c r="A220" i="15"/>
  <c r="I220" i="15" s="1"/>
  <c r="N220" i="15" s="1"/>
  <c r="Q219" i="15"/>
  <c r="L219" i="15"/>
  <c r="S219" i="15" s="1"/>
  <c r="A219" i="15"/>
  <c r="Q218" i="15"/>
  <c r="L218" i="15"/>
  <c r="I218" i="15"/>
  <c r="A218" i="15"/>
  <c r="F218" i="15" s="1"/>
  <c r="S217" i="15"/>
  <c r="Q217" i="15"/>
  <c r="L217" i="15"/>
  <c r="I217" i="15"/>
  <c r="F217" i="15"/>
  <c r="A217" i="15"/>
  <c r="Q216" i="15"/>
  <c r="S216" i="15" s="1"/>
  <c r="N216" i="15"/>
  <c r="L216" i="15"/>
  <c r="A216" i="15"/>
  <c r="S215" i="15"/>
  <c r="Q215" i="15"/>
  <c r="L215" i="15"/>
  <c r="N215" i="15" s="1"/>
  <c r="I215" i="15"/>
  <c r="F215" i="15"/>
  <c r="A215" i="15"/>
  <c r="Q214" i="15"/>
  <c r="S214" i="15" s="1"/>
  <c r="L214" i="15"/>
  <c r="F214" i="15"/>
  <c r="A214" i="15"/>
  <c r="I214" i="15" s="1"/>
  <c r="N214" i="15" s="1"/>
  <c r="Q213" i="15"/>
  <c r="L213" i="15"/>
  <c r="S213" i="15" s="1"/>
  <c r="A213" i="15"/>
  <c r="Q212" i="15"/>
  <c r="L212" i="15"/>
  <c r="I212" i="15"/>
  <c r="A212" i="15"/>
  <c r="F212" i="15" s="1"/>
  <c r="S211" i="15"/>
  <c r="Q211" i="15"/>
  <c r="L211" i="15"/>
  <c r="I211" i="15"/>
  <c r="F211" i="15"/>
  <c r="A211" i="15"/>
  <c r="Q210" i="15"/>
  <c r="N210" i="15"/>
  <c r="L210" i="15"/>
  <c r="A210" i="15"/>
  <c r="I210" i="15" s="1"/>
  <c r="A209" i="15"/>
  <c r="Q208" i="15"/>
  <c r="L208" i="15"/>
  <c r="I208" i="15"/>
  <c r="F208" i="15"/>
  <c r="A208" i="15"/>
  <c r="Q207" i="15"/>
  <c r="S207" i="15" s="1"/>
  <c r="L207" i="15"/>
  <c r="N207" i="15" s="1"/>
  <c r="I207" i="15"/>
  <c r="F207" i="15"/>
  <c r="A207" i="15"/>
  <c r="Q206" i="15"/>
  <c r="L206" i="15"/>
  <c r="M412" i="15" s="1"/>
  <c r="F206" i="15"/>
  <c r="A206" i="15"/>
  <c r="I206" i="15" s="1"/>
  <c r="N206" i="15" s="1"/>
  <c r="Q205" i="15"/>
  <c r="L205" i="15"/>
  <c r="A205" i="15"/>
  <c r="Q204" i="15"/>
  <c r="L204" i="15"/>
  <c r="I204" i="15"/>
  <c r="F204" i="15"/>
  <c r="A204" i="15"/>
  <c r="S203" i="15"/>
  <c r="Q203" i="15"/>
  <c r="L203" i="15"/>
  <c r="I203" i="15"/>
  <c r="F203" i="15"/>
  <c r="A203" i="15"/>
  <c r="Q202" i="15"/>
  <c r="N202" i="15"/>
  <c r="L202" i="15"/>
  <c r="S202" i="15" s="1"/>
  <c r="F202" i="15"/>
  <c r="A202" i="15"/>
  <c r="I202" i="15" s="1"/>
  <c r="Q201" i="15"/>
  <c r="L201" i="15"/>
  <c r="S201" i="15" s="1"/>
  <c r="A201" i="15"/>
  <c r="S200" i="15"/>
  <c r="Q200" i="15"/>
  <c r="L200" i="15"/>
  <c r="N200" i="15" s="1"/>
  <c r="I200" i="15"/>
  <c r="F200" i="15"/>
  <c r="A200" i="15"/>
  <c r="S199" i="15"/>
  <c r="Q199" i="15"/>
  <c r="L199" i="15"/>
  <c r="I199" i="15"/>
  <c r="F199" i="15"/>
  <c r="A199" i="15"/>
  <c r="Q198" i="15"/>
  <c r="N198" i="15"/>
  <c r="L198" i="15"/>
  <c r="A198" i="15"/>
  <c r="I198" i="15" s="1"/>
  <c r="Q197" i="15"/>
  <c r="Q209" i="15" s="1"/>
  <c r="L197" i="15"/>
  <c r="A197" i="15"/>
  <c r="A196" i="15"/>
  <c r="A195" i="15"/>
  <c r="A194" i="15"/>
  <c r="A193" i="15"/>
  <c r="A192" i="15"/>
  <c r="Q191" i="15"/>
  <c r="L191" i="15"/>
  <c r="A191" i="15"/>
  <c r="P190" i="15"/>
  <c r="K190" i="15"/>
  <c r="H190" i="15"/>
  <c r="F190" i="15"/>
  <c r="F191" i="15" s="1"/>
  <c r="E190" i="15"/>
  <c r="A190" i="15"/>
  <c r="I190" i="15" s="1"/>
  <c r="I191" i="15" s="1"/>
  <c r="A189" i="15"/>
  <c r="Q188" i="15"/>
  <c r="A188" i="15"/>
  <c r="R187" i="15"/>
  <c r="Q187" i="15"/>
  <c r="P187" i="15"/>
  <c r="L187" i="15"/>
  <c r="K187" i="15"/>
  <c r="F187" i="15"/>
  <c r="F188" i="15" s="1"/>
  <c r="E187" i="15"/>
  <c r="A187" i="15"/>
  <c r="I187" i="15" s="1"/>
  <c r="A186" i="15"/>
  <c r="A185" i="15"/>
  <c r="A184" i="15"/>
  <c r="S183" i="15"/>
  <c r="Q183" i="15"/>
  <c r="L183" i="15"/>
  <c r="I183" i="15"/>
  <c r="F183" i="15"/>
  <c r="A183" i="15"/>
  <c r="A182" i="15"/>
  <c r="Q181" i="15"/>
  <c r="P181" i="15"/>
  <c r="M181" i="15"/>
  <c r="K181" i="15"/>
  <c r="A181" i="15"/>
  <c r="R180" i="15"/>
  <c r="Q180" i="15"/>
  <c r="P180" i="15"/>
  <c r="O180" i="15"/>
  <c r="L180" i="15"/>
  <c r="K180" i="15"/>
  <c r="J180" i="15"/>
  <c r="G180" i="15"/>
  <c r="A180" i="15"/>
  <c r="A179" i="15"/>
  <c r="R178" i="15"/>
  <c r="A178" i="15"/>
  <c r="Q177" i="15"/>
  <c r="Q178" i="15" s="1"/>
  <c r="P177" i="15"/>
  <c r="O177" i="15"/>
  <c r="L177" i="15"/>
  <c r="L184" i="15" s="1"/>
  <c r="K177" i="15"/>
  <c r="J177" i="15"/>
  <c r="I177" i="15"/>
  <c r="H177" i="15"/>
  <c r="M177" i="15" s="1"/>
  <c r="E177" i="15"/>
  <c r="D177" i="15"/>
  <c r="A177" i="15"/>
  <c r="G177" i="15" s="1"/>
  <c r="A176" i="15"/>
  <c r="A175" i="15"/>
  <c r="S174" i="15"/>
  <c r="Q174" i="15"/>
  <c r="P174" i="15"/>
  <c r="Q175" i="15" s="1"/>
  <c r="O174" i="15"/>
  <c r="R174" i="15" s="1"/>
  <c r="L174" i="15"/>
  <c r="K174" i="15"/>
  <c r="L175" i="15" s="1"/>
  <c r="J174" i="15"/>
  <c r="G174" i="15"/>
  <c r="A174" i="15"/>
  <c r="A173" i="15"/>
  <c r="A172" i="15"/>
  <c r="S171" i="15"/>
  <c r="Q171" i="15"/>
  <c r="Q172" i="15" s="1"/>
  <c r="P171" i="15"/>
  <c r="P184" i="15" s="1"/>
  <c r="P193" i="15" s="1"/>
  <c r="O171" i="15"/>
  <c r="P173" i="15" s="1"/>
  <c r="L171" i="15"/>
  <c r="K171" i="15"/>
  <c r="J171" i="15"/>
  <c r="J184" i="15" s="1"/>
  <c r="F171" i="15"/>
  <c r="A171" i="15"/>
  <c r="I171" i="15" s="1"/>
  <c r="A170" i="15"/>
  <c r="Q161" i="15"/>
  <c r="S161" i="15" s="1"/>
  <c r="L161" i="15"/>
  <c r="I161" i="15"/>
  <c r="N161" i="15" s="1"/>
  <c r="F161" i="15"/>
  <c r="A161" i="15"/>
  <c r="Q160" i="15"/>
  <c r="L160" i="15"/>
  <c r="S160" i="15" s="1"/>
  <c r="A160" i="15"/>
  <c r="Q159" i="15"/>
  <c r="L159" i="15"/>
  <c r="A159" i="15"/>
  <c r="I159" i="15" s="1"/>
  <c r="I158" i="15"/>
  <c r="F158" i="15"/>
  <c r="A158" i="15"/>
  <c r="Q157" i="15"/>
  <c r="S157" i="15" s="1"/>
  <c r="L157" i="15"/>
  <c r="I157" i="15"/>
  <c r="N157" i="15" s="1"/>
  <c r="N162" i="15" s="1"/>
  <c r="F157" i="15"/>
  <c r="A157" i="15"/>
  <c r="Q156" i="15"/>
  <c r="L156" i="15"/>
  <c r="S156" i="15" s="1"/>
  <c r="A156" i="15"/>
  <c r="S155" i="15"/>
  <c r="Q155" i="15"/>
  <c r="I155" i="15"/>
  <c r="F155" i="15"/>
  <c r="A155" i="15"/>
  <c r="A154" i="15"/>
  <c r="A153" i="15"/>
  <c r="Q152" i="15"/>
  <c r="A152" i="15"/>
  <c r="Q151" i="15"/>
  <c r="L151" i="15"/>
  <c r="S151" i="15" s="1"/>
  <c r="A151" i="15"/>
  <c r="Q150" i="15"/>
  <c r="L150" i="15"/>
  <c r="A150" i="15"/>
  <c r="I150" i="15" s="1"/>
  <c r="S149" i="15"/>
  <c r="Q149" i="15"/>
  <c r="L149" i="15"/>
  <c r="I149" i="15"/>
  <c r="F149" i="15"/>
  <c r="A149" i="15"/>
  <c r="Q148" i="15"/>
  <c r="S148" i="15" s="1"/>
  <c r="L148" i="15"/>
  <c r="I148" i="15"/>
  <c r="N148" i="15" s="1"/>
  <c r="F148" i="15"/>
  <c r="A148" i="15"/>
  <c r="Q147" i="15"/>
  <c r="L147" i="15"/>
  <c r="S147" i="15" s="1"/>
  <c r="A147" i="15"/>
  <c r="Q146" i="15"/>
  <c r="L146" i="15"/>
  <c r="A146" i="15"/>
  <c r="I146" i="15" s="1"/>
  <c r="S145" i="15"/>
  <c r="Q145" i="15"/>
  <c r="L145" i="15"/>
  <c r="I145" i="15"/>
  <c r="F145" i="15"/>
  <c r="A145" i="15"/>
  <c r="Q144" i="15"/>
  <c r="S144" i="15" s="1"/>
  <c r="L144" i="15"/>
  <c r="I144" i="15"/>
  <c r="N144" i="15" s="1"/>
  <c r="F144" i="15"/>
  <c r="A144" i="15"/>
  <c r="Q143" i="15"/>
  <c r="L143" i="15"/>
  <c r="S143" i="15" s="1"/>
  <c r="A143" i="15"/>
  <c r="Q142" i="15"/>
  <c r="L142" i="15"/>
  <c r="A142" i="15"/>
  <c r="I142" i="15" s="1"/>
  <c r="S141" i="15"/>
  <c r="Q141" i="15"/>
  <c r="L141" i="15"/>
  <c r="I141" i="15"/>
  <c r="F141" i="15"/>
  <c r="A141" i="15"/>
  <c r="Q140" i="15"/>
  <c r="S140" i="15" s="1"/>
  <c r="L140" i="15"/>
  <c r="I140" i="15"/>
  <c r="N140" i="15" s="1"/>
  <c r="F140" i="15"/>
  <c r="A140" i="15"/>
  <c r="Q139" i="15"/>
  <c r="L139" i="15"/>
  <c r="S139" i="15" s="1"/>
  <c r="A139" i="15"/>
  <c r="Q138" i="15"/>
  <c r="L138" i="15"/>
  <c r="A138" i="15"/>
  <c r="I138" i="15" s="1"/>
  <c r="S137" i="15"/>
  <c r="Q137" i="15"/>
  <c r="L137" i="15"/>
  <c r="I137" i="15"/>
  <c r="F137" i="15"/>
  <c r="A137" i="15"/>
  <c r="Q136" i="15"/>
  <c r="S136" i="15" s="1"/>
  <c r="L136" i="15"/>
  <c r="I136" i="15"/>
  <c r="N136" i="15" s="1"/>
  <c r="F136" i="15"/>
  <c r="A136" i="15"/>
  <c r="Q135" i="15"/>
  <c r="L135" i="15"/>
  <c r="S135" i="15" s="1"/>
  <c r="A135" i="15"/>
  <c r="A134" i="15"/>
  <c r="S133" i="15"/>
  <c r="Q133" i="15"/>
  <c r="L133" i="15"/>
  <c r="N133" i="15" s="1"/>
  <c r="I133" i="15"/>
  <c r="F133" i="15"/>
  <c r="A133" i="15"/>
  <c r="Q132" i="15"/>
  <c r="S132" i="15" s="1"/>
  <c r="L132" i="15"/>
  <c r="M408" i="15" s="1"/>
  <c r="I132" i="15"/>
  <c r="F132" i="15"/>
  <c r="A132" i="15"/>
  <c r="Q131" i="15"/>
  <c r="L131" i="15"/>
  <c r="M407" i="15" s="1"/>
  <c r="A131" i="15"/>
  <c r="Q130" i="15"/>
  <c r="L130" i="15"/>
  <c r="A130" i="15"/>
  <c r="I130" i="15" s="1"/>
  <c r="S129" i="15"/>
  <c r="Q129" i="15"/>
  <c r="L129" i="15"/>
  <c r="I129" i="15"/>
  <c r="F129" i="15"/>
  <c r="A129" i="15"/>
  <c r="Q128" i="15"/>
  <c r="S128" i="15" s="1"/>
  <c r="L128" i="15"/>
  <c r="I128" i="15"/>
  <c r="N128" i="15" s="1"/>
  <c r="F128" i="15"/>
  <c r="A128" i="15"/>
  <c r="Q127" i="15"/>
  <c r="L127" i="15"/>
  <c r="S127" i="15" s="1"/>
  <c r="A127" i="15"/>
  <c r="Q126" i="15"/>
  <c r="L126" i="15"/>
  <c r="A126" i="15"/>
  <c r="I126" i="15" s="1"/>
  <c r="S125" i="15"/>
  <c r="Q125" i="15"/>
  <c r="L125" i="15"/>
  <c r="N125" i="15" s="1"/>
  <c r="I125" i="15"/>
  <c r="F125" i="15"/>
  <c r="A125" i="15"/>
  <c r="Q124" i="15"/>
  <c r="S124" i="15" s="1"/>
  <c r="L124" i="15"/>
  <c r="I124" i="15"/>
  <c r="N124" i="15" s="1"/>
  <c r="F124" i="15"/>
  <c r="A124" i="15"/>
  <c r="Q123" i="15"/>
  <c r="L123" i="15"/>
  <c r="S123" i="15" s="1"/>
  <c r="A123" i="15"/>
  <c r="Q122" i="15"/>
  <c r="L122" i="15"/>
  <c r="A122" i="15"/>
  <c r="I122" i="15" s="1"/>
  <c r="A121" i="15"/>
  <c r="Q120" i="15"/>
  <c r="L120" i="15"/>
  <c r="F120" i="15"/>
  <c r="A120" i="15"/>
  <c r="I120" i="15" s="1"/>
  <c r="Q119" i="15"/>
  <c r="L119" i="15"/>
  <c r="S119" i="15" s="1"/>
  <c r="A119" i="15"/>
  <c r="F119" i="15" s="1"/>
  <c r="Q118" i="15"/>
  <c r="L118" i="15"/>
  <c r="S118" i="15" s="1"/>
  <c r="A118" i="15"/>
  <c r="F118" i="15" s="1"/>
  <c r="Q117" i="15"/>
  <c r="L117" i="15"/>
  <c r="S117" i="15" s="1"/>
  <c r="A117" i="15"/>
  <c r="F117" i="15" s="1"/>
  <c r="Q116" i="15"/>
  <c r="L116" i="15"/>
  <c r="N116" i="15" s="1"/>
  <c r="F116" i="15"/>
  <c r="A116" i="15"/>
  <c r="I116" i="15" s="1"/>
  <c r="Q115" i="15"/>
  <c r="L115" i="15"/>
  <c r="F115" i="15"/>
  <c r="A115" i="15"/>
  <c r="I115" i="15" s="1"/>
  <c r="Q114" i="15"/>
  <c r="L114" i="15"/>
  <c r="F114" i="15"/>
  <c r="A114" i="15"/>
  <c r="I114" i="15" s="1"/>
  <c r="Q113" i="15"/>
  <c r="L113" i="15"/>
  <c r="I113" i="15"/>
  <c r="A113" i="15"/>
  <c r="F113" i="15" s="1"/>
  <c r="Q112" i="15"/>
  <c r="L112" i="15"/>
  <c r="I112" i="15"/>
  <c r="N112" i="15" s="1"/>
  <c r="F112" i="15"/>
  <c r="A112" i="15"/>
  <c r="S111" i="15"/>
  <c r="Q111" i="15"/>
  <c r="L111" i="15"/>
  <c r="A111" i="15"/>
  <c r="A110" i="15"/>
  <c r="A109" i="15"/>
  <c r="A108" i="15"/>
  <c r="A107" i="15"/>
  <c r="A106" i="15"/>
  <c r="A105" i="15"/>
  <c r="A104" i="15"/>
  <c r="S103" i="15"/>
  <c r="Q103" i="15"/>
  <c r="L103" i="15"/>
  <c r="I103" i="15"/>
  <c r="N103" i="15" s="1"/>
  <c r="E103" i="15"/>
  <c r="D103" i="15"/>
  <c r="A103" i="15"/>
  <c r="G103" i="15" s="1"/>
  <c r="H103" i="15" s="1"/>
  <c r="Q102" i="15"/>
  <c r="Q104" i="15" s="1"/>
  <c r="L102" i="15"/>
  <c r="G102" i="15"/>
  <c r="H102" i="15" s="1"/>
  <c r="F102" i="15"/>
  <c r="A102" i="15"/>
  <c r="S101" i="15"/>
  <c r="Q101" i="15"/>
  <c r="L101" i="15"/>
  <c r="L104" i="15" s="1"/>
  <c r="W112" i="15" s="1"/>
  <c r="I101" i="15"/>
  <c r="N101" i="15" s="1"/>
  <c r="D101" i="15"/>
  <c r="E101" i="15" s="1"/>
  <c r="A101" i="15"/>
  <c r="G101" i="15" s="1"/>
  <c r="H101" i="15" s="1"/>
  <c r="A100" i="15"/>
  <c r="S99" i="15"/>
  <c r="R99" i="15"/>
  <c r="Q99" i="15"/>
  <c r="O99" i="15"/>
  <c r="P99" i="15" s="1"/>
  <c r="L99" i="15"/>
  <c r="K99" i="15"/>
  <c r="J99" i="15"/>
  <c r="F99" i="15"/>
  <c r="A99" i="15"/>
  <c r="G99" i="15" s="1"/>
  <c r="A98" i="15"/>
  <c r="H97" i="15"/>
  <c r="E97" i="15"/>
  <c r="A97" i="15"/>
  <c r="A96" i="15"/>
  <c r="Q95" i="15"/>
  <c r="S95" i="15" s="1"/>
  <c r="O95" i="15"/>
  <c r="L95" i="15"/>
  <c r="K95" i="15"/>
  <c r="J95" i="15"/>
  <c r="R95" i="15" s="1"/>
  <c r="F95" i="15"/>
  <c r="A95" i="15"/>
  <c r="G95" i="15" s="1"/>
  <c r="Q94" i="15"/>
  <c r="O94" i="15"/>
  <c r="O96" i="15" s="1"/>
  <c r="L94" i="15"/>
  <c r="L96" i="15" s="1"/>
  <c r="J94" i="15"/>
  <c r="J96" i="15" s="1"/>
  <c r="A94" i="15"/>
  <c r="I94" i="15" s="1"/>
  <c r="Q93" i="15"/>
  <c r="L93" i="15"/>
  <c r="F93" i="15"/>
  <c r="A93" i="15"/>
  <c r="I93" i="15" s="1"/>
  <c r="B85" i="15"/>
  <c r="A85" i="15"/>
  <c r="B84" i="15"/>
  <c r="A84" i="15"/>
  <c r="B83" i="15"/>
  <c r="A83" i="15" s="1"/>
  <c r="F82" i="15"/>
  <c r="B82" i="15"/>
  <c r="A82" i="15"/>
  <c r="I82" i="15" s="1"/>
  <c r="B81" i="15"/>
  <c r="Q81" i="15" s="1"/>
  <c r="L80" i="15"/>
  <c r="N80" i="15" s="1"/>
  <c r="F80" i="15"/>
  <c r="B80" i="15"/>
  <c r="Q80" i="15" s="1"/>
  <c r="A80" i="15"/>
  <c r="I80" i="15" s="1"/>
  <c r="B79" i="15"/>
  <c r="Q79" i="15" s="1"/>
  <c r="L78" i="15"/>
  <c r="N78" i="15" s="1"/>
  <c r="F78" i="15"/>
  <c r="B78" i="15"/>
  <c r="Q78" i="15" s="1"/>
  <c r="A78" i="15"/>
  <c r="I78" i="15" s="1"/>
  <c r="B77" i="15"/>
  <c r="Q77" i="15" s="1"/>
  <c r="L76" i="15"/>
  <c r="F76" i="15"/>
  <c r="B76" i="15"/>
  <c r="Q76" i="15" s="1"/>
  <c r="A76" i="15"/>
  <c r="I76" i="15" s="1"/>
  <c r="L75" i="15"/>
  <c r="B75" i="15"/>
  <c r="Q75" i="15" s="1"/>
  <c r="A75" i="15"/>
  <c r="B74" i="15"/>
  <c r="A74" i="15" s="1"/>
  <c r="B73" i="15"/>
  <c r="A73" i="15" s="1"/>
  <c r="B72" i="15"/>
  <c r="A72" i="15" s="1"/>
  <c r="B71" i="15"/>
  <c r="B70" i="15"/>
  <c r="B69" i="15"/>
  <c r="Q68" i="15"/>
  <c r="L68" i="15"/>
  <c r="F68" i="15"/>
  <c r="B68" i="15"/>
  <c r="A68" i="15"/>
  <c r="I68" i="15" s="1"/>
  <c r="Q67" i="15"/>
  <c r="B67" i="15"/>
  <c r="L66" i="15"/>
  <c r="F66" i="15"/>
  <c r="B66" i="15"/>
  <c r="Q66" i="15" s="1"/>
  <c r="A66" i="15"/>
  <c r="I66" i="15" s="1"/>
  <c r="B65" i="15"/>
  <c r="L64" i="15"/>
  <c r="F64" i="15"/>
  <c r="B64" i="15"/>
  <c r="Q64" i="15" s="1"/>
  <c r="A64" i="15"/>
  <c r="I64" i="15" s="1"/>
  <c r="Q63" i="15"/>
  <c r="B63" i="15"/>
  <c r="L62" i="15"/>
  <c r="F62" i="15"/>
  <c r="B62" i="15"/>
  <c r="Q62" i="15" s="1"/>
  <c r="A62" i="15"/>
  <c r="I62" i="15" s="1"/>
  <c r="Q61" i="15"/>
  <c r="B61" i="15"/>
  <c r="L60" i="15"/>
  <c r="F60" i="15"/>
  <c r="B60" i="15"/>
  <c r="Q60" i="15" s="1"/>
  <c r="A60" i="15"/>
  <c r="I60" i="15" s="1"/>
  <c r="Q59" i="15"/>
  <c r="B59" i="15"/>
  <c r="L58" i="15"/>
  <c r="F58" i="15"/>
  <c r="B58" i="15"/>
  <c r="Q58" i="15" s="1"/>
  <c r="A58" i="15"/>
  <c r="I58" i="15" s="1"/>
  <c r="Q57" i="15"/>
  <c r="B57" i="15"/>
  <c r="L56" i="15"/>
  <c r="F56" i="15"/>
  <c r="B56" i="15"/>
  <c r="Q56" i="15" s="1"/>
  <c r="A56" i="15"/>
  <c r="I56" i="15" s="1"/>
  <c r="Q55" i="15"/>
  <c r="B55" i="15"/>
  <c r="B54" i="15"/>
  <c r="A54" i="15" s="1"/>
  <c r="L53" i="15"/>
  <c r="S53" i="15" s="1"/>
  <c r="B53" i="15"/>
  <c r="Q53" i="15" s="1"/>
  <c r="A53" i="15"/>
  <c r="B52" i="15"/>
  <c r="L51" i="15"/>
  <c r="B51" i="15"/>
  <c r="Q51" i="15" s="1"/>
  <c r="A51" i="15"/>
  <c r="B50" i="15"/>
  <c r="Q50" i="15" s="1"/>
  <c r="L49" i="15"/>
  <c r="S49" i="15" s="1"/>
  <c r="B49" i="15"/>
  <c r="Q49" i="15" s="1"/>
  <c r="A49" i="15"/>
  <c r="Q48" i="15"/>
  <c r="B48" i="15"/>
  <c r="L47" i="15"/>
  <c r="B47" i="15"/>
  <c r="Q47" i="15" s="1"/>
  <c r="A47" i="15"/>
  <c r="B46" i="15"/>
  <c r="L45" i="15"/>
  <c r="S45" i="15" s="1"/>
  <c r="B45" i="15"/>
  <c r="Q45" i="15" s="1"/>
  <c r="A45" i="15"/>
  <c r="B44" i="15"/>
  <c r="L43" i="15"/>
  <c r="B43" i="15"/>
  <c r="Q43" i="15" s="1"/>
  <c r="A43" i="15"/>
  <c r="B42" i="15"/>
  <c r="Q42" i="15" s="1"/>
  <c r="B41" i="15"/>
  <c r="A41" i="15"/>
  <c r="Q40" i="15"/>
  <c r="P40" i="15"/>
  <c r="B40" i="15"/>
  <c r="L40" i="15" s="1"/>
  <c r="A40" i="15"/>
  <c r="F40" i="15" s="1"/>
  <c r="B39" i="15"/>
  <c r="L39" i="15" s="1"/>
  <c r="K39" i="15" s="1"/>
  <c r="B38" i="15"/>
  <c r="Q37" i="15"/>
  <c r="B37" i="15"/>
  <c r="L37" i="15" s="1"/>
  <c r="A37" i="15"/>
  <c r="F37" i="15" s="1"/>
  <c r="B36" i="15"/>
  <c r="L36" i="15" s="1"/>
  <c r="A36" i="15"/>
  <c r="F36" i="15" s="1"/>
  <c r="B35" i="15"/>
  <c r="Q34" i="15"/>
  <c r="P34" i="15" s="1"/>
  <c r="L34" i="15"/>
  <c r="I34" i="15"/>
  <c r="F34" i="15"/>
  <c r="B34" i="15"/>
  <c r="A34" i="15" s="1"/>
  <c r="Q33" i="15"/>
  <c r="L33" i="15"/>
  <c r="B33" i="15"/>
  <c r="A33" i="15"/>
  <c r="B32" i="15"/>
  <c r="Q32" i="15" s="1"/>
  <c r="Q31" i="15"/>
  <c r="B31" i="15"/>
  <c r="L31" i="15" s="1"/>
  <c r="A31" i="15"/>
  <c r="I31" i="15" s="1"/>
  <c r="B30" i="15"/>
  <c r="A30" i="15"/>
  <c r="B29" i="15"/>
  <c r="A29" i="15"/>
  <c r="B28" i="15"/>
  <c r="A28" i="15"/>
  <c r="B27" i="15"/>
  <c r="A27" i="15"/>
  <c r="B26" i="15"/>
  <c r="A26" i="15" s="1"/>
  <c r="B25" i="15"/>
  <c r="A25" i="15"/>
  <c r="B24" i="15"/>
  <c r="A24" i="15" s="1"/>
  <c r="N23" i="15"/>
  <c r="L23" i="15"/>
  <c r="F23" i="15"/>
  <c r="B23" i="15"/>
  <c r="Q23" i="15" s="1"/>
  <c r="S23" i="15" s="1"/>
  <c r="A23" i="15"/>
  <c r="I23" i="15" s="1"/>
  <c r="L22" i="15"/>
  <c r="I22" i="15"/>
  <c r="B22" i="15"/>
  <c r="A22" i="15" s="1"/>
  <c r="Q21" i="15"/>
  <c r="I21" i="15"/>
  <c r="I24" i="15" s="1"/>
  <c r="H21" i="15"/>
  <c r="E21" i="15"/>
  <c r="D21" i="15"/>
  <c r="B21" i="15"/>
  <c r="L21" i="15" s="1"/>
  <c r="N21" i="15" s="1"/>
  <c r="A21" i="15"/>
  <c r="G21" i="15" s="1"/>
  <c r="B20" i="15"/>
  <c r="A20" i="15" s="1"/>
  <c r="R19" i="15"/>
  <c r="B19" i="15"/>
  <c r="B18" i="15"/>
  <c r="A18" i="15" s="1"/>
  <c r="O17" i="15"/>
  <c r="P17" i="15" s="1"/>
  <c r="B17" i="15"/>
  <c r="A17" i="15"/>
  <c r="G17" i="15" s="1"/>
  <c r="B16" i="15"/>
  <c r="A16" i="15" s="1"/>
  <c r="B15" i="15"/>
  <c r="Q15" i="15" s="1"/>
  <c r="B14" i="15"/>
  <c r="A14" i="15"/>
  <c r="B13" i="15"/>
  <c r="A13" i="15"/>
  <c r="Q12" i="15"/>
  <c r="L12" i="15"/>
  <c r="S12" i="15" s="1"/>
  <c r="J12" i="15"/>
  <c r="K12" i="15" s="1"/>
  <c r="I12" i="15"/>
  <c r="N12" i="15" s="1"/>
  <c r="H12" i="15"/>
  <c r="E12" i="15"/>
  <c r="D12" i="15"/>
  <c r="B12" i="15"/>
  <c r="O12" i="15" s="1"/>
  <c r="P12" i="15" s="1"/>
  <c r="A12" i="15"/>
  <c r="G12" i="15" s="1"/>
  <c r="L11" i="15"/>
  <c r="B11" i="15"/>
  <c r="A11" i="15"/>
  <c r="G11" i="15" s="1"/>
  <c r="H11" i="15" s="1"/>
  <c r="Q10" i="15"/>
  <c r="L10" i="15"/>
  <c r="S10" i="15" s="1"/>
  <c r="J10" i="15"/>
  <c r="K10" i="15" s="1"/>
  <c r="I10" i="15"/>
  <c r="N10" i="15" s="1"/>
  <c r="H10" i="15"/>
  <c r="E10" i="15"/>
  <c r="D10" i="15"/>
  <c r="B10" i="15"/>
  <c r="O10" i="15" s="1"/>
  <c r="P10" i="15" s="1"/>
  <c r="A10" i="15"/>
  <c r="G10" i="15" s="1"/>
  <c r="L9" i="15"/>
  <c r="B9" i="15"/>
  <c r="A9" i="15"/>
  <c r="G9" i="15" s="1"/>
  <c r="H9" i="15" s="1"/>
  <c r="W8" i="15"/>
  <c r="O8" i="15"/>
  <c r="P8" i="15" s="1"/>
  <c r="B8" i="15"/>
  <c r="L8" i="15" s="1"/>
  <c r="A8" i="15"/>
  <c r="F8" i="15" s="1"/>
  <c r="Q7" i="15"/>
  <c r="O7" i="15"/>
  <c r="P7" i="15" s="1"/>
  <c r="L7" i="15"/>
  <c r="B7" i="15"/>
  <c r="Q6" i="15"/>
  <c r="B6" i="15"/>
  <c r="L6" i="15" s="1"/>
  <c r="L13" i="15" s="1"/>
  <c r="Q5" i="15"/>
  <c r="B5" i="15"/>
  <c r="S1" i="15"/>
  <c r="C1" i="15"/>
  <c r="I405" i="6" l="1"/>
  <c r="J31" i="6"/>
  <c r="N61" i="6"/>
  <c r="K9" i="6"/>
  <c r="R9" i="6"/>
  <c r="M9" i="6"/>
  <c r="N9" i="6"/>
  <c r="E32" i="6"/>
  <c r="I54" i="6"/>
  <c r="R10" i="6"/>
  <c r="K10" i="6"/>
  <c r="M10" i="6"/>
  <c r="I34" i="6"/>
  <c r="H34" i="6" s="1"/>
  <c r="F34" i="6"/>
  <c r="E34" i="6" s="1"/>
  <c r="W20" i="6"/>
  <c r="K15" i="6"/>
  <c r="R15" i="6"/>
  <c r="M15" i="6"/>
  <c r="N19" i="6"/>
  <c r="N35" i="6"/>
  <c r="S36" i="6"/>
  <c r="S38" i="6"/>
  <c r="S40" i="6"/>
  <c r="S55" i="6"/>
  <c r="N63" i="6"/>
  <c r="Q83" i="6"/>
  <c r="L154" i="6"/>
  <c r="E6" i="6"/>
  <c r="F13" i="6"/>
  <c r="O13" i="6"/>
  <c r="O24" i="6" s="1"/>
  <c r="R12" i="6"/>
  <c r="M12" i="6"/>
  <c r="K12" i="6"/>
  <c r="N12" i="6"/>
  <c r="Q54" i="6"/>
  <c r="S44" i="6"/>
  <c r="S45" i="6"/>
  <c r="K11" i="6"/>
  <c r="R11" i="6"/>
  <c r="M11" i="6"/>
  <c r="N11" i="6"/>
  <c r="S19" i="6"/>
  <c r="S32" i="6"/>
  <c r="Q34" i="6"/>
  <c r="N36" i="6"/>
  <c r="N38" i="6"/>
  <c r="N40" i="6"/>
  <c r="S60" i="6"/>
  <c r="Q61" i="6"/>
  <c r="S61" i="6" s="1"/>
  <c r="J6" i="6"/>
  <c r="J7" i="6"/>
  <c r="J8" i="6"/>
  <c r="Q9" i="6"/>
  <c r="S9" i="6" s="1"/>
  <c r="Q10" i="6"/>
  <c r="S10" i="6" s="1"/>
  <c r="Q11" i="6"/>
  <c r="S11" i="6" s="1"/>
  <c r="Q12" i="6"/>
  <c r="S12" i="6" s="1"/>
  <c r="Q15" i="6"/>
  <c r="S15" i="6" s="1"/>
  <c r="J17" i="6"/>
  <c r="F77" i="6"/>
  <c r="F83" i="6" s="1"/>
  <c r="F79" i="6"/>
  <c r="F81" i="6"/>
  <c r="I93" i="6"/>
  <c r="S94" i="6"/>
  <c r="S96" i="6" s="1"/>
  <c r="G96" i="6"/>
  <c r="L96" i="6"/>
  <c r="P101" i="6"/>
  <c r="Q121" i="6"/>
  <c r="N114" i="6"/>
  <c r="S119" i="6"/>
  <c r="I122" i="6"/>
  <c r="F122" i="6"/>
  <c r="V484" i="6"/>
  <c r="A484" i="6" s="1"/>
  <c r="AL435" i="6"/>
  <c r="AL464" i="6"/>
  <c r="AL471" i="6"/>
  <c r="AO471" i="6" s="1"/>
  <c r="AL445" i="6"/>
  <c r="AL441" i="6"/>
  <c r="AL436" i="6"/>
  <c r="Z429" i="6"/>
  <c r="AF421" i="6"/>
  <c r="AL438" i="6"/>
  <c r="AL425" i="6"/>
  <c r="AO425" i="6" s="1"/>
  <c r="AC422" i="6"/>
  <c r="AL416" i="6"/>
  <c r="V401" i="6"/>
  <c r="Z434" i="6"/>
  <c r="AF413" i="6"/>
  <c r="AL429" i="6"/>
  <c r="AC413" i="6"/>
  <c r="Z409" i="6"/>
  <c r="Y409" i="6" s="1"/>
  <c r="AF441" i="6"/>
  <c r="AL433" i="6"/>
  <c r="AL411" i="6"/>
  <c r="AL408" i="6"/>
  <c r="Z421" i="6"/>
  <c r="AC411" i="6"/>
  <c r="C290" i="6"/>
  <c r="C355" i="6" s="1"/>
  <c r="C235" i="6"/>
  <c r="C167" i="6"/>
  <c r="Q31" i="6"/>
  <c r="S31" i="6" s="1"/>
  <c r="S37" i="6"/>
  <c r="AO484" i="6"/>
  <c r="AO401" i="6"/>
  <c r="S355" i="6"/>
  <c r="S290" i="6"/>
  <c r="S235" i="6"/>
  <c r="S167" i="6"/>
  <c r="S89" i="6"/>
  <c r="I6" i="6"/>
  <c r="N6" i="6" s="1"/>
  <c r="Q6" i="6"/>
  <c r="Q13" i="6" s="1"/>
  <c r="I7" i="6"/>
  <c r="H7" i="6" s="1"/>
  <c r="Q7" i="6"/>
  <c r="P7" i="6" s="1"/>
  <c r="I8" i="6"/>
  <c r="N8" i="6" s="1"/>
  <c r="Q8" i="6"/>
  <c r="S8" i="6" s="1"/>
  <c r="P15" i="6"/>
  <c r="V15" i="6"/>
  <c r="I17" i="6"/>
  <c r="H17" i="6" s="1"/>
  <c r="Q17" i="6"/>
  <c r="P17" i="6" s="1"/>
  <c r="N21" i="6"/>
  <c r="S21" i="6"/>
  <c r="S62" i="6"/>
  <c r="Q63" i="6"/>
  <c r="AL442" i="6" s="1"/>
  <c r="N22" i="6"/>
  <c r="L23" i="6"/>
  <c r="N33" i="6"/>
  <c r="L34" i="6"/>
  <c r="L41" i="6" s="1"/>
  <c r="Q35" i="6"/>
  <c r="N42" i="6"/>
  <c r="N43" i="6"/>
  <c r="N44" i="6"/>
  <c r="N45" i="6"/>
  <c r="N50" i="6"/>
  <c r="N51" i="6"/>
  <c r="N52" i="6"/>
  <c r="N55" i="6"/>
  <c r="F59" i="6"/>
  <c r="Z437" i="6" s="1"/>
  <c r="N60" i="6"/>
  <c r="F61" i="6"/>
  <c r="Z440" i="6" s="1"/>
  <c r="N62" i="6"/>
  <c r="F63" i="6"/>
  <c r="Z442" i="6" s="1"/>
  <c r="F65" i="6"/>
  <c r="Z444" i="6" s="1"/>
  <c r="F67" i="6"/>
  <c r="Z446" i="6" s="1"/>
  <c r="N68" i="6"/>
  <c r="F69" i="6"/>
  <c r="L70" i="6"/>
  <c r="AF495" i="6" s="1"/>
  <c r="A70" i="6"/>
  <c r="Q70" i="6"/>
  <c r="AL496" i="6" s="1"/>
  <c r="AO496" i="6" s="1"/>
  <c r="M94" i="6"/>
  <c r="I102" i="6"/>
  <c r="N102" i="6" s="1"/>
  <c r="J111" i="6"/>
  <c r="A23" i="6"/>
  <c r="A31" i="6"/>
  <c r="F35" i="6"/>
  <c r="E35" i="6" s="1"/>
  <c r="K38" i="6"/>
  <c r="K39" i="6"/>
  <c r="K40" i="6"/>
  <c r="F42" i="6"/>
  <c r="F54" i="6" s="1"/>
  <c r="F43" i="6"/>
  <c r="L59" i="6"/>
  <c r="L72" i="6" s="1"/>
  <c r="L65" i="6"/>
  <c r="L67" i="6"/>
  <c r="I75" i="6"/>
  <c r="I83" i="6" s="1"/>
  <c r="L77" i="6"/>
  <c r="AF472" i="6" s="1"/>
  <c r="L79" i="6"/>
  <c r="L81" i="6"/>
  <c r="C89" i="6"/>
  <c r="AL474" i="6" s="1"/>
  <c r="AO474" i="6" s="1"/>
  <c r="F94" i="6"/>
  <c r="F96" i="6" s="1"/>
  <c r="F107" i="6" s="1"/>
  <c r="K94" i="6"/>
  <c r="I95" i="6"/>
  <c r="H95" i="6" s="1"/>
  <c r="I99" i="6"/>
  <c r="N99" i="6" s="1"/>
  <c r="M99" i="6"/>
  <c r="R99" i="6"/>
  <c r="D101" i="6"/>
  <c r="E101" i="6" s="1"/>
  <c r="I101" i="6"/>
  <c r="G103" i="6"/>
  <c r="H103" i="6" s="1"/>
  <c r="N103" i="6"/>
  <c r="S104" i="6"/>
  <c r="S105" i="6" s="1"/>
  <c r="F111" i="6"/>
  <c r="S111" i="6"/>
  <c r="W114" i="6"/>
  <c r="W112" i="6"/>
  <c r="I113" i="6"/>
  <c r="I121" i="6" s="1"/>
  <c r="N115" i="6"/>
  <c r="S116" i="6"/>
  <c r="I117" i="6"/>
  <c r="H117" i="6" s="1"/>
  <c r="N118" i="6"/>
  <c r="S134" i="6"/>
  <c r="N406" i="6"/>
  <c r="N130" i="6"/>
  <c r="P152" i="6"/>
  <c r="S39" i="6"/>
  <c r="S42" i="6"/>
  <c r="S54" i="6" s="1"/>
  <c r="N404" i="6"/>
  <c r="N402" i="6"/>
  <c r="N403" i="6"/>
  <c r="L71" i="6"/>
  <c r="A71" i="6"/>
  <c r="Q71" i="6"/>
  <c r="D107" i="6"/>
  <c r="E107" i="6" s="1"/>
  <c r="D104" i="6"/>
  <c r="E104" i="6" s="1"/>
  <c r="E96" i="6"/>
  <c r="J96" i="6"/>
  <c r="S102" i="6"/>
  <c r="P103" i="6"/>
  <c r="O107" i="6"/>
  <c r="I406" i="6"/>
  <c r="N111" i="6"/>
  <c r="H112" i="6"/>
  <c r="N112" i="6"/>
  <c r="H114" i="6"/>
  <c r="E116" i="6"/>
  <c r="S117" i="6"/>
  <c r="N119" i="6"/>
  <c r="H119" i="6"/>
  <c r="S123" i="6"/>
  <c r="F178" i="6"/>
  <c r="M405" i="6"/>
  <c r="S58" i="6"/>
  <c r="S64" i="6"/>
  <c r="S66" i="6"/>
  <c r="S76" i="6"/>
  <c r="S78" i="6"/>
  <c r="S80" i="6"/>
  <c r="I96" i="6"/>
  <c r="R94" i="6"/>
  <c r="R96" i="6" s="1"/>
  <c r="R97" i="6" s="1"/>
  <c r="K95" i="6"/>
  <c r="P96" i="6"/>
  <c r="S97" i="6"/>
  <c r="P99" i="6"/>
  <c r="G101" i="6"/>
  <c r="H101" i="6" s="1"/>
  <c r="S101" i="6"/>
  <c r="G102" i="6"/>
  <c r="H102" i="6" s="1"/>
  <c r="P102" i="6"/>
  <c r="D103" i="6"/>
  <c r="E103" i="6" s="1"/>
  <c r="I103" i="6"/>
  <c r="O104" i="6"/>
  <c r="P104" i="6" s="1"/>
  <c r="H111" i="6"/>
  <c r="S113" i="6"/>
  <c r="H115" i="6"/>
  <c r="H120" i="6"/>
  <c r="N120" i="6"/>
  <c r="P134" i="6"/>
  <c r="N407" i="6"/>
  <c r="S152" i="6"/>
  <c r="N151" i="6"/>
  <c r="N156" i="6"/>
  <c r="F158" i="6"/>
  <c r="Q162" i="6"/>
  <c r="F174" i="6"/>
  <c r="I174" i="6"/>
  <c r="I175" i="6" s="1"/>
  <c r="U174" i="6" s="1"/>
  <c r="V174" i="6" s="1"/>
  <c r="E174" i="6"/>
  <c r="I177" i="6"/>
  <c r="E177" i="6"/>
  <c r="H177" i="6"/>
  <c r="D177" i="6"/>
  <c r="M177" i="6"/>
  <c r="G180" i="6"/>
  <c r="S180" i="6"/>
  <c r="L181" i="6"/>
  <c r="I209" i="6"/>
  <c r="I199" i="6"/>
  <c r="N199" i="6" s="1"/>
  <c r="F199" i="6"/>
  <c r="S202" i="6"/>
  <c r="N202" i="6"/>
  <c r="I207" i="6"/>
  <c r="N207" i="6" s="1"/>
  <c r="F207" i="6"/>
  <c r="Z430" i="6" s="1"/>
  <c r="I211" i="6"/>
  <c r="F211" i="6"/>
  <c r="F228" i="6" s="1"/>
  <c r="S214" i="6"/>
  <c r="N214" i="6"/>
  <c r="N219" i="6"/>
  <c r="N227" i="6"/>
  <c r="M240" i="6"/>
  <c r="K249" i="6"/>
  <c r="L284" i="6"/>
  <c r="S284" i="6" s="1"/>
  <c r="S266" i="6"/>
  <c r="N266" i="6"/>
  <c r="Q284" i="6"/>
  <c r="F280" i="6"/>
  <c r="F284" i="6" s="1"/>
  <c r="E284" i="6" s="1"/>
  <c r="I280" i="6"/>
  <c r="N280" i="6" s="1"/>
  <c r="L329" i="6"/>
  <c r="L348" i="6"/>
  <c r="K376" i="6"/>
  <c r="S376" i="6"/>
  <c r="S112" i="6"/>
  <c r="N125" i="6"/>
  <c r="F126" i="6"/>
  <c r="N129" i="6"/>
  <c r="F130" i="6"/>
  <c r="N408" i="6"/>
  <c r="F136" i="6"/>
  <c r="S138" i="6"/>
  <c r="F140" i="6"/>
  <c r="S142" i="6"/>
  <c r="F144" i="6"/>
  <c r="Z443" i="6" s="1"/>
  <c r="S146" i="6"/>
  <c r="F148" i="6"/>
  <c r="S160" i="6"/>
  <c r="M174" i="6"/>
  <c r="Q175" i="6"/>
  <c r="K184" i="6"/>
  <c r="H187" i="6"/>
  <c r="M187" i="6" s="1"/>
  <c r="F187" i="6"/>
  <c r="F188" i="6" s="1"/>
  <c r="E187" i="6"/>
  <c r="I217" i="6"/>
  <c r="N217" i="6" s="1"/>
  <c r="F217" i="6"/>
  <c r="S220" i="6"/>
  <c r="N220" i="6"/>
  <c r="I225" i="6"/>
  <c r="N225" i="6" s="1"/>
  <c r="F225" i="6"/>
  <c r="F240" i="6"/>
  <c r="I240" i="6"/>
  <c r="E240" i="6"/>
  <c r="E249" i="6" s="1"/>
  <c r="H240" i="6"/>
  <c r="D240" i="6"/>
  <c r="S241" i="6"/>
  <c r="M243" i="6"/>
  <c r="H249" i="6"/>
  <c r="Q286" i="6"/>
  <c r="S270" i="6"/>
  <c r="N270" i="6"/>
  <c r="S273" i="6"/>
  <c r="N273" i="6"/>
  <c r="K299" i="6"/>
  <c r="R299" i="6"/>
  <c r="Q329" i="6"/>
  <c r="F376" i="6"/>
  <c r="S122" i="6"/>
  <c r="S130" i="6"/>
  <c r="N131" i="6"/>
  <c r="F152" i="6"/>
  <c r="E152" i="6" s="1"/>
  <c r="S136" i="6"/>
  <c r="I161" i="6"/>
  <c r="N161" i="6" s="1"/>
  <c r="F161" i="6"/>
  <c r="P173" i="6"/>
  <c r="P184" i="6"/>
  <c r="P193" i="6" s="1"/>
  <c r="L175" i="6"/>
  <c r="S174" i="6"/>
  <c r="F180" i="6"/>
  <c r="I180" i="6"/>
  <c r="I181" i="6" s="1"/>
  <c r="U180" i="6" s="1"/>
  <c r="V180" i="6" s="1"/>
  <c r="E180" i="6"/>
  <c r="E184" i="6" s="1"/>
  <c r="E193" i="6" s="1"/>
  <c r="O184" i="6"/>
  <c r="I188" i="6"/>
  <c r="Q230" i="6"/>
  <c r="S198" i="6"/>
  <c r="N198" i="6"/>
  <c r="I203" i="6"/>
  <c r="N203" i="6" s="1"/>
  <c r="F203" i="6"/>
  <c r="M412" i="6"/>
  <c r="M436" i="6" s="1"/>
  <c r="S206" i="6"/>
  <c r="N206" i="6"/>
  <c r="L209" i="6"/>
  <c r="S210" i="6"/>
  <c r="L228" i="6"/>
  <c r="N210" i="6"/>
  <c r="I215" i="6"/>
  <c r="N215" i="6" s="1"/>
  <c r="F215" i="6"/>
  <c r="I244" i="6"/>
  <c r="I408" i="6"/>
  <c r="N253" i="6"/>
  <c r="L265" i="6"/>
  <c r="S253" i="6"/>
  <c r="N254" i="6"/>
  <c r="N257" i="6"/>
  <c r="S257" i="6"/>
  <c r="N258" i="6"/>
  <c r="M419" i="6"/>
  <c r="N261" i="6"/>
  <c r="S261" i="6"/>
  <c r="I267" i="6"/>
  <c r="N267" i="6" s="1"/>
  <c r="F267" i="6"/>
  <c r="S281" i="6"/>
  <c r="N281" i="6"/>
  <c r="M410" i="6"/>
  <c r="M409" i="6"/>
  <c r="M408" i="6"/>
  <c r="M437" i="6" s="1"/>
  <c r="S132" i="6"/>
  <c r="I135" i="6"/>
  <c r="I152" i="6" s="1"/>
  <c r="N152" i="6" s="1"/>
  <c r="S135" i="6"/>
  <c r="N136" i="6"/>
  <c r="I139" i="6"/>
  <c r="N139" i="6" s="1"/>
  <c r="N140" i="6"/>
  <c r="I157" i="6"/>
  <c r="I162" i="6" s="1"/>
  <c r="F157" i="6"/>
  <c r="F162" i="6" s="1"/>
  <c r="H184" i="6"/>
  <c r="S171" i="6"/>
  <c r="L184" i="6"/>
  <c r="N171" i="6"/>
  <c r="Q184" i="6"/>
  <c r="Q172" i="6"/>
  <c r="I172" i="6"/>
  <c r="U171" i="6" s="1"/>
  <c r="V171" i="6" s="1"/>
  <c r="H173" i="6"/>
  <c r="D180" i="6"/>
  <c r="Q181" i="6"/>
  <c r="N201" i="6"/>
  <c r="N213" i="6"/>
  <c r="S216" i="6"/>
  <c r="N216" i="6"/>
  <c r="I221" i="6"/>
  <c r="N221" i="6" s="1"/>
  <c r="F221" i="6"/>
  <c r="S224" i="6"/>
  <c r="N224" i="6"/>
  <c r="F249" i="6"/>
  <c r="F244" i="6"/>
  <c r="I271" i="6"/>
  <c r="N271" i="6" s="1"/>
  <c r="F271" i="6"/>
  <c r="S323" i="6"/>
  <c r="N323" i="6"/>
  <c r="S335" i="6"/>
  <c r="N335" i="6"/>
  <c r="S341" i="6"/>
  <c r="N341" i="6"/>
  <c r="F359" i="6"/>
  <c r="I359" i="6"/>
  <c r="D359" i="6"/>
  <c r="D361" i="6" s="1"/>
  <c r="E361" i="6" s="1"/>
  <c r="S361" i="6"/>
  <c r="S381" i="6"/>
  <c r="N381" i="6"/>
  <c r="R171" i="6"/>
  <c r="F190" i="6"/>
  <c r="F191" i="6" s="1"/>
  <c r="M418" i="6"/>
  <c r="G243" i="6"/>
  <c r="P284" i="6"/>
  <c r="P286" i="6"/>
  <c r="S269" i="6"/>
  <c r="N275" i="6"/>
  <c r="S275" i="6"/>
  <c r="F294" i="6"/>
  <c r="D294" i="6"/>
  <c r="O303" i="6"/>
  <c r="R294" i="6"/>
  <c r="P294" i="6"/>
  <c r="S297" i="6"/>
  <c r="N297" i="6"/>
  <c r="F298" i="6"/>
  <c r="I298" i="6"/>
  <c r="I303" i="6" s="1"/>
  <c r="I308" i="6" s="1"/>
  <c r="I313" i="6" s="1"/>
  <c r="D298" i="6"/>
  <c r="N298" i="6"/>
  <c r="L303" i="6"/>
  <c r="F306" i="6"/>
  <c r="I306" i="6"/>
  <c r="D306" i="6"/>
  <c r="E306" i="6" s="1"/>
  <c r="N306" i="6"/>
  <c r="S319" i="6"/>
  <c r="N319" i="6"/>
  <c r="I328" i="6"/>
  <c r="N328" i="6" s="1"/>
  <c r="F328" i="6"/>
  <c r="Q348" i="6"/>
  <c r="S331" i="6"/>
  <c r="N331" i="6"/>
  <c r="S337" i="6"/>
  <c r="N337" i="6"/>
  <c r="I346" i="6"/>
  <c r="N346" i="6" s="1"/>
  <c r="F346" i="6"/>
  <c r="G359" i="6"/>
  <c r="R359" i="6"/>
  <c r="O361" i="6"/>
  <c r="P359" i="6"/>
  <c r="I366" i="6"/>
  <c r="N366" i="6" s="1"/>
  <c r="F366" i="6"/>
  <c r="S369" i="6"/>
  <c r="N369" i="6"/>
  <c r="I374" i="6"/>
  <c r="N374" i="6" s="1"/>
  <c r="F374" i="6"/>
  <c r="L394" i="6"/>
  <c r="K394" i="6" s="1"/>
  <c r="S377" i="6"/>
  <c r="N377" i="6"/>
  <c r="I386" i="6"/>
  <c r="N386" i="6" s="1"/>
  <c r="F386" i="6"/>
  <c r="F394" i="6" s="1"/>
  <c r="E394" i="6" s="1"/>
  <c r="H190" i="6"/>
  <c r="N205" i="6"/>
  <c r="S207" i="6"/>
  <c r="D243" i="6"/>
  <c r="L249" i="6"/>
  <c r="Q247" i="6"/>
  <c r="F255" i="6"/>
  <c r="F265" i="6" s="1"/>
  <c r="F259" i="6"/>
  <c r="N262" i="6"/>
  <c r="F263" i="6"/>
  <c r="S267" i="6"/>
  <c r="S271" i="6"/>
  <c r="I278" i="6"/>
  <c r="N278" i="6" s="1"/>
  <c r="N279" i="6"/>
  <c r="S279" i="6"/>
  <c r="Q303" i="6"/>
  <c r="G298" i="6"/>
  <c r="R298" i="6"/>
  <c r="P298" i="6"/>
  <c r="E299" i="6"/>
  <c r="S301" i="6"/>
  <c r="N301" i="6"/>
  <c r="G306" i="6"/>
  <c r="R306" i="6"/>
  <c r="P306" i="6"/>
  <c r="I324" i="6"/>
  <c r="N324" i="6" s="1"/>
  <c r="F324" i="6"/>
  <c r="I342" i="6"/>
  <c r="N342" i="6" s="1"/>
  <c r="F342" i="6"/>
  <c r="I382" i="6"/>
  <c r="N382" i="6" s="1"/>
  <c r="F382" i="6"/>
  <c r="S392" i="6"/>
  <c r="P265" i="6"/>
  <c r="Q249" i="6"/>
  <c r="Q288" i="6" s="1"/>
  <c r="Q244" i="6"/>
  <c r="Q250" i="6"/>
  <c r="I265" i="6"/>
  <c r="M421" i="6"/>
  <c r="S263" i="6"/>
  <c r="S277" i="6"/>
  <c r="N277" i="6"/>
  <c r="N283" i="6"/>
  <c r="S283" i="6"/>
  <c r="G294" i="6"/>
  <c r="N294" i="6"/>
  <c r="J303" i="6"/>
  <c r="K295" i="6"/>
  <c r="S302" i="6"/>
  <c r="N302" i="6"/>
  <c r="K307" i="6"/>
  <c r="S311" i="6"/>
  <c r="R311" i="6" s="1"/>
  <c r="N311" i="6"/>
  <c r="I320" i="6"/>
  <c r="N320" i="6" s="1"/>
  <c r="F320" i="6"/>
  <c r="F329" i="6" s="1"/>
  <c r="M430" i="6"/>
  <c r="S327" i="6"/>
  <c r="N327" i="6"/>
  <c r="N330" i="6"/>
  <c r="I332" i="6"/>
  <c r="N332" i="6" s="1"/>
  <c r="F332" i="6"/>
  <c r="F348" i="6" s="1"/>
  <c r="I338" i="6"/>
  <c r="N338" i="6" s="1"/>
  <c r="F338" i="6"/>
  <c r="S345" i="6"/>
  <c r="N345" i="6"/>
  <c r="S362" i="6"/>
  <c r="P376" i="6"/>
  <c r="S365" i="6"/>
  <c r="N365" i="6"/>
  <c r="I370" i="6"/>
  <c r="N370" i="6" s="1"/>
  <c r="F370" i="6"/>
  <c r="S373" i="6"/>
  <c r="N373" i="6"/>
  <c r="I378" i="6"/>
  <c r="N378" i="6" s="1"/>
  <c r="F378" i="6"/>
  <c r="S385" i="6"/>
  <c r="N385" i="6"/>
  <c r="N391" i="6"/>
  <c r="S391" i="6"/>
  <c r="G295" i="6"/>
  <c r="H295" i="6" s="1"/>
  <c r="F296" i="6"/>
  <c r="E296" i="6" s="1"/>
  <c r="R296" i="6"/>
  <c r="M297" i="6"/>
  <c r="G299" i="6"/>
  <c r="H299" i="6" s="1"/>
  <c r="F300" i="6"/>
  <c r="R300" i="6"/>
  <c r="R301" i="6"/>
  <c r="R302" i="6"/>
  <c r="G307" i="6"/>
  <c r="H307" i="6" s="1"/>
  <c r="S317" i="6"/>
  <c r="S321" i="6"/>
  <c r="S325" i="6"/>
  <c r="S333" i="6"/>
  <c r="S348" i="6" s="1"/>
  <c r="S339" i="6"/>
  <c r="S343" i="6"/>
  <c r="S347" i="6"/>
  <c r="S367" i="6"/>
  <c r="S371" i="6"/>
  <c r="S375" i="6"/>
  <c r="S379" i="6"/>
  <c r="S383" i="6"/>
  <c r="S387" i="6"/>
  <c r="G296" i="6"/>
  <c r="R297" i="6"/>
  <c r="G300" i="6"/>
  <c r="D307" i="6"/>
  <c r="E307" i="6" s="1"/>
  <c r="I409" i="6"/>
  <c r="M433" i="6"/>
  <c r="Q394" i="6"/>
  <c r="P394" i="6" s="1"/>
  <c r="N317" i="6"/>
  <c r="N325" i="6"/>
  <c r="N359" i="6"/>
  <c r="N390" i="6"/>
  <c r="I392" i="6"/>
  <c r="N392" i="6" s="1"/>
  <c r="F392" i="6"/>
  <c r="AH460" i="6"/>
  <c r="AI460" i="6" s="1"/>
  <c r="S393" i="6"/>
  <c r="AH419" i="6"/>
  <c r="AO454" i="6"/>
  <c r="AH459" i="6"/>
  <c r="AI459" i="6" s="1"/>
  <c r="AN459" i="6"/>
  <c r="AO459" i="6" s="1"/>
  <c r="N393" i="6"/>
  <c r="AN452" i="6"/>
  <c r="AI453" i="6"/>
  <c r="AC452" i="6"/>
  <c r="AH452" i="6" s="1"/>
  <c r="AH453" i="6"/>
  <c r="AC454" i="6"/>
  <c r="Z456" i="6"/>
  <c r="AC456" i="6"/>
  <c r="AH457" i="6"/>
  <c r="AI457" i="6" s="1"/>
  <c r="AN457" i="6"/>
  <c r="AO457" i="6" s="1"/>
  <c r="AC458" i="6"/>
  <c r="AN419" i="6"/>
  <c r="AO419" i="6" s="1"/>
  <c r="AO453" i="6"/>
  <c r="AN454" i="6"/>
  <c r="AC455" i="6"/>
  <c r="AI455" i="6" s="1"/>
  <c r="Z455" i="6"/>
  <c r="AN456" i="6"/>
  <c r="AO456" i="6" s="1"/>
  <c r="AN458" i="6"/>
  <c r="AO458" i="6" s="1"/>
  <c r="AO468" i="6"/>
  <c r="AC490" i="6"/>
  <c r="AN491" i="6"/>
  <c r="AH492" i="6"/>
  <c r="AI492" i="6" s="1"/>
  <c r="AH468" i="6"/>
  <c r="AI468" i="6" s="1"/>
  <c r="AI491" i="6"/>
  <c r="AN492" i="6"/>
  <c r="AO492" i="6" s="1"/>
  <c r="Z491" i="6"/>
  <c r="AN493" i="6"/>
  <c r="H11" i="5"/>
  <c r="M11" i="5"/>
  <c r="F41" i="5"/>
  <c r="S32" i="5"/>
  <c r="N32" i="5"/>
  <c r="N38" i="5"/>
  <c r="N40" i="5"/>
  <c r="Q107" i="5"/>
  <c r="L41" i="5"/>
  <c r="S31" i="5"/>
  <c r="S34" i="5"/>
  <c r="N36" i="5"/>
  <c r="W112" i="5"/>
  <c r="S104" i="5"/>
  <c r="J112" i="5"/>
  <c r="N104" i="5"/>
  <c r="N105" i="5" s="1"/>
  <c r="N7" i="5"/>
  <c r="S7" i="5"/>
  <c r="H9" i="5"/>
  <c r="M9" i="5"/>
  <c r="H15" i="5"/>
  <c r="M15" i="5"/>
  <c r="S21" i="5"/>
  <c r="N21" i="5"/>
  <c r="S23" i="5"/>
  <c r="N23" i="5"/>
  <c r="N37" i="5"/>
  <c r="N39" i="5"/>
  <c r="P15" i="5"/>
  <c r="Q24" i="5"/>
  <c r="AO484" i="5"/>
  <c r="S355" i="5"/>
  <c r="AO401" i="5"/>
  <c r="S290" i="5"/>
  <c r="S235" i="5"/>
  <c r="S167" i="5"/>
  <c r="O6" i="5"/>
  <c r="F12" i="5"/>
  <c r="G10" i="5"/>
  <c r="H10" i="5" s="1"/>
  <c r="K10" i="5"/>
  <c r="O10" i="5"/>
  <c r="P10" i="5" s="1"/>
  <c r="S37" i="5"/>
  <c r="S40" i="5"/>
  <c r="L43" i="5"/>
  <c r="A43" i="5"/>
  <c r="Q43" i="5"/>
  <c r="L45" i="5"/>
  <c r="A45" i="5"/>
  <c r="Q45" i="5"/>
  <c r="L47" i="5"/>
  <c r="A47" i="5"/>
  <c r="Q47" i="5"/>
  <c r="L49" i="5"/>
  <c r="A49" i="5"/>
  <c r="Q49" i="5"/>
  <c r="L51" i="5"/>
  <c r="A51" i="5"/>
  <c r="Q51" i="5"/>
  <c r="L53" i="5"/>
  <c r="A53" i="5"/>
  <c r="Q53" i="5"/>
  <c r="N71" i="5"/>
  <c r="L77" i="5"/>
  <c r="A77" i="5"/>
  <c r="Q77" i="5"/>
  <c r="L79" i="5"/>
  <c r="A79" i="5"/>
  <c r="Q79" i="5"/>
  <c r="L81" i="5"/>
  <c r="A81" i="5"/>
  <c r="Q81" i="5"/>
  <c r="K95" i="5"/>
  <c r="P96" i="5"/>
  <c r="K99" i="5"/>
  <c r="S101" i="5"/>
  <c r="N102" i="5"/>
  <c r="O107" i="5"/>
  <c r="I406" i="5"/>
  <c r="N114" i="5"/>
  <c r="R10" i="5"/>
  <c r="S35" i="5"/>
  <c r="L6" i="5"/>
  <c r="F7" i="5"/>
  <c r="E7" i="5" s="1"/>
  <c r="G12" i="5"/>
  <c r="H12" i="5" s="1"/>
  <c r="K12" i="5"/>
  <c r="O12" i="5"/>
  <c r="P12" i="5" s="1"/>
  <c r="I33" i="5"/>
  <c r="N34" i="5"/>
  <c r="N35" i="5"/>
  <c r="S38" i="5"/>
  <c r="Q6" i="5"/>
  <c r="G7" i="5"/>
  <c r="K7" i="5"/>
  <c r="O7" i="5"/>
  <c r="P7" i="5" s="1"/>
  <c r="Q8" i="5"/>
  <c r="F9" i="5"/>
  <c r="N9" i="5"/>
  <c r="R9" i="5"/>
  <c r="D10" i="5"/>
  <c r="E10" i="5" s="1"/>
  <c r="L10" i="5"/>
  <c r="F11" i="5"/>
  <c r="N11" i="5"/>
  <c r="R11" i="5"/>
  <c r="D12" i="5"/>
  <c r="E12" i="5" s="1"/>
  <c r="L12" i="5"/>
  <c r="F15" i="5"/>
  <c r="E15" i="5" s="1"/>
  <c r="I31" i="5"/>
  <c r="N70" i="5"/>
  <c r="D94" i="5"/>
  <c r="E94" i="5" s="1"/>
  <c r="I94" i="5"/>
  <c r="I96" i="5" s="1"/>
  <c r="I107" i="5" s="1"/>
  <c r="S94" i="5"/>
  <c r="S96" i="5" s="1"/>
  <c r="S97" i="5" s="1"/>
  <c r="G96" i="5"/>
  <c r="L96" i="5"/>
  <c r="J111" i="5" s="1"/>
  <c r="P103" i="5"/>
  <c r="O104" i="5"/>
  <c r="P104" i="5" s="1"/>
  <c r="F112" i="5"/>
  <c r="N113" i="5"/>
  <c r="N117" i="5"/>
  <c r="H117" i="5"/>
  <c r="I118" i="5"/>
  <c r="F118" i="5"/>
  <c r="Q134" i="5"/>
  <c r="P134" i="5" s="1"/>
  <c r="S123" i="5"/>
  <c r="L134" i="5"/>
  <c r="N123" i="5"/>
  <c r="S127" i="5"/>
  <c r="F10" i="5"/>
  <c r="V15" i="5"/>
  <c r="O17" i="5"/>
  <c r="P17" i="5" s="1"/>
  <c r="F21" i="5"/>
  <c r="L22" i="5"/>
  <c r="L8" i="5"/>
  <c r="L17" i="5"/>
  <c r="Q19" i="5"/>
  <c r="S19" i="5" s="1"/>
  <c r="G21" i="5"/>
  <c r="H21" i="5" s="1"/>
  <c r="S36" i="5"/>
  <c r="S39" i="5"/>
  <c r="N15" i="5"/>
  <c r="R15" i="5"/>
  <c r="Q17" i="5"/>
  <c r="D21" i="5"/>
  <c r="E21" i="5" s="1"/>
  <c r="F23" i="5"/>
  <c r="Q33" i="5"/>
  <c r="S33" i="5" s="1"/>
  <c r="L56" i="5"/>
  <c r="A56" i="5"/>
  <c r="Q56" i="5"/>
  <c r="L58" i="5"/>
  <c r="A58" i="5"/>
  <c r="Q58" i="5"/>
  <c r="L60" i="5"/>
  <c r="A60" i="5"/>
  <c r="Q60" i="5"/>
  <c r="L62" i="5"/>
  <c r="A62" i="5"/>
  <c r="Q62" i="5"/>
  <c r="L64" i="5"/>
  <c r="A64" i="5"/>
  <c r="Q64" i="5"/>
  <c r="L66" i="5"/>
  <c r="AF445" i="5" s="1"/>
  <c r="A66" i="5"/>
  <c r="Q66" i="5"/>
  <c r="AL445" i="5" s="1"/>
  <c r="F69" i="5"/>
  <c r="V484" i="5"/>
  <c r="A484" i="5" s="1"/>
  <c r="V401" i="5"/>
  <c r="C290" i="5"/>
  <c r="C355" i="5" s="1"/>
  <c r="C235" i="5"/>
  <c r="AL433" i="5"/>
  <c r="C167" i="5"/>
  <c r="AL472" i="5" s="1"/>
  <c r="AO472" i="5" s="1"/>
  <c r="A6" i="5"/>
  <c r="A8" i="5"/>
  <c r="J8" i="5"/>
  <c r="M12" i="5"/>
  <c r="A17" i="5"/>
  <c r="A19" i="5"/>
  <c r="A22" i="5"/>
  <c r="L42" i="5"/>
  <c r="A42" i="5"/>
  <c r="Q42" i="5"/>
  <c r="L44" i="5"/>
  <c r="A44" i="5"/>
  <c r="Q44" i="5"/>
  <c r="AL422" i="5" s="1"/>
  <c r="L46" i="5"/>
  <c r="A46" i="5"/>
  <c r="Q46" i="5"/>
  <c r="AL477" i="5" s="1"/>
  <c r="AO477" i="5" s="1"/>
  <c r="L48" i="5"/>
  <c r="AF478" i="5" s="1"/>
  <c r="A48" i="5"/>
  <c r="Q48" i="5"/>
  <c r="AL478" i="5" s="1"/>
  <c r="AO478" i="5" s="1"/>
  <c r="L50" i="5"/>
  <c r="A50" i="5"/>
  <c r="Q50" i="5"/>
  <c r="AL428" i="5" s="1"/>
  <c r="L52" i="5"/>
  <c r="A52" i="5"/>
  <c r="Q52" i="5"/>
  <c r="AL430" i="5" s="1"/>
  <c r="S71" i="5"/>
  <c r="F75" i="5"/>
  <c r="L76" i="5"/>
  <c r="A76" i="5"/>
  <c r="Q76" i="5"/>
  <c r="Q83" i="5" s="1"/>
  <c r="L78" i="5"/>
  <c r="A78" i="5"/>
  <c r="Q78" i="5"/>
  <c r="AL469" i="5" s="1"/>
  <c r="L80" i="5"/>
  <c r="A80" i="5"/>
  <c r="Q80" i="5"/>
  <c r="A82" i="5"/>
  <c r="Q82" i="5"/>
  <c r="AL479" i="5" s="1"/>
  <c r="S89" i="5"/>
  <c r="J96" i="5"/>
  <c r="R99" i="5"/>
  <c r="D102" i="5"/>
  <c r="E102" i="5" s="1"/>
  <c r="F121" i="5"/>
  <c r="I111" i="5"/>
  <c r="N111" i="5" s="1"/>
  <c r="Q121" i="5"/>
  <c r="N112" i="5"/>
  <c r="S114" i="5"/>
  <c r="N118" i="5"/>
  <c r="N119" i="5"/>
  <c r="H119" i="5"/>
  <c r="L121" i="5"/>
  <c r="N126" i="5"/>
  <c r="S126" i="5"/>
  <c r="S209" i="5"/>
  <c r="L55" i="5"/>
  <c r="AF433" i="5" s="1"/>
  <c r="A55" i="5"/>
  <c r="Q55" i="5"/>
  <c r="L57" i="5"/>
  <c r="A57" i="5"/>
  <c r="Q57" i="5"/>
  <c r="AL435" i="5" s="1"/>
  <c r="L59" i="5"/>
  <c r="A59" i="5"/>
  <c r="Q59" i="5"/>
  <c r="AL437" i="5" s="1"/>
  <c r="L61" i="5"/>
  <c r="AF440" i="5" s="1"/>
  <c r="A61" i="5"/>
  <c r="Q61" i="5"/>
  <c r="AL440" i="5" s="1"/>
  <c r="L63" i="5"/>
  <c r="AF442" i="5" s="1"/>
  <c r="A63" i="5"/>
  <c r="Q63" i="5"/>
  <c r="AL442" i="5" s="1"/>
  <c r="L65" i="5"/>
  <c r="AF444" i="5" s="1"/>
  <c r="A65" i="5"/>
  <c r="Q65" i="5"/>
  <c r="AL444" i="5" s="1"/>
  <c r="L67" i="5"/>
  <c r="A67" i="5"/>
  <c r="Q67" i="5"/>
  <c r="AL446" i="5" s="1"/>
  <c r="D96" i="5"/>
  <c r="E119" i="5" s="1"/>
  <c r="Q158" i="5"/>
  <c r="P102" i="5"/>
  <c r="S105" i="5"/>
  <c r="S102" i="5"/>
  <c r="H113" i="5"/>
  <c r="H115" i="5"/>
  <c r="N115" i="5"/>
  <c r="E116" i="5"/>
  <c r="F122" i="5"/>
  <c r="I122" i="5"/>
  <c r="H173" i="5"/>
  <c r="M406" i="5"/>
  <c r="N130" i="5"/>
  <c r="M407" i="5"/>
  <c r="S131" i="5"/>
  <c r="F132" i="5"/>
  <c r="I135" i="5"/>
  <c r="I152" i="5" s="1"/>
  <c r="H152" i="5" s="1"/>
  <c r="F135" i="5"/>
  <c r="N137" i="5"/>
  <c r="N138" i="5"/>
  <c r="S139" i="5"/>
  <c r="N139" i="5"/>
  <c r="I148" i="5"/>
  <c r="N148" i="5" s="1"/>
  <c r="F148" i="5"/>
  <c r="Z447" i="5" s="1"/>
  <c r="I157" i="5"/>
  <c r="N157" i="5" s="1"/>
  <c r="N162" i="5" s="1"/>
  <c r="F157" i="5"/>
  <c r="Z475" i="5" s="1"/>
  <c r="I161" i="5"/>
  <c r="N161" i="5" s="1"/>
  <c r="F161" i="5"/>
  <c r="I172" i="5"/>
  <c r="U171" i="5" s="1"/>
  <c r="V171" i="5" s="1"/>
  <c r="I184" i="5"/>
  <c r="N171" i="5"/>
  <c r="M171" i="5"/>
  <c r="Q175" i="5"/>
  <c r="P185" i="5"/>
  <c r="Q230" i="5"/>
  <c r="S202" i="5"/>
  <c r="N202" i="5"/>
  <c r="S112" i="5"/>
  <c r="S113" i="5"/>
  <c r="W114" i="5"/>
  <c r="H120" i="5"/>
  <c r="S135" i="5"/>
  <c r="L152" i="5"/>
  <c r="S143" i="5"/>
  <c r="N143" i="5"/>
  <c r="H184" i="5"/>
  <c r="K185" i="5"/>
  <c r="S174" i="5"/>
  <c r="N174" i="5"/>
  <c r="L184" i="5"/>
  <c r="L175" i="5"/>
  <c r="F177" i="5"/>
  <c r="I177" i="5"/>
  <c r="E177" i="5"/>
  <c r="E184" i="5" s="1"/>
  <c r="E193" i="5" s="1"/>
  <c r="H177" i="5"/>
  <c r="M177" i="5" s="1"/>
  <c r="D177" i="5"/>
  <c r="N177" i="5"/>
  <c r="I199" i="5"/>
  <c r="N199" i="5" s="1"/>
  <c r="F199" i="5"/>
  <c r="M412" i="5"/>
  <c r="M414" i="5" s="1"/>
  <c r="S206" i="5"/>
  <c r="N206" i="5"/>
  <c r="L228" i="5"/>
  <c r="S210" i="5"/>
  <c r="N210" i="5"/>
  <c r="F284" i="5"/>
  <c r="E284" i="5" s="1"/>
  <c r="R94" i="5"/>
  <c r="R96" i="5" s="1"/>
  <c r="R97" i="5" s="1"/>
  <c r="S119" i="5"/>
  <c r="S120" i="5"/>
  <c r="S130" i="5"/>
  <c r="I140" i="5"/>
  <c r="N140" i="5" s="1"/>
  <c r="F140" i="5"/>
  <c r="N146" i="5"/>
  <c r="S147" i="5"/>
  <c r="N147" i="5"/>
  <c r="S156" i="5"/>
  <c r="N156" i="5"/>
  <c r="N159" i="5"/>
  <c r="S160" i="5"/>
  <c r="N160" i="5"/>
  <c r="G177" i="5"/>
  <c r="Q181" i="5"/>
  <c r="I181" i="5"/>
  <c r="U180" i="5" s="1"/>
  <c r="V180" i="5" s="1"/>
  <c r="K184" i="5"/>
  <c r="H187" i="5"/>
  <c r="M187" i="5" s="1"/>
  <c r="F187" i="5"/>
  <c r="E187" i="5"/>
  <c r="I203" i="5"/>
  <c r="N203" i="5" s="1"/>
  <c r="F203" i="5"/>
  <c r="I127" i="5"/>
  <c r="N127" i="5" s="1"/>
  <c r="F127" i="5"/>
  <c r="I131" i="5"/>
  <c r="N407" i="5" s="1"/>
  <c r="F131" i="5"/>
  <c r="N408" i="5"/>
  <c r="Q152" i="5"/>
  <c r="P152" i="5" s="1"/>
  <c r="I144" i="5"/>
  <c r="N144" i="5" s="1"/>
  <c r="F144" i="5"/>
  <c r="S151" i="5"/>
  <c r="N151" i="5"/>
  <c r="Q162" i="5"/>
  <c r="Q184" i="5"/>
  <c r="S171" i="5"/>
  <c r="Q172" i="5"/>
  <c r="I175" i="5"/>
  <c r="U174" i="5" s="1"/>
  <c r="V174" i="5" s="1"/>
  <c r="S180" i="5"/>
  <c r="L181" i="5"/>
  <c r="N180" i="5"/>
  <c r="R184" i="5"/>
  <c r="S198" i="5"/>
  <c r="N198" i="5"/>
  <c r="I207" i="5"/>
  <c r="N207" i="5" s="1"/>
  <c r="F207" i="5"/>
  <c r="I211" i="5"/>
  <c r="N211" i="5" s="1"/>
  <c r="F211" i="5"/>
  <c r="R171" i="5"/>
  <c r="K173" i="5"/>
  <c r="M418" i="5"/>
  <c r="N213" i="5"/>
  <c r="F227" i="5"/>
  <c r="I249" i="5"/>
  <c r="I244" i="5"/>
  <c r="Q249" i="5"/>
  <c r="Q250" i="5" s="1"/>
  <c r="I257" i="5"/>
  <c r="N257" i="5" s="1"/>
  <c r="F257" i="5"/>
  <c r="S260" i="5"/>
  <c r="N260" i="5"/>
  <c r="N271" i="5"/>
  <c r="N277" i="5"/>
  <c r="K298" i="5"/>
  <c r="S299" i="5"/>
  <c r="K376" i="5"/>
  <c r="S376" i="5"/>
  <c r="F139" i="5"/>
  <c r="F143" i="5"/>
  <c r="F147" i="5"/>
  <c r="F151" i="5"/>
  <c r="F156" i="5"/>
  <c r="Z474" i="5" s="1"/>
  <c r="F160" i="5"/>
  <c r="G171" i="5"/>
  <c r="L178" i="5"/>
  <c r="F198" i="5"/>
  <c r="F209" i="5" s="1"/>
  <c r="F202" i="5"/>
  <c r="N205" i="5"/>
  <c r="F206" i="5"/>
  <c r="F210" i="5"/>
  <c r="Q228" i="5"/>
  <c r="S217" i="5"/>
  <c r="N219" i="5"/>
  <c r="N226" i="5"/>
  <c r="N241" i="5"/>
  <c r="I269" i="5"/>
  <c r="N269" i="5" s="1"/>
  <c r="F269" i="5"/>
  <c r="I275" i="5"/>
  <c r="N275" i="5" s="1"/>
  <c r="F275" i="5"/>
  <c r="S278" i="5"/>
  <c r="N278" i="5"/>
  <c r="I283" i="5"/>
  <c r="N283" i="5" s="1"/>
  <c r="F283" i="5"/>
  <c r="J303" i="5"/>
  <c r="K294" i="5"/>
  <c r="Q308" i="5"/>
  <c r="S296" i="5"/>
  <c r="K296" i="5"/>
  <c r="F297" i="5"/>
  <c r="I297" i="5"/>
  <c r="N297" i="5" s="1"/>
  <c r="D297" i="5"/>
  <c r="E297" i="5" s="1"/>
  <c r="S300" i="5"/>
  <c r="F301" i="5"/>
  <c r="I301" i="5"/>
  <c r="N301" i="5" s="1"/>
  <c r="D301" i="5"/>
  <c r="E301" i="5" s="1"/>
  <c r="I329" i="5"/>
  <c r="N317" i="5"/>
  <c r="D171" i="5"/>
  <c r="E173" i="5" s="1"/>
  <c r="F213" i="5"/>
  <c r="S215" i="5"/>
  <c r="S218" i="5"/>
  <c r="S222" i="5"/>
  <c r="E249" i="5"/>
  <c r="L250" i="5"/>
  <c r="I253" i="5"/>
  <c r="F253" i="5"/>
  <c r="S256" i="5"/>
  <c r="N256" i="5"/>
  <c r="I261" i="5"/>
  <c r="N261" i="5" s="1"/>
  <c r="F261" i="5"/>
  <c r="S264" i="5"/>
  <c r="N264" i="5"/>
  <c r="P265" i="5"/>
  <c r="Q284" i="5"/>
  <c r="S284" i="5" s="1"/>
  <c r="S266" i="5"/>
  <c r="N267" i="5"/>
  <c r="N273" i="5"/>
  <c r="N281" i="5"/>
  <c r="E294" i="5"/>
  <c r="L303" i="5"/>
  <c r="R294" i="5"/>
  <c r="G297" i="5"/>
  <c r="H297" i="5" s="1"/>
  <c r="R297" i="5"/>
  <c r="P297" i="5"/>
  <c r="H300" i="5"/>
  <c r="G301" i="5"/>
  <c r="H301" i="5" s="1"/>
  <c r="F302" i="5"/>
  <c r="I302" i="5"/>
  <c r="N302" i="5" s="1"/>
  <c r="D302" i="5"/>
  <c r="E302" i="5" s="1"/>
  <c r="O303" i="5"/>
  <c r="M306" i="5"/>
  <c r="M433" i="5"/>
  <c r="I219" i="5"/>
  <c r="F219" i="5"/>
  <c r="I223" i="5"/>
  <c r="N223" i="5" s="1"/>
  <c r="F223" i="5"/>
  <c r="H249" i="5"/>
  <c r="Q244" i="5"/>
  <c r="L286" i="5"/>
  <c r="K286" i="5" s="1"/>
  <c r="S265" i="5"/>
  <c r="K284" i="5"/>
  <c r="N266" i="5"/>
  <c r="I284" i="5"/>
  <c r="H284" i="5" s="1"/>
  <c r="S268" i="5"/>
  <c r="N268" i="5"/>
  <c r="S274" i="5"/>
  <c r="N274" i="5"/>
  <c r="I279" i="5"/>
  <c r="N279" i="5" s="1"/>
  <c r="F279" i="5"/>
  <c r="S282" i="5"/>
  <c r="N282" i="5"/>
  <c r="H296" i="5"/>
  <c r="G302" i="5"/>
  <c r="H302" i="5" s="1"/>
  <c r="H307" i="5"/>
  <c r="M307" i="5"/>
  <c r="Q350" i="5"/>
  <c r="R306" i="5"/>
  <c r="G311" i="5"/>
  <c r="H311" i="5" s="1"/>
  <c r="L329" i="5"/>
  <c r="S337" i="5"/>
  <c r="N337" i="5"/>
  <c r="I346" i="5"/>
  <c r="N346" i="5" s="1"/>
  <c r="F346" i="5"/>
  <c r="P376" i="5"/>
  <c r="S369" i="5"/>
  <c r="N369" i="5"/>
  <c r="I382" i="5"/>
  <c r="N382" i="5" s="1"/>
  <c r="F382" i="5"/>
  <c r="S389" i="5"/>
  <c r="N389" i="5"/>
  <c r="G240" i="5"/>
  <c r="S240" i="5"/>
  <c r="S241" i="5" s="1"/>
  <c r="F243" i="5"/>
  <c r="N243" i="5"/>
  <c r="N244" i="5" s="1"/>
  <c r="S246" i="5"/>
  <c r="K265" i="5"/>
  <c r="G294" i="5"/>
  <c r="S294" i="5"/>
  <c r="N295" i="5"/>
  <c r="I296" i="5"/>
  <c r="I303" i="5" s="1"/>
  <c r="I308" i="5" s="1"/>
  <c r="I313" i="5" s="1"/>
  <c r="G298" i="5"/>
  <c r="H298" i="5" s="1"/>
  <c r="N299" i="5"/>
  <c r="I300" i="5"/>
  <c r="N300" i="5" s="1"/>
  <c r="K306" i="5"/>
  <c r="F307" i="5"/>
  <c r="E307" i="5" s="1"/>
  <c r="N307" i="5"/>
  <c r="D311" i="5"/>
  <c r="E311" i="5" s="1"/>
  <c r="F317" i="5"/>
  <c r="N320" i="5"/>
  <c r="F321" i="5"/>
  <c r="S322" i="5"/>
  <c r="N324" i="5"/>
  <c r="F325" i="5"/>
  <c r="S326" i="5"/>
  <c r="M430" i="5"/>
  <c r="S327" i="5"/>
  <c r="F328" i="5"/>
  <c r="I330" i="5"/>
  <c r="N331" i="5"/>
  <c r="N333" i="5"/>
  <c r="S333" i="5"/>
  <c r="S348" i="5" s="1"/>
  <c r="I342" i="5"/>
  <c r="N342" i="5" s="1"/>
  <c r="F342" i="5"/>
  <c r="I366" i="5"/>
  <c r="N366" i="5" s="1"/>
  <c r="F366" i="5"/>
  <c r="N372" i="5"/>
  <c r="S373" i="5"/>
  <c r="N373" i="5"/>
  <c r="S377" i="5"/>
  <c r="S394" i="5" s="1"/>
  <c r="L394" i="5"/>
  <c r="K394" i="5" s="1"/>
  <c r="N377" i="5"/>
  <c r="I386" i="5"/>
  <c r="N386" i="5" s="1"/>
  <c r="F386" i="5"/>
  <c r="N392" i="5"/>
  <c r="S393" i="5"/>
  <c r="N393" i="5"/>
  <c r="Q394" i="5"/>
  <c r="P394" i="5" s="1"/>
  <c r="D240" i="5"/>
  <c r="S243" i="5"/>
  <c r="S253" i="5"/>
  <c r="S261" i="5"/>
  <c r="N263" i="5"/>
  <c r="F296" i="5"/>
  <c r="E296" i="5" s="1"/>
  <c r="F300" i="5"/>
  <c r="K307" i="5"/>
  <c r="I311" i="5"/>
  <c r="N311" i="5" s="1"/>
  <c r="S325" i="5"/>
  <c r="L348" i="5"/>
  <c r="I338" i="5"/>
  <c r="N338" i="5" s="1"/>
  <c r="F338" i="5"/>
  <c r="F348" i="5" s="1"/>
  <c r="S345" i="5"/>
  <c r="N345" i="5"/>
  <c r="F359" i="5"/>
  <c r="I359" i="5"/>
  <c r="D359" i="5"/>
  <c r="D361" i="5" s="1"/>
  <c r="E361" i="5" s="1"/>
  <c r="S361" i="5"/>
  <c r="I370" i="5"/>
  <c r="N370" i="5" s="1"/>
  <c r="F370" i="5"/>
  <c r="S381" i="5"/>
  <c r="N381" i="5"/>
  <c r="I390" i="5"/>
  <c r="N390" i="5" s="1"/>
  <c r="F390" i="5"/>
  <c r="M419" i="5"/>
  <c r="I408" i="5"/>
  <c r="I409" i="5"/>
  <c r="N326" i="5"/>
  <c r="N330" i="5"/>
  <c r="S335" i="5"/>
  <c r="N335" i="5"/>
  <c r="S341" i="5"/>
  <c r="N341" i="5"/>
  <c r="G361" i="5"/>
  <c r="M359" i="5"/>
  <c r="R359" i="5"/>
  <c r="O361" i="5"/>
  <c r="P359" i="5"/>
  <c r="S365" i="5"/>
  <c r="N365" i="5"/>
  <c r="I374" i="5"/>
  <c r="N374" i="5" s="1"/>
  <c r="F374" i="5"/>
  <c r="I378" i="5"/>
  <c r="N378" i="5" s="1"/>
  <c r="F378" i="5"/>
  <c r="S385" i="5"/>
  <c r="N385" i="5"/>
  <c r="S339" i="5"/>
  <c r="S343" i="5"/>
  <c r="S347" i="5"/>
  <c r="AN447" i="5"/>
  <c r="AO447" i="5" s="1"/>
  <c r="AL465" i="5"/>
  <c r="AC495" i="5"/>
  <c r="Z495" i="5"/>
  <c r="F365" i="5"/>
  <c r="F376" i="5" s="1"/>
  <c r="F369" i="5"/>
  <c r="F373" i="5"/>
  <c r="F377" i="5"/>
  <c r="F381" i="5"/>
  <c r="F385" i="5"/>
  <c r="F389" i="5"/>
  <c r="F393" i="5"/>
  <c r="AN419" i="5"/>
  <c r="AO419" i="5" s="1"/>
  <c r="AC453" i="5"/>
  <c r="Z453" i="5"/>
  <c r="N359" i="5"/>
  <c r="AH419" i="5"/>
  <c r="Z452" i="5"/>
  <c r="AC452" i="5"/>
  <c r="Z454" i="5"/>
  <c r="AC454" i="5"/>
  <c r="AH454" i="5" s="1"/>
  <c r="AN459" i="5"/>
  <c r="AH460" i="5"/>
  <c r="AI460" i="5" s="1"/>
  <c r="AC491" i="5"/>
  <c r="Z491" i="5"/>
  <c r="AH456" i="5"/>
  <c r="AI456" i="5" s="1"/>
  <c r="AO459" i="5"/>
  <c r="AN455" i="5"/>
  <c r="AH468" i="5"/>
  <c r="AI468" i="5" s="1"/>
  <c r="AI492" i="5"/>
  <c r="AC458" i="5"/>
  <c r="Z458" i="5"/>
  <c r="AH459" i="5"/>
  <c r="AI459" i="5" s="1"/>
  <c r="AO460" i="5"/>
  <c r="AN468" i="5"/>
  <c r="AO468" i="5" s="1"/>
  <c r="AO490" i="5"/>
  <c r="AN493" i="5"/>
  <c r="AN452" i="5"/>
  <c r="AN465" i="5" s="1"/>
  <c r="Z492" i="5"/>
  <c r="Z496" i="5"/>
  <c r="F11" i="15"/>
  <c r="S21" i="15"/>
  <c r="L24" i="15"/>
  <c r="I45" i="15"/>
  <c r="F45" i="15"/>
  <c r="A46" i="15"/>
  <c r="L46" i="15"/>
  <c r="I53" i="15"/>
  <c r="N53" i="15" s="1"/>
  <c r="F53" i="15"/>
  <c r="S56" i="15"/>
  <c r="N56" i="15"/>
  <c r="V484" i="15"/>
  <c r="A484" i="15" s="1"/>
  <c r="V401" i="15"/>
  <c r="C290" i="15"/>
  <c r="C355" i="15" s="1"/>
  <c r="C235" i="15"/>
  <c r="C167" i="15"/>
  <c r="AL427" i="15" s="1"/>
  <c r="C89" i="15"/>
  <c r="AL446" i="15" s="1"/>
  <c r="J6" i="15"/>
  <c r="O6" i="15"/>
  <c r="J7" i="15"/>
  <c r="A7" i="15"/>
  <c r="S7" i="15"/>
  <c r="M10" i="15"/>
  <c r="R10" i="15"/>
  <c r="M12" i="15"/>
  <c r="R12" i="15"/>
  <c r="A15" i="15"/>
  <c r="O15" i="15"/>
  <c r="D22" i="15"/>
  <c r="E22" i="15" s="1"/>
  <c r="G22" i="15"/>
  <c r="H22" i="15" s="1"/>
  <c r="G23" i="15"/>
  <c r="H23" i="15" s="1"/>
  <c r="A32" i="15"/>
  <c r="I33" i="15"/>
  <c r="F33" i="15"/>
  <c r="A35" i="15"/>
  <c r="Q35" i="15"/>
  <c r="L35" i="15"/>
  <c r="Q36" i="15"/>
  <c r="AL413" i="15" s="1"/>
  <c r="L38" i="15"/>
  <c r="Q38" i="15"/>
  <c r="P38" i="15" s="1"/>
  <c r="A38" i="15"/>
  <c r="A39" i="15"/>
  <c r="Q39" i="15"/>
  <c r="P39" i="15" s="1"/>
  <c r="I40" i="15"/>
  <c r="I43" i="15"/>
  <c r="N43" i="15" s="1"/>
  <c r="F43" i="15"/>
  <c r="Z421" i="15" s="1"/>
  <c r="A44" i="15"/>
  <c r="L44" i="15"/>
  <c r="AF422" i="15" s="1"/>
  <c r="S47" i="15"/>
  <c r="I51" i="15"/>
  <c r="F51" i="15"/>
  <c r="Z429" i="15" s="1"/>
  <c r="A52" i="15"/>
  <c r="L52" i="15"/>
  <c r="A57" i="15"/>
  <c r="L57" i="15"/>
  <c r="AF435" i="15" s="1"/>
  <c r="A61" i="15"/>
  <c r="L61" i="15"/>
  <c r="A65" i="15"/>
  <c r="L65" i="15"/>
  <c r="Q158" i="15"/>
  <c r="P102" i="15"/>
  <c r="P103" i="15"/>
  <c r="O107" i="15"/>
  <c r="P101" i="15"/>
  <c r="O104" i="15"/>
  <c r="P104" i="15" s="1"/>
  <c r="L193" i="15"/>
  <c r="I11" i="15"/>
  <c r="D11" i="15"/>
  <c r="E11" i="15" s="1"/>
  <c r="Q19" i="15"/>
  <c r="A19" i="15"/>
  <c r="L19" i="15"/>
  <c r="L32" i="15"/>
  <c r="N34" i="15"/>
  <c r="S34" i="15"/>
  <c r="Q46" i="15"/>
  <c r="I49" i="15"/>
  <c r="AC427" i="15" s="1"/>
  <c r="F49" i="15"/>
  <c r="Z427" i="15" s="1"/>
  <c r="A50" i="15"/>
  <c r="L50" i="15"/>
  <c r="S58" i="15"/>
  <c r="N58" i="15"/>
  <c r="S62" i="15"/>
  <c r="N62" i="15"/>
  <c r="Q65" i="15"/>
  <c r="AL444" i="15" s="1"/>
  <c r="S66" i="15"/>
  <c r="N66" i="15"/>
  <c r="Q69" i="15"/>
  <c r="S69" i="15" s="1"/>
  <c r="A69" i="15"/>
  <c r="S76" i="15"/>
  <c r="AO484" i="15"/>
  <c r="AO401" i="15"/>
  <c r="S355" i="15"/>
  <c r="S290" i="15"/>
  <c r="S235" i="15"/>
  <c r="S167" i="15"/>
  <c r="S89" i="15"/>
  <c r="I9" i="15"/>
  <c r="N9" i="15" s="1"/>
  <c r="D9" i="15"/>
  <c r="E9" i="15" s="1"/>
  <c r="J15" i="15"/>
  <c r="D17" i="15"/>
  <c r="E17" i="15" s="1"/>
  <c r="F17" i="15"/>
  <c r="I17" i="15"/>
  <c r="H17" i="15" s="1"/>
  <c r="S22" i="15"/>
  <c r="N22" i="15"/>
  <c r="N33" i="15"/>
  <c r="S39" i="15"/>
  <c r="A42" i="15"/>
  <c r="L42" i="15"/>
  <c r="L5" i="15"/>
  <c r="A5" i="15"/>
  <c r="A6" i="15"/>
  <c r="S8" i="15"/>
  <c r="N8" i="15"/>
  <c r="J8" i="15"/>
  <c r="Q8" i="15"/>
  <c r="Q13" i="15" s="1"/>
  <c r="Q9" i="15"/>
  <c r="S9" i="15" s="1"/>
  <c r="O9" i="15"/>
  <c r="P9" i="15" s="1"/>
  <c r="J9" i="15"/>
  <c r="Q11" i="15"/>
  <c r="S11" i="15" s="1"/>
  <c r="O11" i="15"/>
  <c r="P11" i="15" s="1"/>
  <c r="J11" i="15"/>
  <c r="L15" i="15"/>
  <c r="W20" i="15" s="1"/>
  <c r="L17" i="15"/>
  <c r="Q17" i="15"/>
  <c r="J17" i="15"/>
  <c r="F22" i="15"/>
  <c r="Q22" i="15"/>
  <c r="Q24" i="15" s="1"/>
  <c r="D23" i="15"/>
  <c r="E23" i="15" s="1"/>
  <c r="F31" i="15"/>
  <c r="N31" i="15"/>
  <c r="I36" i="15"/>
  <c r="AC413" i="15" s="1"/>
  <c r="S43" i="15"/>
  <c r="Q44" i="15"/>
  <c r="Q54" i="15" s="1"/>
  <c r="N45" i="15"/>
  <c r="I47" i="15"/>
  <c r="N47" i="15" s="1"/>
  <c r="F47" i="15"/>
  <c r="A48" i="15"/>
  <c r="L48" i="15"/>
  <c r="M402" i="15"/>
  <c r="M436" i="15" s="1"/>
  <c r="S51" i="15"/>
  <c r="Q52" i="15"/>
  <c r="AL430" i="15" s="1"/>
  <c r="A55" i="15"/>
  <c r="L55" i="15"/>
  <c r="A59" i="15"/>
  <c r="L59" i="15"/>
  <c r="A63" i="15"/>
  <c r="L63" i="15"/>
  <c r="A67" i="15"/>
  <c r="L67" i="15"/>
  <c r="AF446" i="15" s="1"/>
  <c r="F75" i="15"/>
  <c r="Z470" i="15" s="1"/>
  <c r="I75" i="15"/>
  <c r="AC470" i="15" s="1"/>
  <c r="Q82" i="15"/>
  <c r="AL479" i="15" s="1"/>
  <c r="H95" i="15"/>
  <c r="H99" i="15"/>
  <c r="I8" i="15"/>
  <c r="D8" i="15"/>
  <c r="E8" i="15" s="1"/>
  <c r="G8" i="15"/>
  <c r="H8" i="15" s="1"/>
  <c r="S6" i="15"/>
  <c r="F9" i="15"/>
  <c r="Q41" i="15"/>
  <c r="S33" i="15"/>
  <c r="S60" i="15"/>
  <c r="N60" i="15"/>
  <c r="S64" i="15"/>
  <c r="N64" i="15"/>
  <c r="S68" i="15"/>
  <c r="N68" i="15"/>
  <c r="Q83" i="15"/>
  <c r="L107" i="15"/>
  <c r="I37" i="15"/>
  <c r="AC414" i="15" s="1"/>
  <c r="S40" i="15"/>
  <c r="K40" i="15"/>
  <c r="L70" i="15"/>
  <c r="A70" i="15"/>
  <c r="Q70" i="15"/>
  <c r="N76" i="15"/>
  <c r="D94" i="15"/>
  <c r="P120" i="15"/>
  <c r="K116" i="15"/>
  <c r="P115" i="15"/>
  <c r="P114" i="15"/>
  <c r="P111" i="15"/>
  <c r="K118" i="15"/>
  <c r="K117" i="15"/>
  <c r="P116" i="15"/>
  <c r="K103" i="15"/>
  <c r="R103" i="15" s="1"/>
  <c r="K101" i="15"/>
  <c r="R101" i="15" s="1"/>
  <c r="L158" i="15"/>
  <c r="K119" i="15"/>
  <c r="P118" i="15"/>
  <c r="P117" i="15"/>
  <c r="P94" i="15"/>
  <c r="K96" i="15"/>
  <c r="K102" i="15"/>
  <c r="R102" i="15" s="1"/>
  <c r="P112" i="15"/>
  <c r="N113" i="15"/>
  <c r="K114" i="15"/>
  <c r="P119" i="15"/>
  <c r="N155" i="15"/>
  <c r="I172" i="15"/>
  <c r="M411" i="15"/>
  <c r="S205" i="15"/>
  <c r="I213" i="15"/>
  <c r="N213" i="15" s="1"/>
  <c r="F213" i="15"/>
  <c r="L286" i="15"/>
  <c r="S265" i="15"/>
  <c r="F311" i="15"/>
  <c r="M311" i="15" s="1"/>
  <c r="G311" i="15"/>
  <c r="H311" i="15" s="1"/>
  <c r="I311" i="15"/>
  <c r="N311" i="15" s="1"/>
  <c r="D311" i="15"/>
  <c r="E311" i="15" s="1"/>
  <c r="S319" i="15"/>
  <c r="F10" i="15"/>
  <c r="F12" i="15"/>
  <c r="F21" i="15"/>
  <c r="F24" i="15" s="1"/>
  <c r="J405" i="15"/>
  <c r="L41" i="15"/>
  <c r="S31" i="15"/>
  <c r="S37" i="15"/>
  <c r="N40" i="15"/>
  <c r="L77" i="15"/>
  <c r="L79" i="15"/>
  <c r="L81" i="15"/>
  <c r="F94" i="15"/>
  <c r="F96" i="15" s="1"/>
  <c r="K94" i="15"/>
  <c r="Q96" i="15"/>
  <c r="P96" i="15" s="1"/>
  <c r="I102" i="15"/>
  <c r="D102" i="15"/>
  <c r="E102" i="15" s="1"/>
  <c r="S102" i="15"/>
  <c r="N102" i="15"/>
  <c r="J104" i="15"/>
  <c r="S104" i="15"/>
  <c r="K111" i="15"/>
  <c r="J112" i="15"/>
  <c r="K113" i="15"/>
  <c r="N114" i="15"/>
  <c r="S116" i="15"/>
  <c r="K120" i="15"/>
  <c r="L134" i="15"/>
  <c r="S122" i="15"/>
  <c r="N122" i="15"/>
  <c r="I127" i="15"/>
  <c r="N127" i="15" s="1"/>
  <c r="F127" i="15"/>
  <c r="N129" i="15"/>
  <c r="M406" i="15"/>
  <c r="S130" i="15"/>
  <c r="N130" i="15"/>
  <c r="I135" i="15"/>
  <c r="F135" i="15"/>
  <c r="N137" i="15"/>
  <c r="S138" i="15"/>
  <c r="N138" i="15"/>
  <c r="I143" i="15"/>
  <c r="N143" i="15" s="1"/>
  <c r="F143" i="15"/>
  <c r="N145" i="15"/>
  <c r="S146" i="15"/>
  <c r="N146" i="15"/>
  <c r="I151" i="15"/>
  <c r="N151" i="15" s="1"/>
  <c r="F151" i="15"/>
  <c r="Q162" i="15"/>
  <c r="S159" i="15"/>
  <c r="N159" i="15"/>
  <c r="N171" i="15"/>
  <c r="R171" i="15"/>
  <c r="N204" i="15"/>
  <c r="S204" i="15"/>
  <c r="L71" i="15"/>
  <c r="A71" i="15"/>
  <c r="Q71" i="15"/>
  <c r="A77" i="15"/>
  <c r="A79" i="15"/>
  <c r="A81" i="15"/>
  <c r="G94" i="15"/>
  <c r="H94" i="15" s="1"/>
  <c r="N94" i="15"/>
  <c r="S94" i="15"/>
  <c r="S96" i="15" s="1"/>
  <c r="P95" i="15"/>
  <c r="M99" i="15"/>
  <c r="S105" i="15"/>
  <c r="F111" i="15"/>
  <c r="I111" i="15"/>
  <c r="J406" i="15"/>
  <c r="J111" i="15"/>
  <c r="N111" i="15"/>
  <c r="K112" i="15"/>
  <c r="S113" i="15"/>
  <c r="K115" i="15"/>
  <c r="I119" i="15"/>
  <c r="N120" i="15"/>
  <c r="L121" i="15"/>
  <c r="Q134" i="15"/>
  <c r="N177" i="15"/>
  <c r="S177" i="15"/>
  <c r="L181" i="15"/>
  <c r="S180" i="15"/>
  <c r="N180" i="15"/>
  <c r="Q230" i="15"/>
  <c r="S222" i="15"/>
  <c r="N222" i="15"/>
  <c r="L288" i="15"/>
  <c r="M300" i="15"/>
  <c r="H300" i="15"/>
  <c r="O308" i="15"/>
  <c r="P303" i="15"/>
  <c r="S78" i="15"/>
  <c r="S80" i="15"/>
  <c r="I96" i="15"/>
  <c r="N96" i="15" s="1"/>
  <c r="N97" i="15" s="1"/>
  <c r="I95" i="15"/>
  <c r="D95" i="15"/>
  <c r="I99" i="15"/>
  <c r="N99" i="15" s="1"/>
  <c r="D99" i="15"/>
  <c r="E99" i="15" s="1"/>
  <c r="I104" i="15"/>
  <c r="G112" i="15" s="1"/>
  <c r="N104" i="15"/>
  <c r="N105" i="15" s="1"/>
  <c r="J107" i="15"/>
  <c r="Q121" i="15"/>
  <c r="W114" i="15"/>
  <c r="P113" i="15"/>
  <c r="N115" i="15"/>
  <c r="I123" i="15"/>
  <c r="N123" i="15" s="1"/>
  <c r="F123" i="15"/>
  <c r="S126" i="15"/>
  <c r="N126" i="15"/>
  <c r="I131" i="15"/>
  <c r="F131" i="15"/>
  <c r="I139" i="15"/>
  <c r="N139" i="15" s="1"/>
  <c r="F139" i="15"/>
  <c r="N141" i="15"/>
  <c r="S142" i="15"/>
  <c r="N142" i="15"/>
  <c r="I147" i="15"/>
  <c r="N147" i="15" s="1"/>
  <c r="F147" i="15"/>
  <c r="N149" i="15"/>
  <c r="S150" i="15"/>
  <c r="N150" i="15"/>
  <c r="I156" i="15"/>
  <c r="N156" i="15" s="1"/>
  <c r="F156" i="15"/>
  <c r="F162" i="15" s="1"/>
  <c r="I160" i="15"/>
  <c r="N160" i="15" s="1"/>
  <c r="F160" i="15"/>
  <c r="K184" i="15"/>
  <c r="L185" i="15" s="1"/>
  <c r="F174" i="15"/>
  <c r="F175" i="15" s="1"/>
  <c r="I174" i="15"/>
  <c r="I184" i="15" s="1"/>
  <c r="E174" i="15"/>
  <c r="H174" i="15"/>
  <c r="M174" i="15" s="1"/>
  <c r="D174" i="15"/>
  <c r="N174" i="15"/>
  <c r="L178" i="15"/>
  <c r="I219" i="15"/>
  <c r="N219" i="15" s="1"/>
  <c r="F219" i="15"/>
  <c r="S256" i="15"/>
  <c r="N256" i="15"/>
  <c r="K298" i="15"/>
  <c r="R298" i="15"/>
  <c r="S311" i="15"/>
  <c r="R311" i="15" s="1"/>
  <c r="L329" i="15"/>
  <c r="S114" i="15"/>
  <c r="S115" i="15"/>
  <c r="I117" i="15"/>
  <c r="I118" i="15"/>
  <c r="S120" i="15"/>
  <c r="N408" i="15"/>
  <c r="L152" i="15"/>
  <c r="G171" i="15"/>
  <c r="L172" i="15"/>
  <c r="I178" i="15"/>
  <c r="I180" i="15"/>
  <c r="I181" i="15" s="1"/>
  <c r="E180" i="15"/>
  <c r="H180" i="15"/>
  <c r="M180" i="15" s="1"/>
  <c r="N183" i="15"/>
  <c r="O184" i="15"/>
  <c r="I197" i="15"/>
  <c r="F197" i="15"/>
  <c r="N199" i="15"/>
  <c r="N208" i="15"/>
  <c r="Q228" i="15"/>
  <c r="S210" i="15"/>
  <c r="N211" i="15"/>
  <c r="N217" i="15"/>
  <c r="N225" i="15"/>
  <c r="Q249" i="15"/>
  <c r="S249" i="15" s="1"/>
  <c r="I261" i="15"/>
  <c r="N261" i="15" s="1"/>
  <c r="F261" i="15"/>
  <c r="I269" i="15"/>
  <c r="N269" i="15" s="1"/>
  <c r="F269" i="15"/>
  <c r="F284" i="15" s="1"/>
  <c r="E284" i="15" s="1"/>
  <c r="I275" i="15"/>
  <c r="N275" i="15" s="1"/>
  <c r="F275" i="15"/>
  <c r="S278" i="15"/>
  <c r="N278" i="15"/>
  <c r="I283" i="15"/>
  <c r="N283" i="15" s="1"/>
  <c r="F283" i="15"/>
  <c r="J303" i="15"/>
  <c r="M294" i="15"/>
  <c r="K294" i="15"/>
  <c r="Q303" i="15"/>
  <c r="S295" i="15"/>
  <c r="S296" i="15"/>
  <c r="K296" i="15"/>
  <c r="N296" i="15"/>
  <c r="F297" i="15"/>
  <c r="I297" i="15"/>
  <c r="N297" i="15" s="1"/>
  <c r="D297" i="15"/>
  <c r="E297" i="15" s="1"/>
  <c r="S300" i="15"/>
  <c r="M306" i="15"/>
  <c r="K306" i="15"/>
  <c r="M307" i="15"/>
  <c r="N318" i="15"/>
  <c r="S318" i="15"/>
  <c r="M429" i="15"/>
  <c r="S326" i="15"/>
  <c r="N326" i="15"/>
  <c r="I341" i="15"/>
  <c r="N341" i="15" s="1"/>
  <c r="F341" i="15"/>
  <c r="S372" i="15"/>
  <c r="N372" i="15"/>
  <c r="I389" i="15"/>
  <c r="N389" i="15" s="1"/>
  <c r="F389" i="15"/>
  <c r="M94" i="15"/>
  <c r="F101" i="15"/>
  <c r="F104" i="15" s="1"/>
  <c r="F103" i="15"/>
  <c r="S112" i="15"/>
  <c r="F122" i="15"/>
  <c r="F134" i="15" s="1"/>
  <c r="F126" i="15"/>
  <c r="F130" i="15"/>
  <c r="S131" i="15"/>
  <c r="F138" i="15"/>
  <c r="F142" i="15"/>
  <c r="F146" i="15"/>
  <c r="F150" i="15"/>
  <c r="F159" i="15"/>
  <c r="D171" i="15"/>
  <c r="H171" i="15"/>
  <c r="K173" i="15"/>
  <c r="F177" i="15"/>
  <c r="F178" i="15" s="1"/>
  <c r="R177" i="15"/>
  <c r="D180" i="15"/>
  <c r="L188" i="15"/>
  <c r="S187" i="15"/>
  <c r="N187" i="15"/>
  <c r="L209" i="15"/>
  <c r="S197" i="15"/>
  <c r="F198" i="15"/>
  <c r="I201" i="15"/>
  <c r="N201" i="15" s="1"/>
  <c r="F201" i="15"/>
  <c r="N203" i="15"/>
  <c r="F210" i="15"/>
  <c r="F228" i="15" s="1"/>
  <c r="S212" i="15"/>
  <c r="N212" i="15"/>
  <c r="S218" i="15"/>
  <c r="N218" i="15"/>
  <c r="I223" i="15"/>
  <c r="N223" i="15" s="1"/>
  <c r="F223" i="15"/>
  <c r="I249" i="15"/>
  <c r="I244" i="15"/>
  <c r="Q265" i="15"/>
  <c r="I257" i="15"/>
  <c r="N257" i="15" s="1"/>
  <c r="F257" i="15"/>
  <c r="S264" i="15"/>
  <c r="N264" i="15"/>
  <c r="P265" i="15"/>
  <c r="Q284" i="15"/>
  <c r="S284" i="15" s="1"/>
  <c r="S266" i="15"/>
  <c r="N267" i="15"/>
  <c r="N273" i="15"/>
  <c r="N281" i="15"/>
  <c r="E294" i="15"/>
  <c r="L303" i="15"/>
  <c r="R294" i="15"/>
  <c r="M295" i="15"/>
  <c r="G297" i="15"/>
  <c r="M297" i="15" s="1"/>
  <c r="R297" i="15"/>
  <c r="P297" i="15"/>
  <c r="S334" i="15"/>
  <c r="N334" i="15"/>
  <c r="S380" i="15"/>
  <c r="N380" i="15"/>
  <c r="R94" i="15"/>
  <c r="R96" i="15" s="1"/>
  <c r="R97" i="15" s="1"/>
  <c r="N132" i="15"/>
  <c r="E171" i="15"/>
  <c r="M171" i="15"/>
  <c r="Q184" i="15"/>
  <c r="S184" i="15" s="1"/>
  <c r="F180" i="15"/>
  <c r="S198" i="15"/>
  <c r="I205" i="15"/>
  <c r="N205" i="15" s="1"/>
  <c r="F205" i="15"/>
  <c r="S208" i="15"/>
  <c r="L228" i="15"/>
  <c r="S227" i="15"/>
  <c r="L250" i="15"/>
  <c r="I253" i="15"/>
  <c r="F253" i="15"/>
  <c r="F265" i="15" s="1"/>
  <c r="S260" i="15"/>
  <c r="N260" i="15"/>
  <c r="N266" i="15"/>
  <c r="I284" i="15"/>
  <c r="H284" i="15" s="1"/>
  <c r="S268" i="15"/>
  <c r="N268" i="15"/>
  <c r="S274" i="15"/>
  <c r="N274" i="15"/>
  <c r="I279" i="15"/>
  <c r="N279" i="15" s="1"/>
  <c r="F279" i="15"/>
  <c r="S282" i="15"/>
  <c r="N282" i="15"/>
  <c r="H296" i="15"/>
  <c r="R306" i="15"/>
  <c r="P306" i="15"/>
  <c r="I365" i="15"/>
  <c r="N365" i="15" s="1"/>
  <c r="F365" i="15"/>
  <c r="F376" i="15" s="1"/>
  <c r="H187" i="15"/>
  <c r="M187" i="15" s="1"/>
  <c r="S206" i="15"/>
  <c r="S240" i="15"/>
  <c r="S241" i="15" s="1"/>
  <c r="F243" i="15"/>
  <c r="N243" i="15"/>
  <c r="N244" i="15" s="1"/>
  <c r="S246" i="15"/>
  <c r="S262" i="15"/>
  <c r="K265" i="15"/>
  <c r="K286" i="15"/>
  <c r="G294" i="15"/>
  <c r="S294" i="15"/>
  <c r="N295" i="15"/>
  <c r="R295" i="15"/>
  <c r="I296" i="15"/>
  <c r="G298" i="15"/>
  <c r="H298" i="15" s="1"/>
  <c r="N299" i="15"/>
  <c r="R299" i="15"/>
  <c r="I300" i="15"/>
  <c r="N300" i="15" s="1"/>
  <c r="F306" i="15"/>
  <c r="E306" i="15" s="1"/>
  <c r="I307" i="15"/>
  <c r="N307" i="15" s="1"/>
  <c r="N317" i="15"/>
  <c r="S320" i="15"/>
  <c r="S322" i="15"/>
  <c r="N322" i="15"/>
  <c r="S324" i="15"/>
  <c r="S330" i="15"/>
  <c r="L348" i="15"/>
  <c r="N330" i="15"/>
  <c r="S332" i="15"/>
  <c r="I337" i="15"/>
  <c r="N337" i="15" s="1"/>
  <c r="F337" i="15"/>
  <c r="S344" i="15"/>
  <c r="N344" i="15"/>
  <c r="S346" i="15"/>
  <c r="L376" i="15"/>
  <c r="S368" i="15"/>
  <c r="N368" i="15"/>
  <c r="S370" i="15"/>
  <c r="S378" i="15"/>
  <c r="S394" i="15" s="1"/>
  <c r="I385" i="15"/>
  <c r="N385" i="15" s="1"/>
  <c r="F385" i="15"/>
  <c r="AN454" i="15"/>
  <c r="AO454" i="15" s="1"/>
  <c r="S243" i="15"/>
  <c r="S253" i="15"/>
  <c r="S261" i="15"/>
  <c r="F296" i="15"/>
  <c r="E296" i="15" s="1"/>
  <c r="F300" i="15"/>
  <c r="G301" i="15"/>
  <c r="H301" i="15" s="1"/>
  <c r="D302" i="15"/>
  <c r="E302" i="15" s="1"/>
  <c r="I302" i="15"/>
  <c r="N302" i="15" s="1"/>
  <c r="G306" i="15"/>
  <c r="H306" i="15" s="1"/>
  <c r="J409" i="15"/>
  <c r="I327" i="15"/>
  <c r="N327" i="15" s="1"/>
  <c r="F327" i="15"/>
  <c r="Q348" i="15"/>
  <c r="I335" i="15"/>
  <c r="N335" i="15" s="1"/>
  <c r="F335" i="15"/>
  <c r="S340" i="15"/>
  <c r="N340" i="15"/>
  <c r="S342" i="15"/>
  <c r="G361" i="15"/>
  <c r="M359" i="15"/>
  <c r="Q376" i="15"/>
  <c r="S366" i="15"/>
  <c r="I373" i="15"/>
  <c r="N373" i="15" s="1"/>
  <c r="F373" i="15"/>
  <c r="I381" i="15"/>
  <c r="N381" i="15" s="1"/>
  <c r="F381" i="15"/>
  <c r="S388" i="15"/>
  <c r="N388" i="15"/>
  <c r="N390" i="15"/>
  <c r="J408" i="15"/>
  <c r="K284" i="15"/>
  <c r="P307" i="15"/>
  <c r="Q350" i="15"/>
  <c r="I319" i="15"/>
  <c r="I329" i="15" s="1"/>
  <c r="F319" i="15"/>
  <c r="F329" i="15" s="1"/>
  <c r="I323" i="15"/>
  <c r="N323" i="15" s="1"/>
  <c r="F323" i="15"/>
  <c r="I331" i="15"/>
  <c r="F331" i="15"/>
  <c r="F348" i="15" s="1"/>
  <c r="S336" i="15"/>
  <c r="N336" i="15"/>
  <c r="S338" i="15"/>
  <c r="I345" i="15"/>
  <c r="N345" i="15" s="1"/>
  <c r="F345" i="15"/>
  <c r="S359" i="15"/>
  <c r="L361" i="15"/>
  <c r="N359" i="15"/>
  <c r="I369" i="15"/>
  <c r="N369" i="15" s="1"/>
  <c r="F369" i="15"/>
  <c r="I377" i="15"/>
  <c r="F377" i="15"/>
  <c r="S384" i="15"/>
  <c r="N384" i="15"/>
  <c r="S386" i="15"/>
  <c r="M433" i="15"/>
  <c r="I359" i="15"/>
  <c r="O361" i="15"/>
  <c r="S390" i="15"/>
  <c r="S393" i="15"/>
  <c r="M430" i="15"/>
  <c r="AC495" i="15"/>
  <c r="Z495" i="15"/>
  <c r="F359" i="15"/>
  <c r="L394" i="15"/>
  <c r="K394" i="15" s="1"/>
  <c r="AH419" i="15"/>
  <c r="AO452" i="15"/>
  <c r="AL465" i="15"/>
  <c r="AC457" i="15"/>
  <c r="Z457" i="15"/>
  <c r="AH459" i="15"/>
  <c r="AN459" i="15"/>
  <c r="AO459" i="15" s="1"/>
  <c r="AC491" i="15"/>
  <c r="Z491" i="15"/>
  <c r="AO447" i="15"/>
  <c r="AN447" i="15"/>
  <c r="AC453" i="15"/>
  <c r="Z453" i="15"/>
  <c r="Z465" i="15" s="1"/>
  <c r="AH455" i="15"/>
  <c r="AN455" i="15"/>
  <c r="AC458" i="15"/>
  <c r="Z458" i="15"/>
  <c r="AO419" i="15"/>
  <c r="AI452" i="15"/>
  <c r="AC454" i="15"/>
  <c r="Z454" i="15"/>
  <c r="AH452" i="15"/>
  <c r="AH456" i="15"/>
  <c r="AI456" i="15" s="1"/>
  <c r="AH460" i="15"/>
  <c r="AI460" i="15" s="1"/>
  <c r="AI459" i="15"/>
  <c r="AH468" i="15"/>
  <c r="AI468" i="15" s="1"/>
  <c r="AH492" i="15"/>
  <c r="AI492" i="15" s="1"/>
  <c r="AO468" i="15"/>
  <c r="AO490" i="15"/>
  <c r="AN468" i="15"/>
  <c r="AN493" i="15"/>
  <c r="AN452" i="15"/>
  <c r="AN465" i="15" s="1"/>
  <c r="AN456" i="15"/>
  <c r="AO456" i="15" s="1"/>
  <c r="AN460" i="15"/>
  <c r="AO460" i="15" s="1"/>
  <c r="AF465" i="15"/>
  <c r="Z492" i="15"/>
  <c r="Z496" i="15"/>
  <c r="F286" i="6" l="1"/>
  <c r="E286" i="6" s="1"/>
  <c r="E265" i="6"/>
  <c r="F350" i="6"/>
  <c r="L74" i="6"/>
  <c r="P24" i="6"/>
  <c r="P36" i="6"/>
  <c r="P37" i="6"/>
  <c r="P32" i="6"/>
  <c r="P33" i="6"/>
  <c r="N121" i="6"/>
  <c r="AN465" i="6"/>
  <c r="E359" i="6"/>
  <c r="F361" i="6"/>
  <c r="M423" i="6"/>
  <c r="M422" i="6"/>
  <c r="M299" i="6"/>
  <c r="F209" i="6"/>
  <c r="I178" i="6"/>
  <c r="N177" i="6"/>
  <c r="I184" i="6"/>
  <c r="F71" i="6"/>
  <c r="I71" i="6"/>
  <c r="AK416" i="6"/>
  <c r="AO416" i="6"/>
  <c r="AC440" i="6"/>
  <c r="AC444" i="6"/>
  <c r="AL446" i="6"/>
  <c r="AF470" i="6"/>
  <c r="AC475" i="6"/>
  <c r="AF471" i="6"/>
  <c r="AF475" i="6"/>
  <c r="AC447" i="6"/>
  <c r="Z471" i="6"/>
  <c r="Z475" i="6"/>
  <c r="Z479" i="6"/>
  <c r="F134" i="6"/>
  <c r="E134" i="6" s="1"/>
  <c r="Q154" i="6"/>
  <c r="P121" i="6"/>
  <c r="L107" i="6"/>
  <c r="N96" i="6"/>
  <c r="N97" i="6" s="1"/>
  <c r="E94" i="6"/>
  <c r="E13" i="6"/>
  <c r="K154" i="6"/>
  <c r="S63" i="6"/>
  <c r="S17" i="6"/>
  <c r="S7" i="6"/>
  <c r="O308" i="6"/>
  <c r="R303" i="6"/>
  <c r="P303" i="6"/>
  <c r="N209" i="6"/>
  <c r="S209" i="6"/>
  <c r="L230" i="6"/>
  <c r="M184" i="6"/>
  <c r="K193" i="6"/>
  <c r="L396" i="6"/>
  <c r="S81" i="6"/>
  <c r="N81" i="6"/>
  <c r="Q27" i="6"/>
  <c r="AK408" i="6"/>
  <c r="AN441" i="6"/>
  <c r="AO441" i="6" s="1"/>
  <c r="AH413" i="6"/>
  <c r="AI490" i="6"/>
  <c r="AH490" i="6"/>
  <c r="AH458" i="6"/>
  <c r="AI458" i="6" s="1"/>
  <c r="AO452" i="6"/>
  <c r="H296" i="6"/>
  <c r="M296" i="6"/>
  <c r="N348" i="6"/>
  <c r="P361" i="6"/>
  <c r="R361" i="6"/>
  <c r="E298" i="6"/>
  <c r="D303" i="6"/>
  <c r="E294" i="6"/>
  <c r="M414" i="6"/>
  <c r="K185" i="6"/>
  <c r="Q193" i="6"/>
  <c r="Q185" i="6"/>
  <c r="H193" i="6"/>
  <c r="N174" i="6"/>
  <c r="Q350" i="6"/>
  <c r="I241" i="6"/>
  <c r="N240" i="6"/>
  <c r="N241" i="6" s="1"/>
  <c r="N157" i="6"/>
  <c r="N162" i="6" s="1"/>
  <c r="N429" i="6"/>
  <c r="N420" i="6"/>
  <c r="N412" i="6"/>
  <c r="N436" i="6"/>
  <c r="S71" i="6"/>
  <c r="N71" i="6"/>
  <c r="S79" i="6"/>
  <c r="N79" i="6"/>
  <c r="S65" i="6"/>
  <c r="N65" i="6"/>
  <c r="F23" i="6"/>
  <c r="F24" i="6" s="1"/>
  <c r="F27" i="6" s="1"/>
  <c r="I23" i="6"/>
  <c r="I24" i="6" s="1"/>
  <c r="N54" i="6"/>
  <c r="I13" i="6"/>
  <c r="H6" i="6"/>
  <c r="AF412" i="6"/>
  <c r="AF426" i="6"/>
  <c r="AC434" i="6"/>
  <c r="AC445" i="6"/>
  <c r="AF409" i="6"/>
  <c r="Z412" i="6"/>
  <c r="Y412" i="6" s="1"/>
  <c r="AF420" i="6"/>
  <c r="Z428" i="6"/>
  <c r="AL434" i="6"/>
  <c r="AC442" i="6"/>
  <c r="AF410" i="6"/>
  <c r="Z414" i="6"/>
  <c r="Y414" i="6" s="1"/>
  <c r="AF423" i="6"/>
  <c r="AL431" i="6"/>
  <c r="AC409" i="6"/>
  <c r="AL413" i="6"/>
  <c r="AL427" i="6"/>
  <c r="AF436" i="6"/>
  <c r="AL409" i="6"/>
  <c r="AL422" i="6"/>
  <c r="Z435" i="6"/>
  <c r="Z439" i="6"/>
  <c r="AL443" i="6"/>
  <c r="AL449" i="6"/>
  <c r="AO449" i="6" s="1"/>
  <c r="AF422" i="6"/>
  <c r="AL426" i="6"/>
  <c r="AO426" i="6" s="1"/>
  <c r="AL430" i="6"/>
  <c r="AC437" i="6"/>
  <c r="Z447" i="6"/>
  <c r="AC473" i="6"/>
  <c r="Z470" i="6"/>
  <c r="AF431" i="6"/>
  <c r="Z436" i="6"/>
  <c r="AL440" i="6"/>
  <c r="AL444" i="6"/>
  <c r="AF448" i="6"/>
  <c r="AC471" i="6"/>
  <c r="AL477" i="6"/>
  <c r="AO477" i="6" s="1"/>
  <c r="AL463" i="6"/>
  <c r="AC472" i="6"/>
  <c r="AH472" i="6" s="1"/>
  <c r="AI472" i="6" s="1"/>
  <c r="AL494" i="6"/>
  <c r="AO494" i="6" s="1"/>
  <c r="AF469" i="6"/>
  <c r="AF473" i="6"/>
  <c r="AF477" i="6"/>
  <c r="AF494" i="6"/>
  <c r="I134" i="6"/>
  <c r="N122" i="6"/>
  <c r="G104" i="6"/>
  <c r="H104" i="6" s="1"/>
  <c r="H96" i="6"/>
  <c r="H116" i="6"/>
  <c r="G107" i="6"/>
  <c r="N17" i="6"/>
  <c r="K8" i="6"/>
  <c r="M8" i="6"/>
  <c r="R8" i="6"/>
  <c r="K6" i="6"/>
  <c r="M6" i="6"/>
  <c r="R6" i="6"/>
  <c r="J13" i="6"/>
  <c r="AE413" i="6" s="1"/>
  <c r="N75" i="6"/>
  <c r="P6" i="6"/>
  <c r="AI452" i="6"/>
  <c r="I348" i="6"/>
  <c r="H348" i="6" s="1"/>
  <c r="M295" i="6"/>
  <c r="S70" i="6"/>
  <c r="AB411" i="6"/>
  <c r="AC427" i="6"/>
  <c r="AI413" i="6"/>
  <c r="AB413" i="6"/>
  <c r="AF463" i="6"/>
  <c r="AC433" i="6"/>
  <c r="AH454" i="6"/>
  <c r="G303" i="6"/>
  <c r="H294" i="6"/>
  <c r="M294" i="6"/>
  <c r="H265" i="6"/>
  <c r="M298" i="6"/>
  <c r="H298" i="6"/>
  <c r="N394" i="6"/>
  <c r="F303" i="6"/>
  <c r="F308" i="6" s="1"/>
  <c r="F313" i="6" s="1"/>
  <c r="F352" i="6" s="1"/>
  <c r="F288" i="6"/>
  <c r="F250" i="6"/>
  <c r="K284" i="6"/>
  <c r="L286" i="6"/>
  <c r="N265" i="6"/>
  <c r="S265" i="6"/>
  <c r="S228" i="6"/>
  <c r="F181" i="6"/>
  <c r="F241" i="6"/>
  <c r="N135" i="6"/>
  <c r="L350" i="6"/>
  <c r="S329" i="6"/>
  <c r="N284" i="6"/>
  <c r="L250" i="6"/>
  <c r="I228" i="6"/>
  <c r="I230" i="6" s="1"/>
  <c r="N211" i="6"/>
  <c r="G111" i="6"/>
  <c r="I107" i="6"/>
  <c r="H121" i="6" s="1"/>
  <c r="M435" i="6"/>
  <c r="M439" i="6" s="1"/>
  <c r="N405" i="6" s="1"/>
  <c r="P107" i="6"/>
  <c r="N435" i="6"/>
  <c r="N411" i="6"/>
  <c r="N428" i="6"/>
  <c r="N409" i="6"/>
  <c r="N419" i="6"/>
  <c r="N113" i="6"/>
  <c r="H113" i="6"/>
  <c r="E111" i="6"/>
  <c r="F121" i="6"/>
  <c r="I104" i="6"/>
  <c r="S77" i="6"/>
  <c r="N77" i="6"/>
  <c r="S59" i="6"/>
  <c r="N59" i="6"/>
  <c r="S6" i="6"/>
  <c r="S13" i="6" s="1"/>
  <c r="S14" i="6" s="1"/>
  <c r="P35" i="6"/>
  <c r="S23" i="6"/>
  <c r="N23" i="6"/>
  <c r="AL412" i="6"/>
  <c r="AL417" i="6"/>
  <c r="AC429" i="6"/>
  <c r="AL448" i="6"/>
  <c r="AO448" i="6" s="1"/>
  <c r="AC410" i="6"/>
  <c r="AF414" i="6"/>
  <c r="AC423" i="6"/>
  <c r="AF429" i="6"/>
  <c r="AF437" i="6"/>
  <c r="AF445" i="6"/>
  <c r="AL410" i="6"/>
  <c r="AF415" i="6"/>
  <c r="AC436" i="6"/>
  <c r="Z410" i="6"/>
  <c r="Y410" i="6" s="1"/>
  <c r="AC414" i="6"/>
  <c r="AL423" i="6"/>
  <c r="AC430" i="6"/>
  <c r="AF476" i="6"/>
  <c r="AL414" i="6"/>
  <c r="AC421" i="6"/>
  <c r="AH421" i="6" s="1"/>
  <c r="AF424" i="6"/>
  <c r="AC428" i="6"/>
  <c r="AL439" i="6"/>
  <c r="AO439" i="6" s="1"/>
  <c r="AF444" i="6"/>
  <c r="Z423" i="6"/>
  <c r="Z427" i="6"/>
  <c r="AF433" i="6"/>
  <c r="AC438" i="6"/>
  <c r="AL475" i="6"/>
  <c r="AO475" i="6" s="1"/>
  <c r="Z474" i="6"/>
  <c r="AF434" i="6"/>
  <c r="Z438" i="6"/>
  <c r="Z441" i="6"/>
  <c r="Z445" i="6"/>
  <c r="AF449" i="6"/>
  <c r="AL473" i="6"/>
  <c r="AO473" i="6" s="1"/>
  <c r="AF478" i="6"/>
  <c r="AL479" i="6"/>
  <c r="AF464" i="6"/>
  <c r="AL472" i="6"/>
  <c r="AO472" i="6" s="1"/>
  <c r="AL476" i="6"/>
  <c r="AO476" i="6" s="1"/>
  <c r="Z494" i="6"/>
  <c r="Z495" i="6"/>
  <c r="AF450" i="6"/>
  <c r="AC470" i="6"/>
  <c r="AC474" i="6"/>
  <c r="K17" i="6"/>
  <c r="M17" i="6"/>
  <c r="R17" i="6"/>
  <c r="N7" i="6"/>
  <c r="N13" i="6" s="1"/>
  <c r="P34" i="6"/>
  <c r="P54" i="6"/>
  <c r="P22" i="6"/>
  <c r="P13" i="6"/>
  <c r="P21" i="6"/>
  <c r="O27" i="6"/>
  <c r="P27" i="6" s="1"/>
  <c r="P23" i="6"/>
  <c r="S121" i="6"/>
  <c r="Q72" i="6"/>
  <c r="P72" i="6" s="1"/>
  <c r="L24" i="6"/>
  <c r="AH456" i="6"/>
  <c r="AI456" i="6" s="1"/>
  <c r="M306" i="6"/>
  <c r="H306" i="6"/>
  <c r="H152" i="6"/>
  <c r="F396" i="6"/>
  <c r="E396" i="6" s="1"/>
  <c r="E376" i="6"/>
  <c r="S67" i="6"/>
  <c r="S72" i="6" s="1"/>
  <c r="N67" i="6"/>
  <c r="F31" i="6"/>
  <c r="I31" i="6"/>
  <c r="AK411" i="6"/>
  <c r="AF417" i="6"/>
  <c r="Z422" i="6"/>
  <c r="AF416" i="6"/>
  <c r="AH455" i="6"/>
  <c r="H300" i="6"/>
  <c r="M300" i="6"/>
  <c r="I394" i="6"/>
  <c r="H394" i="6" s="1"/>
  <c r="Q396" i="6"/>
  <c r="I329" i="6"/>
  <c r="N329" i="6" s="1"/>
  <c r="M307" i="6"/>
  <c r="K303" i="6"/>
  <c r="J308" i="6"/>
  <c r="M303" i="6"/>
  <c r="I284" i="6"/>
  <c r="H284" i="6" s="1"/>
  <c r="Q308" i="6"/>
  <c r="L288" i="6"/>
  <c r="S249" i="6"/>
  <c r="S394" i="6"/>
  <c r="I376" i="6"/>
  <c r="G361" i="6"/>
  <c r="M359" i="6"/>
  <c r="L308" i="6"/>
  <c r="S303" i="6"/>
  <c r="S304" i="6" s="1"/>
  <c r="N303" i="6"/>
  <c r="N304" i="6" s="1"/>
  <c r="H359" i="6"/>
  <c r="I361" i="6"/>
  <c r="N184" i="6"/>
  <c r="N185" i="6" s="1"/>
  <c r="L193" i="6"/>
  <c r="K228" i="6" s="1"/>
  <c r="L185" i="6"/>
  <c r="S184" i="6"/>
  <c r="N410" i="6"/>
  <c r="R184" i="6"/>
  <c r="P185" i="6"/>
  <c r="N430" i="6"/>
  <c r="N413" i="6"/>
  <c r="N437" i="6"/>
  <c r="N421" i="6"/>
  <c r="I249" i="6"/>
  <c r="N249" i="6" s="1"/>
  <c r="N250" i="6" s="1"/>
  <c r="N180" i="6"/>
  <c r="F175" i="6"/>
  <c r="F184" i="6"/>
  <c r="N101" i="6"/>
  <c r="L158" i="6"/>
  <c r="P120" i="6"/>
  <c r="K118" i="6"/>
  <c r="K117" i="6"/>
  <c r="P116" i="6"/>
  <c r="K103" i="6"/>
  <c r="R103" i="6" s="1"/>
  <c r="K101" i="6"/>
  <c r="R101" i="6" s="1"/>
  <c r="M96" i="6"/>
  <c r="M97" i="6" s="1"/>
  <c r="K119" i="6"/>
  <c r="K114" i="6"/>
  <c r="P112" i="6"/>
  <c r="P111" i="6"/>
  <c r="J104" i="6"/>
  <c r="K96" i="6"/>
  <c r="K120" i="6"/>
  <c r="P118" i="6"/>
  <c r="P115" i="6"/>
  <c r="K113" i="6"/>
  <c r="J107" i="6"/>
  <c r="P119" i="6"/>
  <c r="K116" i="6"/>
  <c r="P114" i="6"/>
  <c r="P113" i="6"/>
  <c r="K111" i="6"/>
  <c r="K102" i="6"/>
  <c r="R102" i="6" s="1"/>
  <c r="P117" i="6"/>
  <c r="K115" i="6"/>
  <c r="K112" i="6"/>
  <c r="I70" i="6"/>
  <c r="F70" i="6"/>
  <c r="Z426" i="6" s="1"/>
  <c r="N34" i="6"/>
  <c r="S34" i="6"/>
  <c r="Q41" i="6"/>
  <c r="P31" i="6"/>
  <c r="Z413" i="6"/>
  <c r="Y413" i="6" s="1"/>
  <c r="AC420" i="6"/>
  <c r="AF430" i="6"/>
  <c r="AC441" i="6"/>
  <c r="AH441" i="6" s="1"/>
  <c r="AF408" i="6"/>
  <c r="AF411" i="6"/>
  <c r="AL424" i="6"/>
  <c r="AO424" i="6" s="1"/>
  <c r="AF438" i="6"/>
  <c r="Z411" i="6"/>
  <c r="Y411" i="6" s="1"/>
  <c r="AL420" i="6"/>
  <c r="AF427" i="6"/>
  <c r="AF442" i="6"/>
  <c r="AC412" i="6"/>
  <c r="Z433" i="6"/>
  <c r="AL450" i="6"/>
  <c r="AO450" i="6" s="1"/>
  <c r="AL415" i="6"/>
  <c r="AL421" i="6"/>
  <c r="AN421" i="6" s="1"/>
  <c r="AL428" i="6"/>
  <c r="AL437" i="6"/>
  <c r="AF440" i="6"/>
  <c r="AC446" i="6"/>
  <c r="Z420" i="6"/>
  <c r="AF425" i="6"/>
  <c r="AF428" i="6"/>
  <c r="AF435" i="6"/>
  <c r="AC439" i="6"/>
  <c r="AI439" i="6" s="1"/>
  <c r="AC443" i="6"/>
  <c r="AC469" i="6"/>
  <c r="AL462" i="6"/>
  <c r="AL465" i="6" s="1"/>
  <c r="AO465" i="6" s="1"/>
  <c r="Z478" i="6"/>
  <c r="AC435" i="6"/>
  <c r="AF439" i="6"/>
  <c r="AF443" i="6"/>
  <c r="AL469" i="6"/>
  <c r="AF474" i="6"/>
  <c r="AC479" i="6"/>
  <c r="Z472" i="6"/>
  <c r="Z462" i="6"/>
  <c r="Z469" i="6"/>
  <c r="Z473" i="6"/>
  <c r="AF496" i="6"/>
  <c r="AF446" i="6"/>
  <c r="AF462" i="6"/>
  <c r="AL470" i="6"/>
  <c r="AL478" i="6"/>
  <c r="AO478" i="6" s="1"/>
  <c r="AL495" i="6"/>
  <c r="AO495" i="6" s="1"/>
  <c r="H99" i="6"/>
  <c r="K7" i="6"/>
  <c r="M7" i="6"/>
  <c r="R7" i="6"/>
  <c r="N117" i="6"/>
  <c r="S35" i="6"/>
  <c r="H118" i="6"/>
  <c r="AN440" i="5"/>
  <c r="E376" i="5"/>
  <c r="AN442" i="5"/>
  <c r="AO442" i="5" s="1"/>
  <c r="AN433" i="5"/>
  <c r="AN445" i="5"/>
  <c r="AN444" i="5"/>
  <c r="AO444" i="5" s="1"/>
  <c r="AO440" i="5"/>
  <c r="AN478" i="5"/>
  <c r="AO445" i="5"/>
  <c r="I59" i="5"/>
  <c r="AC437" i="5" s="1"/>
  <c r="F59" i="5"/>
  <c r="Z437" i="5" s="1"/>
  <c r="S78" i="5"/>
  <c r="F46" i="5"/>
  <c r="I46" i="5"/>
  <c r="AO433" i="5"/>
  <c r="Z411" i="5"/>
  <c r="AL425" i="5"/>
  <c r="AO425" i="5" s="1"/>
  <c r="AF408" i="5"/>
  <c r="AF429" i="5"/>
  <c r="Z409" i="5"/>
  <c r="AC412" i="5"/>
  <c r="AL417" i="5"/>
  <c r="AL450" i="5"/>
  <c r="AO450" i="5" s="1"/>
  <c r="AL414" i="5"/>
  <c r="AL420" i="5"/>
  <c r="Z439" i="5"/>
  <c r="AF421" i="5"/>
  <c r="AL443" i="5"/>
  <c r="AF449" i="5"/>
  <c r="AL431" i="5"/>
  <c r="AF446" i="5"/>
  <c r="AF472" i="5"/>
  <c r="AC473" i="5"/>
  <c r="AF448" i="5"/>
  <c r="AF469" i="5"/>
  <c r="AF473" i="5"/>
  <c r="AF477" i="5"/>
  <c r="AF470" i="5"/>
  <c r="AF474" i="5"/>
  <c r="I64" i="5"/>
  <c r="AC443" i="5" s="1"/>
  <c r="F64" i="5"/>
  <c r="Z443" i="5" s="1"/>
  <c r="S62" i="5"/>
  <c r="I56" i="5"/>
  <c r="AC434" i="5" s="1"/>
  <c r="F56" i="5"/>
  <c r="Z434" i="5" s="1"/>
  <c r="S17" i="5"/>
  <c r="H112" i="5"/>
  <c r="G104" i="5"/>
  <c r="H104" i="5" s="1"/>
  <c r="G107" i="5"/>
  <c r="H107" i="5" s="1"/>
  <c r="H96" i="5"/>
  <c r="N12" i="5"/>
  <c r="S12" i="5"/>
  <c r="L13" i="5"/>
  <c r="S6" i="5"/>
  <c r="P107" i="5"/>
  <c r="I79" i="5"/>
  <c r="F79" i="5"/>
  <c r="S77" i="5"/>
  <c r="S53" i="5"/>
  <c r="I47" i="5"/>
  <c r="F47" i="5"/>
  <c r="S45" i="5"/>
  <c r="Q41" i="5"/>
  <c r="R17" i="5"/>
  <c r="E113" i="5"/>
  <c r="K6" i="5"/>
  <c r="H294" i="5"/>
  <c r="G303" i="5"/>
  <c r="F265" i="5"/>
  <c r="N437" i="5"/>
  <c r="N413" i="5"/>
  <c r="N430" i="5"/>
  <c r="N421" i="5"/>
  <c r="S65" i="5"/>
  <c r="S57" i="5"/>
  <c r="I162" i="5"/>
  <c r="F80" i="5"/>
  <c r="I80" i="5"/>
  <c r="M403" i="5"/>
  <c r="M437" i="5" s="1"/>
  <c r="S52" i="5"/>
  <c r="S44" i="5"/>
  <c r="AF412" i="5"/>
  <c r="AL413" i="5"/>
  <c r="AC465" i="5"/>
  <c r="AH452" i="5"/>
  <c r="AI495" i="5"/>
  <c r="AH495" i="5"/>
  <c r="H361" i="5"/>
  <c r="M361" i="5"/>
  <c r="I376" i="5"/>
  <c r="F329" i="5"/>
  <c r="F244" i="5"/>
  <c r="F249" i="5"/>
  <c r="I394" i="5"/>
  <c r="H394" i="5" s="1"/>
  <c r="Q396" i="5"/>
  <c r="M297" i="5"/>
  <c r="N284" i="5"/>
  <c r="N303" i="5"/>
  <c r="N304" i="5" s="1"/>
  <c r="L308" i="5"/>
  <c r="S303" i="5"/>
  <c r="S304" i="5" s="1"/>
  <c r="I265" i="5"/>
  <c r="N253" i="5"/>
  <c r="M294" i="5"/>
  <c r="I188" i="5"/>
  <c r="Q193" i="5"/>
  <c r="Q185" i="5"/>
  <c r="I209" i="5"/>
  <c r="M184" i="5"/>
  <c r="K193" i="5"/>
  <c r="I178" i="5"/>
  <c r="U177" i="5" s="1"/>
  <c r="V177" i="5" s="1"/>
  <c r="F162" i="5"/>
  <c r="M410" i="5"/>
  <c r="M409" i="5"/>
  <c r="E120" i="5"/>
  <c r="S67" i="5"/>
  <c r="I61" i="5"/>
  <c r="AC440" i="5" s="1"/>
  <c r="AH440" i="5" s="1"/>
  <c r="F61" i="5"/>
  <c r="Z440" i="5" s="1"/>
  <c r="N59" i="5"/>
  <c r="S59" i="5"/>
  <c r="Q72" i="5"/>
  <c r="P121" i="5"/>
  <c r="Q154" i="5"/>
  <c r="P154" i="5" s="1"/>
  <c r="F82" i="5"/>
  <c r="Z479" i="5" s="1"/>
  <c r="I82" i="5"/>
  <c r="AC479" i="5" s="1"/>
  <c r="N80" i="5"/>
  <c r="S80" i="5"/>
  <c r="F48" i="5"/>
  <c r="I48" i="5"/>
  <c r="S46" i="5"/>
  <c r="N46" i="5"/>
  <c r="Q54" i="5"/>
  <c r="F22" i="5"/>
  <c r="I22" i="5"/>
  <c r="I24" i="5" s="1"/>
  <c r="G32" i="5" s="1"/>
  <c r="D22" i="5"/>
  <c r="E22" i="5" s="1"/>
  <c r="G22" i="5"/>
  <c r="H22" i="5" s="1"/>
  <c r="K8" i="5"/>
  <c r="R8" i="5"/>
  <c r="Z410" i="5"/>
  <c r="AF435" i="5"/>
  <c r="AL448" i="5"/>
  <c r="AO448" i="5" s="1"/>
  <c r="Z413" i="5"/>
  <c r="AF411" i="5"/>
  <c r="AL410" i="5"/>
  <c r="AF409" i="5"/>
  <c r="AC413" i="5"/>
  <c r="AF415" i="5"/>
  <c r="AL427" i="5"/>
  <c r="AF416" i="5"/>
  <c r="AF431" i="5"/>
  <c r="AF423" i="5"/>
  <c r="AF427" i="5"/>
  <c r="AF422" i="5"/>
  <c r="AL426" i="5"/>
  <c r="AO426" i="5" s="1"/>
  <c r="AF437" i="5"/>
  <c r="Z473" i="5"/>
  <c r="AF471" i="5"/>
  <c r="AC470" i="5"/>
  <c r="AC474" i="5"/>
  <c r="AC475" i="5"/>
  <c r="I66" i="5"/>
  <c r="AC445" i="5" s="1"/>
  <c r="F66" i="5"/>
  <c r="Z445" i="5" s="1"/>
  <c r="S64" i="5"/>
  <c r="N64" i="5"/>
  <c r="I58" i="5"/>
  <c r="AC436" i="5" s="1"/>
  <c r="F58" i="5"/>
  <c r="Z436" i="5" s="1"/>
  <c r="S56" i="5"/>
  <c r="N56" i="5"/>
  <c r="S8" i="5"/>
  <c r="N8" i="5"/>
  <c r="N10" i="5"/>
  <c r="S10" i="5"/>
  <c r="H7" i="5"/>
  <c r="M7" i="5"/>
  <c r="H114" i="5"/>
  <c r="I81" i="5"/>
  <c r="F81" i="5"/>
  <c r="S79" i="5"/>
  <c r="N79" i="5"/>
  <c r="I49" i="5"/>
  <c r="AC427" i="5" s="1"/>
  <c r="F49" i="5"/>
  <c r="Z427" i="5" s="1"/>
  <c r="N47" i="5"/>
  <c r="S47" i="5"/>
  <c r="R12" i="5"/>
  <c r="L350" i="5"/>
  <c r="S329" i="5"/>
  <c r="N329" i="5"/>
  <c r="Q286" i="5"/>
  <c r="P286" i="5" s="1"/>
  <c r="H193" i="5"/>
  <c r="N152" i="5"/>
  <c r="S152" i="5"/>
  <c r="I228" i="5"/>
  <c r="P230" i="5"/>
  <c r="F134" i="5"/>
  <c r="E134" i="5" s="1"/>
  <c r="AH491" i="5"/>
  <c r="AI491" i="5" s="1"/>
  <c r="Z465" i="5"/>
  <c r="P361" i="5"/>
  <c r="R361" i="5"/>
  <c r="N348" i="5"/>
  <c r="M422" i="5"/>
  <c r="M423" i="5"/>
  <c r="H359" i="5"/>
  <c r="I361" i="5"/>
  <c r="O308" i="5"/>
  <c r="R303" i="5"/>
  <c r="P303" i="5"/>
  <c r="D303" i="5"/>
  <c r="R249" i="5"/>
  <c r="H329" i="5"/>
  <c r="P228" i="5"/>
  <c r="N429" i="5"/>
  <c r="N420" i="5"/>
  <c r="N436" i="5"/>
  <c r="N412" i="5"/>
  <c r="F178" i="5"/>
  <c r="F184" i="5"/>
  <c r="N131" i="5"/>
  <c r="E111" i="5"/>
  <c r="E114" i="5"/>
  <c r="D104" i="5"/>
  <c r="E104" i="5" s="1"/>
  <c r="D107" i="5"/>
  <c r="E107" i="5" s="1"/>
  <c r="E96" i="5"/>
  <c r="N61" i="5"/>
  <c r="S61" i="5"/>
  <c r="I55" i="5"/>
  <c r="F55" i="5"/>
  <c r="I121" i="5"/>
  <c r="H111" i="5"/>
  <c r="G111" i="5"/>
  <c r="K118" i="5"/>
  <c r="L158" i="5"/>
  <c r="K120" i="5"/>
  <c r="P118" i="5"/>
  <c r="K116" i="5"/>
  <c r="P115" i="5"/>
  <c r="P114" i="5"/>
  <c r="P111" i="5"/>
  <c r="K119" i="5"/>
  <c r="K117" i="5"/>
  <c r="P116" i="5"/>
  <c r="P117" i="5"/>
  <c r="K114" i="5"/>
  <c r="P112" i="5"/>
  <c r="K111" i="5"/>
  <c r="K101" i="5"/>
  <c r="R101" i="5" s="1"/>
  <c r="P120" i="5"/>
  <c r="K115" i="5"/>
  <c r="P113" i="5"/>
  <c r="K103" i="5"/>
  <c r="R103" i="5" s="1"/>
  <c r="K102" i="5"/>
  <c r="R102" i="5" s="1"/>
  <c r="M96" i="5"/>
  <c r="M97" i="5" s="1"/>
  <c r="K112" i="5"/>
  <c r="J104" i="5"/>
  <c r="P119" i="5"/>
  <c r="K113" i="5"/>
  <c r="J107" i="5"/>
  <c r="K96" i="5"/>
  <c r="F76" i="5"/>
  <c r="Z471" i="5" s="1"/>
  <c r="I76" i="5"/>
  <c r="F50" i="5"/>
  <c r="Z428" i="5" s="1"/>
  <c r="I50" i="5"/>
  <c r="S48" i="5"/>
  <c r="N48" i="5"/>
  <c r="F42" i="5"/>
  <c r="I42" i="5"/>
  <c r="F19" i="5"/>
  <c r="I19" i="5"/>
  <c r="N19" i="5" s="1"/>
  <c r="D19" i="5"/>
  <c r="E19" i="5" s="1"/>
  <c r="G19" i="5"/>
  <c r="H19" i="5" s="1"/>
  <c r="G8" i="5"/>
  <c r="H8" i="5" s="1"/>
  <c r="F8" i="5"/>
  <c r="D8" i="5"/>
  <c r="E8" i="5" s="1"/>
  <c r="I8" i="5"/>
  <c r="Z412" i="5"/>
  <c r="AF413" i="5"/>
  <c r="AL411" i="5"/>
  <c r="AF420" i="5"/>
  <c r="AC410" i="5"/>
  <c r="Z414" i="5"/>
  <c r="AL415" i="5"/>
  <c r="AL423" i="5"/>
  <c r="AL429" i="5"/>
  <c r="AF434" i="5"/>
  <c r="AC408" i="5"/>
  <c r="AL416" i="5"/>
  <c r="AL421" i="5"/>
  <c r="AF428" i="5"/>
  <c r="AF441" i="5"/>
  <c r="AL436" i="5"/>
  <c r="AL441" i="5"/>
  <c r="AL473" i="5"/>
  <c r="AO473" i="5" s="1"/>
  <c r="AC439" i="5"/>
  <c r="AI439" i="5" s="1"/>
  <c r="AF443" i="5"/>
  <c r="AF450" i="5"/>
  <c r="AF476" i="5"/>
  <c r="Z470" i="5"/>
  <c r="AL476" i="5"/>
  <c r="AO476" i="5" s="1"/>
  <c r="AF475" i="5"/>
  <c r="AL449" i="5"/>
  <c r="AO449" i="5" s="1"/>
  <c r="AL470" i="5"/>
  <c r="AL474" i="5"/>
  <c r="AO474" i="5" s="1"/>
  <c r="AL471" i="5"/>
  <c r="AO471" i="5" s="1"/>
  <c r="AL475" i="5"/>
  <c r="AO475" i="5" s="1"/>
  <c r="S66" i="5"/>
  <c r="N66" i="5"/>
  <c r="I60" i="5"/>
  <c r="AC438" i="5" s="1"/>
  <c r="F60" i="5"/>
  <c r="Z438" i="5" s="1"/>
  <c r="S58" i="5"/>
  <c r="N58" i="5"/>
  <c r="S22" i="5"/>
  <c r="N22" i="5"/>
  <c r="S134" i="5"/>
  <c r="E118" i="5"/>
  <c r="G31" i="5"/>
  <c r="I41" i="5"/>
  <c r="Q13" i="5"/>
  <c r="E117" i="5"/>
  <c r="N94" i="5"/>
  <c r="S81" i="5"/>
  <c r="N81" i="5"/>
  <c r="I51" i="5"/>
  <c r="F51" i="5"/>
  <c r="Z429" i="5" s="1"/>
  <c r="N49" i="5"/>
  <c r="S49" i="5"/>
  <c r="I43" i="5"/>
  <c r="AC421" i="5" s="1"/>
  <c r="F43" i="5"/>
  <c r="Z421" i="5" s="1"/>
  <c r="K17" i="5"/>
  <c r="J13" i="5"/>
  <c r="N31" i="5"/>
  <c r="L74" i="5"/>
  <c r="S41" i="5"/>
  <c r="F394" i="5"/>
  <c r="E394" i="5" s="1"/>
  <c r="S286" i="5"/>
  <c r="L288" i="5"/>
  <c r="I250" i="5"/>
  <c r="M249" i="5" s="1"/>
  <c r="N184" i="5"/>
  <c r="N185" i="5" s="1"/>
  <c r="L193" i="5"/>
  <c r="L185" i="5"/>
  <c r="S184" i="5"/>
  <c r="S185" i="5" s="1"/>
  <c r="I67" i="5"/>
  <c r="AC446" i="5" s="1"/>
  <c r="F67" i="5"/>
  <c r="Z446" i="5" s="1"/>
  <c r="AI454" i="5"/>
  <c r="AH453" i="5"/>
  <c r="AI453" i="5" s="1"/>
  <c r="AO452" i="5"/>
  <c r="N394" i="5"/>
  <c r="N249" i="5"/>
  <c r="N250" i="5" s="1"/>
  <c r="Q313" i="5"/>
  <c r="J308" i="5"/>
  <c r="M303" i="5"/>
  <c r="K303" i="5"/>
  <c r="M298" i="5"/>
  <c r="Q288" i="5"/>
  <c r="I63" i="5"/>
  <c r="AC442" i="5" s="1"/>
  <c r="AH442" i="5" s="1"/>
  <c r="F63" i="5"/>
  <c r="Z442" i="5" s="1"/>
  <c r="AH458" i="5"/>
  <c r="AI458" i="5" s="1"/>
  <c r="AO465" i="5"/>
  <c r="E359" i="5"/>
  <c r="F361" i="5"/>
  <c r="I348" i="5"/>
  <c r="H348" i="5" s="1"/>
  <c r="F303" i="5"/>
  <c r="F308" i="5" s="1"/>
  <c r="F313" i="5" s="1"/>
  <c r="S249" i="5"/>
  <c r="N296" i="5"/>
  <c r="P284" i="5"/>
  <c r="F228" i="5"/>
  <c r="F230" i="5" s="1"/>
  <c r="L396" i="5"/>
  <c r="N406" i="5"/>
  <c r="F188" i="5"/>
  <c r="N135" i="5"/>
  <c r="K228" i="5"/>
  <c r="N228" i="5"/>
  <c r="S228" i="5"/>
  <c r="I185" i="5"/>
  <c r="I193" i="5"/>
  <c r="F152" i="5"/>
  <c r="E152" i="5" s="1"/>
  <c r="I134" i="5"/>
  <c r="H134" i="5" s="1"/>
  <c r="N122" i="5"/>
  <c r="I65" i="5"/>
  <c r="AC444" i="5" s="1"/>
  <c r="F65" i="5"/>
  <c r="Z444" i="5" s="1"/>
  <c r="N63" i="5"/>
  <c r="S63" i="5"/>
  <c r="I57" i="5"/>
  <c r="AC435" i="5" s="1"/>
  <c r="F57" i="5"/>
  <c r="Z435" i="5" s="1"/>
  <c r="N55" i="5"/>
  <c r="L72" i="5"/>
  <c r="S55" i="5"/>
  <c r="L230" i="5"/>
  <c r="L154" i="5"/>
  <c r="S121" i="5"/>
  <c r="N121" i="5"/>
  <c r="F154" i="5"/>
  <c r="E121" i="5"/>
  <c r="F78" i="5"/>
  <c r="Z469" i="5" s="1"/>
  <c r="I78" i="5"/>
  <c r="AC469" i="5" s="1"/>
  <c r="N76" i="5"/>
  <c r="S76" i="5"/>
  <c r="F52" i="5"/>
  <c r="Z430" i="5" s="1"/>
  <c r="I52" i="5"/>
  <c r="N52" i="5" s="1"/>
  <c r="M401" i="5"/>
  <c r="S50" i="5"/>
  <c r="N50" i="5"/>
  <c r="F44" i="5"/>
  <c r="Z422" i="5" s="1"/>
  <c r="I44" i="5"/>
  <c r="AC422" i="5" s="1"/>
  <c r="L54" i="5"/>
  <c r="S42" i="5"/>
  <c r="S54" i="5" s="1"/>
  <c r="N42" i="5"/>
  <c r="F17" i="5"/>
  <c r="I17" i="5"/>
  <c r="N17" i="5" s="1"/>
  <c r="D17" i="5"/>
  <c r="E17" i="5" s="1"/>
  <c r="G17" i="5"/>
  <c r="F6" i="5"/>
  <c r="F13" i="5" s="1"/>
  <c r="F27" i="5" s="1"/>
  <c r="I6" i="5"/>
  <c r="I13" i="5" s="1"/>
  <c r="D6" i="5"/>
  <c r="G6" i="5"/>
  <c r="AC414" i="5"/>
  <c r="AF410" i="5"/>
  <c r="AF426" i="5"/>
  <c r="AC409" i="5"/>
  <c r="Z408" i="5"/>
  <c r="AL412" i="5"/>
  <c r="AF439" i="5"/>
  <c r="AL408" i="5"/>
  <c r="AC411" i="5"/>
  <c r="AF414" i="5"/>
  <c r="AF417" i="5"/>
  <c r="AF424" i="5"/>
  <c r="AF430" i="5"/>
  <c r="AL409" i="5"/>
  <c r="Z426" i="5"/>
  <c r="AL424" i="5"/>
  <c r="AO424" i="5" s="1"/>
  <c r="AF436" i="5"/>
  <c r="AL438" i="5"/>
  <c r="Z448" i="5"/>
  <c r="AF425" i="5"/>
  <c r="AF438" i="5"/>
  <c r="AC447" i="5"/>
  <c r="AL434" i="5"/>
  <c r="AL439" i="5"/>
  <c r="AO439" i="5" s="1"/>
  <c r="I62" i="5"/>
  <c r="AC441" i="5" s="1"/>
  <c r="F62" i="5"/>
  <c r="Z441" i="5" s="1"/>
  <c r="S60" i="5"/>
  <c r="N60" i="5"/>
  <c r="F24" i="5"/>
  <c r="H118" i="5"/>
  <c r="E112" i="5"/>
  <c r="N96" i="5"/>
  <c r="N97" i="5" s="1"/>
  <c r="L107" i="5"/>
  <c r="H116" i="5"/>
  <c r="H94" i="5"/>
  <c r="I77" i="5"/>
  <c r="AC472" i="5" s="1"/>
  <c r="F77" i="5"/>
  <c r="Z472" i="5" s="1"/>
  <c r="I53" i="5"/>
  <c r="N53" i="5" s="1"/>
  <c r="F53" i="5"/>
  <c r="Z449" i="5" s="1"/>
  <c r="M402" i="5"/>
  <c r="M436" i="5" s="1"/>
  <c r="N51" i="5"/>
  <c r="S51" i="5"/>
  <c r="I45" i="5"/>
  <c r="AC423" i="5" s="1"/>
  <c r="F45" i="5"/>
  <c r="Z423" i="5" s="1"/>
  <c r="N43" i="5"/>
  <c r="S43" i="5"/>
  <c r="O13" i="5"/>
  <c r="P6" i="5"/>
  <c r="E115" i="5"/>
  <c r="M10" i="5"/>
  <c r="L24" i="5"/>
  <c r="R7" i="5"/>
  <c r="R6" i="5"/>
  <c r="R13" i="5" s="1"/>
  <c r="R14" i="5" s="1"/>
  <c r="N33" i="5"/>
  <c r="I405" i="5"/>
  <c r="E41" i="5"/>
  <c r="I193" i="15"/>
  <c r="N184" i="15"/>
  <c r="N185" i="15" s="1"/>
  <c r="Q27" i="15"/>
  <c r="H329" i="15"/>
  <c r="E376" i="15"/>
  <c r="F350" i="15"/>
  <c r="E350" i="15" s="1"/>
  <c r="AN446" i="15"/>
  <c r="P54" i="15"/>
  <c r="AO446" i="15"/>
  <c r="S348" i="15"/>
  <c r="E184" i="15"/>
  <c r="E193" i="15" s="1"/>
  <c r="E173" i="15"/>
  <c r="AO465" i="15"/>
  <c r="E359" i="15"/>
  <c r="F361" i="15"/>
  <c r="F394" i="15"/>
  <c r="E394" i="15" s="1"/>
  <c r="M361" i="15"/>
  <c r="H361" i="15"/>
  <c r="S376" i="15"/>
  <c r="K376" i="15"/>
  <c r="L396" i="15"/>
  <c r="F244" i="15"/>
  <c r="F249" i="15"/>
  <c r="F303" i="15"/>
  <c r="F308" i="15" s="1"/>
  <c r="F313" i="15" s="1"/>
  <c r="E329" i="15" s="1"/>
  <c r="D303" i="15"/>
  <c r="P185" i="15"/>
  <c r="R184" i="15"/>
  <c r="S185" i="15" s="1"/>
  <c r="S152" i="15"/>
  <c r="K152" i="15"/>
  <c r="N117" i="15"/>
  <c r="M298" i="15"/>
  <c r="R107" i="15"/>
  <c r="K107" i="15"/>
  <c r="E111" i="15"/>
  <c r="F121" i="15"/>
  <c r="I79" i="15"/>
  <c r="F79" i="15"/>
  <c r="S71" i="15"/>
  <c r="S77" i="15"/>
  <c r="M418" i="15"/>
  <c r="M414" i="15"/>
  <c r="I162" i="15"/>
  <c r="N158" i="15"/>
  <c r="S158" i="15"/>
  <c r="S162" i="15" s="1"/>
  <c r="L82" i="15"/>
  <c r="L162" i="15"/>
  <c r="E94" i="15"/>
  <c r="S70" i="15"/>
  <c r="I67" i="15"/>
  <c r="AC446" i="15" s="1"/>
  <c r="F67" i="15"/>
  <c r="Z446" i="15" s="1"/>
  <c r="I59" i="15"/>
  <c r="AC437" i="15" s="1"/>
  <c r="F59" i="15"/>
  <c r="Z437" i="15" s="1"/>
  <c r="K17" i="15"/>
  <c r="M17" i="15"/>
  <c r="R17" i="15"/>
  <c r="M11" i="15"/>
  <c r="R11" i="15"/>
  <c r="K11" i="15"/>
  <c r="M15" i="15"/>
  <c r="K15" i="15"/>
  <c r="R15" i="15"/>
  <c r="M401" i="15"/>
  <c r="S50" i="15"/>
  <c r="J32" i="15"/>
  <c r="S32" i="15"/>
  <c r="I65" i="15"/>
  <c r="AC444" i="15" s="1"/>
  <c r="F65" i="15"/>
  <c r="Z444" i="15" s="1"/>
  <c r="I57" i="15"/>
  <c r="AC435" i="15" s="1"/>
  <c r="F57" i="15"/>
  <c r="Z435" i="15" s="1"/>
  <c r="N51" i="15"/>
  <c r="I44" i="15"/>
  <c r="AC422" i="15" s="1"/>
  <c r="AH422" i="15" s="1"/>
  <c r="F44" i="15"/>
  <c r="Z422" i="15" s="1"/>
  <c r="S38" i="15"/>
  <c r="K38" i="15"/>
  <c r="S36" i="15"/>
  <c r="I15" i="15"/>
  <c r="F15" i="15"/>
  <c r="G15" i="15"/>
  <c r="D15" i="15"/>
  <c r="R7" i="15"/>
  <c r="K7" i="15"/>
  <c r="AL417" i="15"/>
  <c r="Z411" i="15"/>
  <c r="AC408" i="15"/>
  <c r="AL438" i="15"/>
  <c r="AL409" i="15"/>
  <c r="AF429" i="15"/>
  <c r="AF411" i="15"/>
  <c r="AC445" i="15"/>
  <c r="AL422" i="15"/>
  <c r="AN422" i="15" s="1"/>
  <c r="AF427" i="15"/>
  <c r="AC436" i="15"/>
  <c r="AL443" i="15"/>
  <c r="AF450" i="15"/>
  <c r="AF408" i="15"/>
  <c r="AL420" i="15"/>
  <c r="Z434" i="15"/>
  <c r="Z439" i="15"/>
  <c r="AC434" i="15"/>
  <c r="AC439" i="15"/>
  <c r="AI439" i="15" s="1"/>
  <c r="AC443" i="15"/>
  <c r="Z469" i="15"/>
  <c r="Z423" i="15"/>
  <c r="Z436" i="15"/>
  <c r="AL440" i="15"/>
  <c r="AL476" i="15"/>
  <c r="AO476" i="15" s="1"/>
  <c r="Z474" i="15"/>
  <c r="Z471" i="15"/>
  <c r="Z475" i="15"/>
  <c r="Z479" i="15"/>
  <c r="Z447" i="15"/>
  <c r="AF470" i="15"/>
  <c r="AF474" i="15"/>
  <c r="AF478" i="15"/>
  <c r="I46" i="15"/>
  <c r="F46" i="15"/>
  <c r="Q72" i="15"/>
  <c r="P72" i="15" s="1"/>
  <c r="L54" i="15"/>
  <c r="S42" i="15"/>
  <c r="I50" i="15"/>
  <c r="N402" i="15" s="1"/>
  <c r="F50" i="15"/>
  <c r="Z428" i="15" s="1"/>
  <c r="S19" i="15"/>
  <c r="P107" i="15"/>
  <c r="R108" i="15"/>
  <c r="S61" i="15"/>
  <c r="M403" i="15"/>
  <c r="M437" i="15" s="1"/>
  <c r="S52" i="15"/>
  <c r="N49" i="15"/>
  <c r="F39" i="15"/>
  <c r="I39" i="15"/>
  <c r="S35" i="15"/>
  <c r="O13" i="15"/>
  <c r="P6" i="15"/>
  <c r="AL425" i="15"/>
  <c r="AO425" i="15" s="1"/>
  <c r="AF413" i="15"/>
  <c r="AF441" i="15"/>
  <c r="AF412" i="15"/>
  <c r="AF421" i="15"/>
  <c r="AF426" i="15"/>
  <c r="Z413" i="15"/>
  <c r="AF420" i="15"/>
  <c r="AL414" i="15"/>
  <c r="AC421" i="15"/>
  <c r="AF423" i="15"/>
  <c r="AL429" i="15"/>
  <c r="AL448" i="15"/>
  <c r="AO448" i="15" s="1"/>
  <c r="AL410" i="15"/>
  <c r="AL423" i="15"/>
  <c r="AC429" i="15"/>
  <c r="AL436" i="15"/>
  <c r="AL441" i="15"/>
  <c r="Z445" i="15"/>
  <c r="AL434" i="15"/>
  <c r="AL439" i="15"/>
  <c r="AO439" i="15" s="1"/>
  <c r="Z473" i="15"/>
  <c r="AF425" i="15"/>
  <c r="AF428" i="15"/>
  <c r="AF434" i="15"/>
  <c r="Z438" i="15"/>
  <c r="Z441" i="15"/>
  <c r="AF448" i="15"/>
  <c r="AF471" i="15"/>
  <c r="AF472" i="15"/>
  <c r="AF476" i="15"/>
  <c r="AF469" i="15"/>
  <c r="AF473" i="15"/>
  <c r="AF477" i="15"/>
  <c r="AF445" i="15"/>
  <c r="AF449" i="15"/>
  <c r="AC471" i="15"/>
  <c r="AC475" i="15"/>
  <c r="AC479" i="15"/>
  <c r="AI453" i="15"/>
  <c r="AH453" i="15"/>
  <c r="N377" i="15"/>
  <c r="N394" i="15" s="1"/>
  <c r="I394" i="15"/>
  <c r="H394" i="15" s="1"/>
  <c r="F286" i="15"/>
  <c r="E286" i="15" s="1"/>
  <c r="E265" i="15"/>
  <c r="S228" i="15"/>
  <c r="K228" i="15"/>
  <c r="E134" i="15"/>
  <c r="S63" i="15"/>
  <c r="S55" i="15"/>
  <c r="L72" i="15"/>
  <c r="AC465" i="15"/>
  <c r="AH491" i="15"/>
  <c r="AI491" i="15" s="1"/>
  <c r="AI495" i="15"/>
  <c r="AH495" i="15"/>
  <c r="P361" i="15"/>
  <c r="R361" i="15"/>
  <c r="S361" i="15"/>
  <c r="I348" i="15"/>
  <c r="H348" i="15" s="1"/>
  <c r="N331" i="15"/>
  <c r="Q396" i="15"/>
  <c r="P376" i="15"/>
  <c r="G303" i="15"/>
  <c r="H294" i="15"/>
  <c r="N284" i="15"/>
  <c r="I265" i="15"/>
  <c r="N253" i="15"/>
  <c r="F181" i="15"/>
  <c r="S209" i="15"/>
  <c r="L230" i="15"/>
  <c r="K209" i="15"/>
  <c r="I188" i="15"/>
  <c r="M303" i="15"/>
  <c r="J308" i="15"/>
  <c r="K303" i="15"/>
  <c r="P228" i="15"/>
  <c r="F209" i="15"/>
  <c r="N178" i="15"/>
  <c r="N407" i="15"/>
  <c r="N131" i="15"/>
  <c r="R303" i="15"/>
  <c r="P284" i="15"/>
  <c r="K121" i="15"/>
  <c r="L154" i="15"/>
  <c r="L164" i="15" s="1"/>
  <c r="S121" i="15"/>
  <c r="F184" i="15"/>
  <c r="I152" i="15"/>
  <c r="N152" i="15" s="1"/>
  <c r="N135" i="15"/>
  <c r="K104" i="15"/>
  <c r="S81" i="15"/>
  <c r="J410" i="15"/>
  <c r="K410" i="15" s="1"/>
  <c r="N319" i="15"/>
  <c r="N406" i="15"/>
  <c r="S13" i="15"/>
  <c r="S14" i="15" s="1"/>
  <c r="G96" i="15"/>
  <c r="I63" i="15"/>
  <c r="AC442" i="15" s="1"/>
  <c r="F63" i="15"/>
  <c r="Z442" i="15" s="1"/>
  <c r="I55" i="15"/>
  <c r="F55" i="15"/>
  <c r="S48" i="15"/>
  <c r="S17" i="15"/>
  <c r="N17" i="15"/>
  <c r="D6" i="15"/>
  <c r="I6" i="15"/>
  <c r="G6" i="15"/>
  <c r="F6" i="15"/>
  <c r="F13" i="15" s="1"/>
  <c r="I42" i="15"/>
  <c r="F42" i="15"/>
  <c r="D19" i="15"/>
  <c r="E19" i="15" s="1"/>
  <c r="G19" i="15"/>
  <c r="H19" i="15" s="1"/>
  <c r="F19" i="15"/>
  <c r="I19" i="15"/>
  <c r="N19" i="15" s="1"/>
  <c r="L83" i="15"/>
  <c r="I61" i="15"/>
  <c r="AC440" i="15" s="1"/>
  <c r="F61" i="15"/>
  <c r="Z440" i="15" s="1"/>
  <c r="I52" i="15"/>
  <c r="F52" i="15"/>
  <c r="Z430" i="15" s="1"/>
  <c r="F38" i="15"/>
  <c r="Z431" i="15" s="1"/>
  <c r="I38" i="15"/>
  <c r="AC477" i="15" s="1"/>
  <c r="J13" i="15"/>
  <c r="R6" i="15"/>
  <c r="M6" i="15"/>
  <c r="K6" i="15"/>
  <c r="AF415" i="15"/>
  <c r="Z410" i="15"/>
  <c r="AC438" i="15"/>
  <c r="AC410" i="15"/>
  <c r="Z414" i="15"/>
  <c r="AF436" i="15"/>
  <c r="AL408" i="15"/>
  <c r="AC423" i="15"/>
  <c r="AF414" i="15"/>
  <c r="AL415" i="15"/>
  <c r="AL421" i="15"/>
  <c r="AF424" i="15"/>
  <c r="AF431" i="15"/>
  <c r="AC441" i="15"/>
  <c r="AL445" i="15"/>
  <c r="AL449" i="15"/>
  <c r="AO449" i="15" s="1"/>
  <c r="AL411" i="15"/>
  <c r="AF417" i="15"/>
  <c r="AL437" i="15"/>
  <c r="AL431" i="15"/>
  <c r="AC447" i="15"/>
  <c r="AF439" i="15"/>
  <c r="AF443" i="15"/>
  <c r="AL472" i="15"/>
  <c r="AO472" i="15" s="1"/>
  <c r="AC469" i="15"/>
  <c r="AC473" i="15"/>
  <c r="AC474" i="15"/>
  <c r="AL471" i="15"/>
  <c r="AO471" i="15" s="1"/>
  <c r="AL475" i="15"/>
  <c r="AO475" i="15" s="1"/>
  <c r="L27" i="15"/>
  <c r="AH454" i="15"/>
  <c r="AI454" i="15" s="1"/>
  <c r="I250" i="15"/>
  <c r="Q288" i="15"/>
  <c r="S288" i="15" s="1"/>
  <c r="N437" i="15"/>
  <c r="N430" i="15"/>
  <c r="N413" i="15"/>
  <c r="N421" i="15"/>
  <c r="K193" i="15"/>
  <c r="J407" i="15" s="1"/>
  <c r="E95" i="15"/>
  <c r="D96" i="15"/>
  <c r="N119" i="15"/>
  <c r="H119" i="15"/>
  <c r="I77" i="15"/>
  <c r="AC472" i="15" s="1"/>
  <c r="F77" i="15"/>
  <c r="Z472" i="15" s="1"/>
  <c r="I303" i="15"/>
  <c r="I308" i="15" s="1"/>
  <c r="I313" i="15" s="1"/>
  <c r="F152" i="15"/>
  <c r="E152" i="15" s="1"/>
  <c r="M409" i="15"/>
  <c r="M410" i="15"/>
  <c r="F107" i="15"/>
  <c r="S41" i="15"/>
  <c r="K41" i="15"/>
  <c r="L74" i="15"/>
  <c r="S107" i="15"/>
  <c r="N75" i="15"/>
  <c r="AH458" i="15"/>
  <c r="AI458" i="15" s="1"/>
  <c r="AH457" i="15"/>
  <c r="AI457" i="15" s="1"/>
  <c r="I361" i="15"/>
  <c r="H359" i="15"/>
  <c r="N348" i="15"/>
  <c r="I376" i="15"/>
  <c r="M249" i="15"/>
  <c r="Q185" i="15"/>
  <c r="Q193" i="15"/>
  <c r="P230" i="15" s="1"/>
  <c r="H297" i="15"/>
  <c r="N303" i="15"/>
  <c r="N304" i="15" s="1"/>
  <c r="S303" i="15"/>
  <c r="S304" i="15" s="1"/>
  <c r="L308" i="15"/>
  <c r="Q286" i="15"/>
  <c r="P286" i="15" s="1"/>
  <c r="H184" i="15"/>
  <c r="H193" i="15" s="1"/>
  <c r="H173" i="15"/>
  <c r="Q308" i="15"/>
  <c r="I228" i="15"/>
  <c r="H228" i="15" s="1"/>
  <c r="N197" i="15"/>
  <c r="I209" i="15"/>
  <c r="N118" i="15"/>
  <c r="H118" i="15"/>
  <c r="N329" i="15"/>
  <c r="S329" i="15"/>
  <c r="L350" i="15"/>
  <c r="I175" i="15"/>
  <c r="Q154" i="15"/>
  <c r="P154" i="15" s="1"/>
  <c r="I107" i="15"/>
  <c r="H307" i="15"/>
  <c r="R308" i="15"/>
  <c r="P308" i="15"/>
  <c r="O313" i="15"/>
  <c r="N249" i="15"/>
  <c r="N250" i="15" s="1"/>
  <c r="K185" i="15"/>
  <c r="I121" i="15"/>
  <c r="G111" i="15"/>
  <c r="H111" i="15"/>
  <c r="I81" i="15"/>
  <c r="N81" i="15" s="1"/>
  <c r="F81" i="15"/>
  <c r="I71" i="15"/>
  <c r="N71" i="15" s="1"/>
  <c r="F71" i="15"/>
  <c r="F172" i="15"/>
  <c r="S134" i="15"/>
  <c r="K134" i="15"/>
  <c r="N134" i="15"/>
  <c r="Q107" i="15"/>
  <c r="S97" i="15"/>
  <c r="S79" i="15"/>
  <c r="N79" i="15"/>
  <c r="I134" i="15"/>
  <c r="I70" i="15"/>
  <c r="N70" i="15" s="1"/>
  <c r="F70" i="15"/>
  <c r="N37" i="15"/>
  <c r="P41" i="15"/>
  <c r="Q250" i="15"/>
  <c r="R249" i="15" s="1"/>
  <c r="S250" i="15" s="1"/>
  <c r="S67" i="15"/>
  <c r="N67" i="15"/>
  <c r="S59" i="15"/>
  <c r="I48" i="15"/>
  <c r="N48" i="15" s="1"/>
  <c r="F48" i="15"/>
  <c r="V15" i="15"/>
  <c r="N15" i="15"/>
  <c r="S15" i="15"/>
  <c r="J31" i="15"/>
  <c r="M9" i="15"/>
  <c r="R9" i="15"/>
  <c r="K9" i="15"/>
  <c r="R8" i="15"/>
  <c r="K8" i="15"/>
  <c r="M8" i="15"/>
  <c r="I5" i="15"/>
  <c r="F5" i="15"/>
  <c r="I69" i="15"/>
  <c r="N69" i="15" s="1"/>
  <c r="F69" i="15"/>
  <c r="S193" i="15"/>
  <c r="S194" i="15" s="1"/>
  <c r="N193" i="15"/>
  <c r="N194" i="15" s="1"/>
  <c r="S65" i="15"/>
  <c r="N65" i="15"/>
  <c r="S57" i="15"/>
  <c r="N57" i="15"/>
  <c r="S44" i="15"/>
  <c r="N44" i="15"/>
  <c r="N36" i="15"/>
  <c r="I35" i="15"/>
  <c r="N35" i="15" s="1"/>
  <c r="F35" i="15"/>
  <c r="F32" i="15"/>
  <c r="F41" i="15" s="1"/>
  <c r="I32" i="15"/>
  <c r="O24" i="15"/>
  <c r="P15" i="15"/>
  <c r="N11" i="15"/>
  <c r="F7" i="15"/>
  <c r="G7" i="15"/>
  <c r="I7" i="15"/>
  <c r="N7" i="15" s="1"/>
  <c r="D7" i="15"/>
  <c r="E7" i="15" s="1"/>
  <c r="AC411" i="15"/>
  <c r="AF416" i="15"/>
  <c r="AF409" i="15"/>
  <c r="AF440" i="15"/>
  <c r="AF410" i="15"/>
  <c r="AL416" i="15"/>
  <c r="Z426" i="15"/>
  <c r="AL433" i="15"/>
  <c r="AL442" i="15"/>
  <c r="Z408" i="15"/>
  <c r="AL412" i="15"/>
  <c r="AL424" i="15"/>
  <c r="AO424" i="15" s="1"/>
  <c r="AF438" i="15"/>
  <c r="Z443" i="15"/>
  <c r="AL428" i="15"/>
  <c r="AF433" i="15"/>
  <c r="AF437" i="15"/>
  <c r="AF442" i="15"/>
  <c r="AL426" i="15"/>
  <c r="AO426" i="15" s="1"/>
  <c r="AF430" i="15"/>
  <c r="AL435" i="15"/>
  <c r="AF444" i="15"/>
  <c r="AF475" i="15"/>
  <c r="AL469" i="15"/>
  <c r="AL473" i="15"/>
  <c r="AO473" i="15" s="1"/>
  <c r="AL477" i="15"/>
  <c r="AO477" i="15" s="1"/>
  <c r="AL470" i="15"/>
  <c r="AL474" i="15"/>
  <c r="AO474" i="15" s="1"/>
  <c r="AL478" i="15"/>
  <c r="AO478" i="15" s="1"/>
  <c r="AL450" i="15"/>
  <c r="AO450" i="15" s="1"/>
  <c r="S46" i="15"/>
  <c r="N46" i="15"/>
  <c r="S24" i="15"/>
  <c r="S25" i="15" s="1"/>
  <c r="N24" i="15"/>
  <c r="N25" i="15" s="1"/>
  <c r="W33" i="15"/>
  <c r="W35" i="15" s="1"/>
  <c r="W117" i="15" s="1"/>
  <c r="E27" i="6" l="1"/>
  <c r="E54" i="6"/>
  <c r="AM413" i="6"/>
  <c r="AG413" i="6"/>
  <c r="AO470" i="6"/>
  <c r="D31" i="6"/>
  <c r="F41" i="6"/>
  <c r="E31" i="6"/>
  <c r="Z408" i="6"/>
  <c r="W33" i="6"/>
  <c r="W35" i="6" s="1"/>
  <c r="W117" i="6" s="1"/>
  <c r="S24" i="6"/>
  <c r="S25" i="6" s="1"/>
  <c r="N24" i="6"/>
  <c r="N25" i="6" s="1"/>
  <c r="L27" i="6"/>
  <c r="J32" i="6"/>
  <c r="AF451" i="6"/>
  <c r="AH433" i="6"/>
  <c r="AN433" i="6"/>
  <c r="AK414" i="6"/>
  <c r="AB414" i="6"/>
  <c r="AN415" i="6"/>
  <c r="AE415" i="6"/>
  <c r="AH429" i="6"/>
  <c r="AN429" i="6"/>
  <c r="AO429" i="6" s="1"/>
  <c r="R249" i="6"/>
  <c r="S250" i="6" s="1"/>
  <c r="S350" i="6"/>
  <c r="I286" i="6"/>
  <c r="H286" i="6" s="1"/>
  <c r="R13" i="6"/>
  <c r="R14" i="6" s="1"/>
  <c r="H134" i="6"/>
  <c r="N134" i="6"/>
  <c r="AN469" i="6"/>
  <c r="AH469" i="6"/>
  <c r="AI469" i="6" s="1"/>
  <c r="AN448" i="6"/>
  <c r="AO427" i="6"/>
  <c r="AN426" i="6"/>
  <c r="I27" i="6"/>
  <c r="W19" i="6"/>
  <c r="X19" i="6" s="1"/>
  <c r="N14" i="6"/>
  <c r="H13" i="6"/>
  <c r="Q232" i="6"/>
  <c r="Q194" i="6"/>
  <c r="P228" i="6"/>
  <c r="P209" i="6"/>
  <c r="D308" i="6"/>
  <c r="E303" i="6"/>
  <c r="K230" i="6"/>
  <c r="N230" i="6"/>
  <c r="S230" i="6"/>
  <c r="P154" i="6"/>
  <c r="Q164" i="6"/>
  <c r="AN475" i="6"/>
  <c r="AH475" i="6"/>
  <c r="AI475" i="6" s="1"/>
  <c r="AH470" i="6"/>
  <c r="AI470" i="6" s="1"/>
  <c r="AN470" i="6"/>
  <c r="N423" i="6"/>
  <c r="K74" i="6"/>
  <c r="E329" i="6"/>
  <c r="AN428" i="6"/>
  <c r="AH428" i="6"/>
  <c r="AN417" i="6"/>
  <c r="AE417" i="6"/>
  <c r="AF465" i="6"/>
  <c r="AH474" i="6"/>
  <c r="AI474" i="6" s="1"/>
  <c r="AN474" i="6"/>
  <c r="AN425" i="6"/>
  <c r="AH427" i="6"/>
  <c r="AN427" i="6"/>
  <c r="AH430" i="6"/>
  <c r="AN430" i="6"/>
  <c r="Q74" i="6"/>
  <c r="P74" i="6" s="1"/>
  <c r="P41" i="6"/>
  <c r="Z415" i="6"/>
  <c r="Y415" i="6" s="1"/>
  <c r="Z425" i="6"/>
  <c r="Z450" i="6"/>
  <c r="Z431" i="6"/>
  <c r="K107" i="6"/>
  <c r="R107" i="6"/>
  <c r="R108" i="6" s="1"/>
  <c r="M107" i="6"/>
  <c r="M108" i="6" s="1"/>
  <c r="F193" i="6"/>
  <c r="Z406" i="6" s="1"/>
  <c r="F185" i="6"/>
  <c r="AN478" i="6"/>
  <c r="AI428" i="6"/>
  <c r="AN476" i="6"/>
  <c r="AK410" i="6"/>
  <c r="AI429" i="6"/>
  <c r="N104" i="6"/>
  <c r="N105" i="6" s="1"/>
  <c r="G112" i="6"/>
  <c r="N439" i="6"/>
  <c r="AI454" i="6"/>
  <c r="M13" i="6"/>
  <c r="M14" i="6" s="1"/>
  <c r="AN494" i="6"/>
  <c r="Z448" i="6"/>
  <c r="Z451" i="6" s="1"/>
  <c r="X451" i="6" s="1"/>
  <c r="Z463" i="6"/>
  <c r="AO430" i="6"/>
  <c r="Z417" i="6"/>
  <c r="Y417" i="6" s="1"/>
  <c r="AH423" i="6"/>
  <c r="AI423" i="6" s="1"/>
  <c r="AN423" i="6"/>
  <c r="AN409" i="6"/>
  <c r="AH409" i="6"/>
  <c r="AE409" i="6"/>
  <c r="Z416" i="6"/>
  <c r="Y416" i="6" s="1"/>
  <c r="P230" i="6"/>
  <c r="S396" i="6"/>
  <c r="K396" i="6"/>
  <c r="L398" i="6"/>
  <c r="S154" i="6"/>
  <c r="AN471" i="6"/>
  <c r="AH471" i="6"/>
  <c r="AI471" i="6" s="1"/>
  <c r="AO446" i="6"/>
  <c r="N178" i="6"/>
  <c r="U177" i="6"/>
  <c r="V177" i="6" s="1"/>
  <c r="E348" i="6"/>
  <c r="E350" i="6"/>
  <c r="AN439" i="6"/>
  <c r="AH439" i="6"/>
  <c r="AK415" i="6"/>
  <c r="AO415" i="6"/>
  <c r="AN438" i="6"/>
  <c r="AO438" i="6" s="1"/>
  <c r="AH438" i="6"/>
  <c r="AN446" i="6"/>
  <c r="AH446" i="6"/>
  <c r="AL480" i="6"/>
  <c r="AO469" i="6"/>
  <c r="AO428" i="6"/>
  <c r="AL432" i="6"/>
  <c r="AN411" i="6"/>
  <c r="AO411" i="6" s="1"/>
  <c r="AE411" i="6"/>
  <c r="AH411" i="6"/>
  <c r="AI411" i="6" s="1"/>
  <c r="AC425" i="6"/>
  <c r="AI425" i="6" s="1"/>
  <c r="AC424" i="6"/>
  <c r="AI424" i="6" s="1"/>
  <c r="AC431" i="6"/>
  <c r="AI431" i="6" s="1"/>
  <c r="AC416" i="6"/>
  <c r="I72" i="6"/>
  <c r="H72" i="6" s="1"/>
  <c r="AC496" i="6"/>
  <c r="AI496" i="6" s="1"/>
  <c r="AC495" i="6"/>
  <c r="AC478" i="6"/>
  <c r="AI478" i="6" s="1"/>
  <c r="AC464" i="6"/>
  <c r="AI464" i="6" s="1"/>
  <c r="AC450" i="6"/>
  <c r="AI450" i="6" s="1"/>
  <c r="AC449" i="6"/>
  <c r="AI449" i="6" s="1"/>
  <c r="AC415" i="6"/>
  <c r="AH415" i="6" s="1"/>
  <c r="AC476" i="6"/>
  <c r="AI476" i="6" s="1"/>
  <c r="AC477" i="6"/>
  <c r="AI477" i="6" s="1"/>
  <c r="AC417" i="6"/>
  <c r="AH417" i="6" s="1"/>
  <c r="AC494" i="6"/>
  <c r="AI494" i="6" s="1"/>
  <c r="AC463" i="6"/>
  <c r="AI463" i="6" s="1"/>
  <c r="AC462" i="6"/>
  <c r="AC426" i="6"/>
  <c r="AI426" i="6" s="1"/>
  <c r="AC448" i="6"/>
  <c r="AI448" i="6" s="1"/>
  <c r="S185" i="6"/>
  <c r="S194" i="6"/>
  <c r="L194" i="6"/>
  <c r="L232" i="6"/>
  <c r="S193" i="6"/>
  <c r="H361" i="6"/>
  <c r="M361" i="6"/>
  <c r="AE416" i="6"/>
  <c r="AN416" i="6"/>
  <c r="AN450" i="6"/>
  <c r="AH450" i="6"/>
  <c r="Z449" i="6"/>
  <c r="AH424" i="6"/>
  <c r="AN424" i="6"/>
  <c r="AI430" i="6"/>
  <c r="AH445" i="6"/>
  <c r="AN445" i="6"/>
  <c r="AO445" i="6" s="1"/>
  <c r="AN414" i="6"/>
  <c r="AO414" i="6" s="1"/>
  <c r="AH414" i="6"/>
  <c r="AI414" i="6" s="1"/>
  <c r="AE414" i="6"/>
  <c r="AK417" i="6"/>
  <c r="AO417" i="6"/>
  <c r="F154" i="6"/>
  <c r="E121" i="6"/>
  <c r="I164" i="6"/>
  <c r="S286" i="6"/>
  <c r="N286" i="6"/>
  <c r="K286" i="6"/>
  <c r="AI433" i="6"/>
  <c r="AI427" i="6"/>
  <c r="N70" i="6"/>
  <c r="N72" i="6" s="1"/>
  <c r="AN477" i="6"/>
  <c r="AH477" i="6"/>
  <c r="AO409" i="6"/>
  <c r="AK409" i="6"/>
  <c r="AK413" i="6"/>
  <c r="AO413" i="6"/>
  <c r="AI445" i="6"/>
  <c r="AN412" i="6"/>
  <c r="AE412" i="6"/>
  <c r="AH412" i="6"/>
  <c r="AI412" i="6" s="1"/>
  <c r="G32" i="6"/>
  <c r="H24" i="6"/>
  <c r="N418" i="6"/>
  <c r="I407" i="6"/>
  <c r="P308" i="6"/>
  <c r="O313" i="6"/>
  <c r="R308" i="6"/>
  <c r="L164" i="6"/>
  <c r="S107" i="6"/>
  <c r="S108" i="6" s="1"/>
  <c r="N107" i="6"/>
  <c r="N108" i="6" s="1"/>
  <c r="K121" i="6"/>
  <c r="K134" i="6"/>
  <c r="K152" i="6"/>
  <c r="Z496" i="6"/>
  <c r="Z464" i="6"/>
  <c r="Z465" i="6" s="1"/>
  <c r="X465" i="6" s="1"/>
  <c r="Z476" i="6"/>
  <c r="Z480" i="6" s="1"/>
  <c r="X480" i="6" s="1"/>
  <c r="E209" i="6"/>
  <c r="F230" i="6"/>
  <c r="E230" i="6" s="1"/>
  <c r="F398" i="6"/>
  <c r="I154" i="6"/>
  <c r="S41" i="6"/>
  <c r="AN472" i="6"/>
  <c r="Z477" i="6"/>
  <c r="AH440" i="6"/>
  <c r="AN440" i="6"/>
  <c r="AO440" i="6" s="1"/>
  <c r="AH442" i="6"/>
  <c r="AI442" i="6" s="1"/>
  <c r="AN442" i="6"/>
  <c r="AO442" i="6" s="1"/>
  <c r="AI441" i="6"/>
  <c r="I250" i="6"/>
  <c r="M249" i="6" s="1"/>
  <c r="I288" i="6"/>
  <c r="N361" i="6"/>
  <c r="L313" i="6"/>
  <c r="K350" i="6" s="1"/>
  <c r="S308" i="6"/>
  <c r="N308" i="6"/>
  <c r="N309" i="6" s="1"/>
  <c r="Q313" i="6"/>
  <c r="S309" i="6"/>
  <c r="K308" i="6"/>
  <c r="J313" i="6"/>
  <c r="AF405" i="6" s="1"/>
  <c r="M308" i="6"/>
  <c r="P396" i="6"/>
  <c r="Q398" i="6"/>
  <c r="AH496" i="6"/>
  <c r="AN496" i="6"/>
  <c r="AN443" i="6"/>
  <c r="AO443" i="6" s="1"/>
  <c r="AH443" i="6"/>
  <c r="AI443" i="6" s="1"/>
  <c r="AN435" i="6"/>
  <c r="AO435" i="6" s="1"/>
  <c r="AH435" i="6"/>
  <c r="AI435" i="6" s="1"/>
  <c r="AI446" i="6"/>
  <c r="AO421" i="6"/>
  <c r="AB412" i="6"/>
  <c r="AH408" i="6"/>
  <c r="AF418" i="6"/>
  <c r="AN408" i="6"/>
  <c r="AO408" i="6" s="1"/>
  <c r="AE408" i="6"/>
  <c r="M104" i="6"/>
  <c r="K104" i="6"/>
  <c r="S158" i="6"/>
  <c r="S162" i="6" s="1"/>
  <c r="N158" i="6"/>
  <c r="L82" i="6"/>
  <c r="L162" i="6"/>
  <c r="I396" i="6"/>
  <c r="H396" i="6" s="1"/>
  <c r="H376" i="6"/>
  <c r="N376" i="6"/>
  <c r="S288" i="6"/>
  <c r="N288" i="6"/>
  <c r="I350" i="6"/>
  <c r="H329" i="6"/>
  <c r="H31" i="6"/>
  <c r="I41" i="6"/>
  <c r="G31" i="6"/>
  <c r="N31" i="6"/>
  <c r="AC408" i="6"/>
  <c r="AH464" i="6"/>
  <c r="AH449" i="6"/>
  <c r="AN449" i="6"/>
  <c r="AN434" i="6"/>
  <c r="AO434" i="6" s="1"/>
  <c r="AH434" i="6"/>
  <c r="AI438" i="6"/>
  <c r="AH444" i="6"/>
  <c r="AI444" i="6" s="1"/>
  <c r="AN444" i="6"/>
  <c r="AO444" i="6" s="1"/>
  <c r="AI421" i="6"/>
  <c r="AO423" i="6"/>
  <c r="Z424" i="6"/>
  <c r="Z432" i="6" s="1"/>
  <c r="X432" i="6" s="1"/>
  <c r="AH437" i="6"/>
  <c r="AI437" i="6" s="1"/>
  <c r="AN437" i="6"/>
  <c r="AO437" i="6" s="1"/>
  <c r="AB410" i="6"/>
  <c r="AK412" i="6"/>
  <c r="AO412" i="6"/>
  <c r="H228" i="6"/>
  <c r="N228" i="6"/>
  <c r="G308" i="6"/>
  <c r="H303" i="6"/>
  <c r="AH463" i="6"/>
  <c r="F72" i="6"/>
  <c r="E72" i="6" s="1"/>
  <c r="K23" i="6"/>
  <c r="R23" i="6" s="1"/>
  <c r="K22" i="6"/>
  <c r="R22" i="6" s="1"/>
  <c r="J27" i="6"/>
  <c r="K21" i="6"/>
  <c r="R21" i="6" s="1"/>
  <c r="V20" i="6"/>
  <c r="X20" i="6" s="1"/>
  <c r="K13" i="6"/>
  <c r="J24" i="6"/>
  <c r="H107" i="6"/>
  <c r="AN473" i="6"/>
  <c r="AH473" i="6"/>
  <c r="AI473" i="6" s="1"/>
  <c r="AN422" i="6"/>
  <c r="AO422" i="6" s="1"/>
  <c r="AH422" i="6"/>
  <c r="AI422" i="6" s="1"/>
  <c r="AH436" i="6"/>
  <c r="AI436" i="6" s="1"/>
  <c r="AN436" i="6"/>
  <c r="AO436" i="6" s="1"/>
  <c r="AB409" i="6"/>
  <c r="AI409" i="6"/>
  <c r="AN410" i="6"/>
  <c r="AO410" i="6" s="1"/>
  <c r="AE410" i="6"/>
  <c r="AH410" i="6"/>
  <c r="AI410" i="6" s="1"/>
  <c r="AH420" i="6"/>
  <c r="AI420" i="6" s="1"/>
  <c r="AN420" i="6"/>
  <c r="AO420" i="6" s="1"/>
  <c r="AF432" i="6"/>
  <c r="AI434" i="6"/>
  <c r="D32" i="6"/>
  <c r="E24" i="6"/>
  <c r="AN413" i="6"/>
  <c r="AL418" i="6"/>
  <c r="K209" i="6"/>
  <c r="N433" i="6"/>
  <c r="AH447" i="6"/>
  <c r="AI447" i="6" s="1"/>
  <c r="AI440" i="6"/>
  <c r="AL451" i="6"/>
  <c r="I193" i="6"/>
  <c r="N193" i="6" s="1"/>
  <c r="N194" i="6" s="1"/>
  <c r="I185" i="6"/>
  <c r="AN495" i="6"/>
  <c r="AH441" i="5"/>
  <c r="AN441" i="5"/>
  <c r="AK415" i="5"/>
  <c r="AO415" i="5"/>
  <c r="AO411" i="5"/>
  <c r="AK411" i="5"/>
  <c r="F54" i="5"/>
  <c r="Z420" i="5"/>
  <c r="M107" i="5"/>
  <c r="M108" i="5" s="1"/>
  <c r="R107" i="5"/>
  <c r="R108" i="5" s="1"/>
  <c r="K107" i="5"/>
  <c r="F193" i="5"/>
  <c r="F185" i="5"/>
  <c r="E303" i="5"/>
  <c r="D308" i="5"/>
  <c r="N361" i="5"/>
  <c r="H228" i="5"/>
  <c r="AN437" i="5"/>
  <c r="AO437" i="5" s="1"/>
  <c r="AH437" i="5"/>
  <c r="AN423" i="5"/>
  <c r="AH423" i="5"/>
  <c r="AN415" i="5"/>
  <c r="AE415" i="5"/>
  <c r="AN411" i="5"/>
  <c r="AE411" i="5"/>
  <c r="AH411" i="5"/>
  <c r="I407" i="5"/>
  <c r="Q232" i="5"/>
  <c r="Q194" i="5"/>
  <c r="P209" i="5"/>
  <c r="H265" i="5"/>
  <c r="I286" i="5"/>
  <c r="N265" i="5"/>
  <c r="F250" i="5"/>
  <c r="AK413" i="5"/>
  <c r="N77" i="5"/>
  <c r="W20" i="5"/>
  <c r="L27" i="5"/>
  <c r="J31" i="5"/>
  <c r="AN470" i="5"/>
  <c r="AO470" i="5" s="1"/>
  <c r="AH470" i="5"/>
  <c r="AI470" i="5" s="1"/>
  <c r="AN448" i="5"/>
  <c r="AK417" i="5"/>
  <c r="AO417" i="5"/>
  <c r="AH408" i="5"/>
  <c r="AI408" i="5" s="1"/>
  <c r="AF418" i="5"/>
  <c r="AN408" i="5"/>
  <c r="AE408" i="5"/>
  <c r="M435" i="5"/>
  <c r="M439" i="5" s="1"/>
  <c r="M405" i="5"/>
  <c r="N405" i="5" s="1"/>
  <c r="E154" i="5"/>
  <c r="F164" i="5"/>
  <c r="K308" i="5"/>
  <c r="J313" i="5"/>
  <c r="K74" i="5"/>
  <c r="S107" i="5"/>
  <c r="S108" i="5" s="1"/>
  <c r="N107" i="5"/>
  <c r="N108" i="5" s="1"/>
  <c r="AO434" i="5"/>
  <c r="AN424" i="5"/>
  <c r="AO408" i="5"/>
  <c r="AK408" i="5"/>
  <c r="AL418" i="5"/>
  <c r="G13" i="5"/>
  <c r="AB409" i="5" s="1"/>
  <c r="H6" i="5"/>
  <c r="M6" i="5"/>
  <c r="H17" i="5"/>
  <c r="M17" i="5"/>
  <c r="N403" i="5"/>
  <c r="AC430" i="5"/>
  <c r="S230" i="5"/>
  <c r="K230" i="5"/>
  <c r="N428" i="5"/>
  <c r="N411" i="5"/>
  <c r="N435" i="5"/>
  <c r="N409" i="5"/>
  <c r="N419" i="5"/>
  <c r="Q352" i="5"/>
  <c r="P348" i="5"/>
  <c r="P329" i="5"/>
  <c r="L232" i="5"/>
  <c r="S194" i="5"/>
  <c r="N193" i="5"/>
  <c r="N194" i="5" s="1"/>
  <c r="L194" i="5"/>
  <c r="S193" i="5"/>
  <c r="K209" i="5"/>
  <c r="S288" i="5"/>
  <c r="N402" i="5"/>
  <c r="AC429" i="5"/>
  <c r="N134" i="5"/>
  <c r="AN476" i="5"/>
  <c r="AN428" i="5"/>
  <c r="AO428" i="5" s="1"/>
  <c r="AN434" i="5"/>
  <c r="AH434" i="5"/>
  <c r="AN413" i="5"/>
  <c r="AO413" i="5" s="1"/>
  <c r="AE413" i="5"/>
  <c r="AH413" i="5"/>
  <c r="AI413" i="5" s="1"/>
  <c r="I83" i="5"/>
  <c r="AC471" i="5"/>
  <c r="AC480" i="5" s="1"/>
  <c r="N158" i="5"/>
  <c r="S158" i="5"/>
  <c r="S162" i="5" s="1"/>
  <c r="L82" i="5"/>
  <c r="L162" i="5"/>
  <c r="L164" i="5" s="1"/>
  <c r="I154" i="5"/>
  <c r="H121" i="5"/>
  <c r="I350" i="5"/>
  <c r="AN471" i="5"/>
  <c r="AH471" i="5"/>
  <c r="AI471" i="5" s="1"/>
  <c r="AB413" i="5"/>
  <c r="Y413" i="5"/>
  <c r="M8" i="5"/>
  <c r="N67" i="5"/>
  <c r="AH465" i="5"/>
  <c r="AN412" i="5"/>
  <c r="AE412" i="5"/>
  <c r="AH412" i="5"/>
  <c r="N65" i="5"/>
  <c r="P350" i="5"/>
  <c r="Q164" i="5"/>
  <c r="Q74" i="5"/>
  <c r="S74" i="5" s="1"/>
  <c r="AN477" i="5"/>
  <c r="AN449" i="5"/>
  <c r="AL432" i="5"/>
  <c r="AI412" i="5"/>
  <c r="AB412" i="5"/>
  <c r="AC477" i="5"/>
  <c r="AH477" i="5" s="1"/>
  <c r="AI477" i="5" s="1"/>
  <c r="AC448" i="5"/>
  <c r="AI448" i="5" s="1"/>
  <c r="AC416" i="5"/>
  <c r="AC424" i="5"/>
  <c r="AI424" i="5" s="1"/>
  <c r="AC450" i="5"/>
  <c r="AI450" i="5" s="1"/>
  <c r="AC478" i="5"/>
  <c r="AH478" i="5" s="1"/>
  <c r="AI478" i="5" s="1"/>
  <c r="AC449" i="5"/>
  <c r="AI449" i="5" s="1"/>
  <c r="AC476" i="5"/>
  <c r="AH476" i="5" s="1"/>
  <c r="AI476" i="5" s="1"/>
  <c r="AC417" i="5"/>
  <c r="AC415" i="5"/>
  <c r="AH415" i="5" s="1"/>
  <c r="AC426" i="5"/>
  <c r="AI426" i="5" s="1"/>
  <c r="AC431" i="5"/>
  <c r="AC425" i="5"/>
  <c r="AI425" i="5" s="1"/>
  <c r="N78" i="5"/>
  <c r="AL480" i="5"/>
  <c r="AF451" i="5"/>
  <c r="AN425" i="5"/>
  <c r="AI411" i="5"/>
  <c r="AB411" i="5"/>
  <c r="AI441" i="5"/>
  <c r="I410" i="5"/>
  <c r="S24" i="5"/>
  <c r="S25" i="5" s="1"/>
  <c r="N24" i="5"/>
  <c r="N25" i="5" s="1"/>
  <c r="W33" i="5"/>
  <c r="W35" i="5" s="1"/>
  <c r="W117" i="5" s="1"/>
  <c r="J32" i="5"/>
  <c r="P13" i="5"/>
  <c r="P21" i="5"/>
  <c r="P22" i="5"/>
  <c r="O27" i="5"/>
  <c r="P23" i="5"/>
  <c r="O24" i="5"/>
  <c r="Z417" i="5"/>
  <c r="Y417" i="5" s="1"/>
  <c r="AH426" i="5"/>
  <c r="AN426" i="5"/>
  <c r="D13" i="5"/>
  <c r="E6" i="5"/>
  <c r="K121" i="5"/>
  <c r="S72" i="5"/>
  <c r="I194" i="5"/>
  <c r="S396" i="5"/>
  <c r="K396" i="5"/>
  <c r="L398" i="5"/>
  <c r="K22" i="5"/>
  <c r="R22" i="5" s="1"/>
  <c r="K13" i="5"/>
  <c r="K23" i="5"/>
  <c r="R23" i="5" s="1"/>
  <c r="J24" i="5"/>
  <c r="V20" i="5"/>
  <c r="J27" i="5"/>
  <c r="K21" i="5"/>
  <c r="R21" i="5" s="1"/>
  <c r="AN450" i="5"/>
  <c r="AO441" i="5"/>
  <c r="AO421" i="5"/>
  <c r="AB410" i="5"/>
  <c r="Y412" i="5"/>
  <c r="F72" i="5"/>
  <c r="E72" i="5" s="1"/>
  <c r="Z433" i="5"/>
  <c r="K152" i="5"/>
  <c r="N350" i="5"/>
  <c r="S350" i="5"/>
  <c r="AN422" i="5"/>
  <c r="AO422" i="5" s="1"/>
  <c r="AH422" i="5"/>
  <c r="AI422" i="5" s="1"/>
  <c r="AH416" i="5"/>
  <c r="AE416" i="5"/>
  <c r="AN416" i="5"/>
  <c r="AN409" i="5"/>
  <c r="AE409" i="5"/>
  <c r="AH409" i="5"/>
  <c r="AI409" i="5" s="1"/>
  <c r="I230" i="5"/>
  <c r="H230" i="5" s="1"/>
  <c r="H209" i="5"/>
  <c r="N209" i="5"/>
  <c r="L313" i="5"/>
  <c r="K350" i="5" s="1"/>
  <c r="S308" i="5"/>
  <c r="S309" i="5" s="1"/>
  <c r="N308" i="5"/>
  <c r="N309" i="5" s="1"/>
  <c r="P396" i="5"/>
  <c r="Q398" i="5"/>
  <c r="F350" i="5"/>
  <c r="E350" i="5" s="1"/>
  <c r="E329" i="5"/>
  <c r="AI452" i="5"/>
  <c r="N44" i="5"/>
  <c r="N54" i="5" s="1"/>
  <c r="N178" i="5"/>
  <c r="G308" i="5"/>
  <c r="H303" i="5"/>
  <c r="S13" i="5"/>
  <c r="AI434" i="5"/>
  <c r="AH473" i="5"/>
  <c r="AI473" i="5" s="1"/>
  <c r="AN473" i="5"/>
  <c r="AH472" i="5"/>
  <c r="AI472" i="5" s="1"/>
  <c r="AN472" i="5"/>
  <c r="AO414" i="5"/>
  <c r="AK414" i="5"/>
  <c r="Y409" i="5"/>
  <c r="Y411" i="5"/>
  <c r="Z424" i="5"/>
  <c r="Z416" i="5"/>
  <c r="Y416" i="5" s="1"/>
  <c r="Z478" i="5"/>
  <c r="Z425" i="5"/>
  <c r="Z431" i="5"/>
  <c r="Z415" i="5"/>
  <c r="Y415" i="5" s="1"/>
  <c r="Z476" i="5"/>
  <c r="F396" i="5"/>
  <c r="E396" i="5" s="1"/>
  <c r="AH430" i="5"/>
  <c r="AN430" i="5"/>
  <c r="AO430" i="5" s="1"/>
  <c r="AB414" i="5"/>
  <c r="Z406" i="5"/>
  <c r="N154" i="5"/>
  <c r="S154" i="5"/>
  <c r="K154" i="5"/>
  <c r="AI423" i="5"/>
  <c r="Z450" i="5"/>
  <c r="AH447" i="5"/>
  <c r="AI447" i="5" s="1"/>
  <c r="AN417" i="5"/>
  <c r="AE417" i="5"/>
  <c r="AH417" i="5"/>
  <c r="AH439" i="5"/>
  <c r="AN439" i="5"/>
  <c r="AN475" i="5"/>
  <c r="AH475" i="5"/>
  <c r="AI475" i="5" s="1"/>
  <c r="Z477" i="5"/>
  <c r="Z480" i="5" s="1"/>
  <c r="X480" i="5" s="1"/>
  <c r="AH438" i="5"/>
  <c r="AI438" i="5" s="1"/>
  <c r="AN438" i="5"/>
  <c r="AO438" i="5" s="1"/>
  <c r="AH436" i="5"/>
  <c r="AI436" i="5" s="1"/>
  <c r="AN436" i="5"/>
  <c r="AO409" i="5"/>
  <c r="AK409" i="5"/>
  <c r="AN414" i="5"/>
  <c r="AE414" i="5"/>
  <c r="AH414" i="5"/>
  <c r="AI414" i="5" s="1"/>
  <c r="AO412" i="5"/>
  <c r="AK412" i="5"/>
  <c r="AN410" i="5"/>
  <c r="AE410" i="5"/>
  <c r="AH410" i="5"/>
  <c r="AI410" i="5" s="1"/>
  <c r="I27" i="5"/>
  <c r="H41" i="5" s="1"/>
  <c r="W19" i="5"/>
  <c r="K54" i="5"/>
  <c r="K72" i="5"/>
  <c r="E228" i="5"/>
  <c r="F352" i="5"/>
  <c r="AI442" i="5"/>
  <c r="N41" i="5"/>
  <c r="Q27" i="5"/>
  <c r="S14" i="5"/>
  <c r="K134" i="5"/>
  <c r="AH443" i="5"/>
  <c r="AI443" i="5" s="1"/>
  <c r="AN443" i="5"/>
  <c r="AO443" i="5" s="1"/>
  <c r="AO436" i="5"/>
  <c r="AK416" i="5"/>
  <c r="AO416" i="5"/>
  <c r="AO423" i="5"/>
  <c r="AN420" i="5"/>
  <c r="AO420" i="5" s="1"/>
  <c r="AF432" i="5"/>
  <c r="I54" i="5"/>
  <c r="H54" i="5" s="1"/>
  <c r="AC420" i="5"/>
  <c r="N401" i="5"/>
  <c r="N404" i="5" s="1"/>
  <c r="AC428" i="5"/>
  <c r="M104" i="5"/>
  <c r="K104" i="5"/>
  <c r="I72" i="5"/>
  <c r="H72" i="5" s="1"/>
  <c r="AC433" i="5"/>
  <c r="S250" i="5"/>
  <c r="O313" i="5"/>
  <c r="R308" i="5"/>
  <c r="P308" i="5"/>
  <c r="N423" i="5"/>
  <c r="X465" i="5"/>
  <c r="AN427" i="5"/>
  <c r="AH427" i="5"/>
  <c r="AI427" i="5" s="1"/>
  <c r="AO427" i="5"/>
  <c r="AO410" i="5"/>
  <c r="AK410" i="5"/>
  <c r="AH435" i="5"/>
  <c r="AI435" i="5" s="1"/>
  <c r="AN435" i="5"/>
  <c r="AO435" i="5" s="1"/>
  <c r="P72" i="5"/>
  <c r="AI440" i="5"/>
  <c r="N410" i="5"/>
  <c r="I396" i="5"/>
  <c r="H396" i="5" s="1"/>
  <c r="H376" i="5"/>
  <c r="N376" i="5"/>
  <c r="AI465" i="5"/>
  <c r="N57" i="5"/>
  <c r="N72" i="5" s="1"/>
  <c r="F286" i="5"/>
  <c r="E286" i="5" s="1"/>
  <c r="E265" i="5"/>
  <c r="N45" i="5"/>
  <c r="N6" i="5"/>
  <c r="N13" i="5" s="1"/>
  <c r="N14" i="5" s="1"/>
  <c r="N62" i="5"/>
  <c r="AN474" i="5"/>
  <c r="AH474" i="5"/>
  <c r="AI474" i="5" s="1"/>
  <c r="AH469" i="5"/>
  <c r="AI469" i="5" s="1"/>
  <c r="AN469" i="5"/>
  <c r="AO469" i="5" s="1"/>
  <c r="AN446" i="5"/>
  <c r="AO446" i="5" s="1"/>
  <c r="AH446" i="5"/>
  <c r="AI446" i="5" s="1"/>
  <c r="AN421" i="5"/>
  <c r="AH421" i="5"/>
  <c r="AI421" i="5" s="1"/>
  <c r="AH429" i="5"/>
  <c r="AN429" i="5"/>
  <c r="AO429" i="5" s="1"/>
  <c r="AL451" i="5"/>
  <c r="F83" i="5"/>
  <c r="AI437" i="5"/>
  <c r="AH444" i="5"/>
  <c r="AI444" i="5" s="1"/>
  <c r="AH445" i="5"/>
  <c r="AI445" i="5" s="1"/>
  <c r="E348" i="5"/>
  <c r="AH440" i="15"/>
  <c r="AN440" i="15"/>
  <c r="AI440" i="15"/>
  <c r="I54" i="15"/>
  <c r="AC420" i="15"/>
  <c r="D13" i="15"/>
  <c r="E6" i="15"/>
  <c r="N435" i="15"/>
  <c r="N428" i="15"/>
  <c r="N409" i="15"/>
  <c r="N419" i="15"/>
  <c r="N411" i="15"/>
  <c r="F185" i="15"/>
  <c r="F193" i="15"/>
  <c r="F230" i="15"/>
  <c r="E230" i="15" s="1"/>
  <c r="E209" i="15"/>
  <c r="S230" i="15"/>
  <c r="K230" i="15"/>
  <c r="H265" i="15"/>
  <c r="I286" i="15"/>
  <c r="N265" i="15"/>
  <c r="N63" i="15"/>
  <c r="AN428" i="15"/>
  <c r="AH441" i="15"/>
  <c r="AN441" i="15"/>
  <c r="AC425" i="15"/>
  <c r="AI425" i="15" s="1"/>
  <c r="AH429" i="15"/>
  <c r="AI429" i="15" s="1"/>
  <c r="AN429" i="15"/>
  <c r="F288" i="15"/>
  <c r="F250" i="15"/>
  <c r="S396" i="15"/>
  <c r="K396" i="15"/>
  <c r="AC448" i="15"/>
  <c r="AI448" i="15" s="1"/>
  <c r="I194" i="15"/>
  <c r="AH444" i="15"/>
  <c r="AI444" i="15" s="1"/>
  <c r="AN444" i="15"/>
  <c r="AO444" i="15" s="1"/>
  <c r="AN416" i="15"/>
  <c r="AE416" i="15"/>
  <c r="AL405" i="15"/>
  <c r="I164" i="15"/>
  <c r="N164" i="15" s="1"/>
  <c r="S350" i="15"/>
  <c r="N107" i="15"/>
  <c r="N108" i="15" s="1"/>
  <c r="AC478" i="15"/>
  <c r="AK411" i="15"/>
  <c r="AN415" i="15"/>
  <c r="AE415" i="15"/>
  <c r="V20" i="15"/>
  <c r="X20" i="15" s="1"/>
  <c r="J27" i="15"/>
  <c r="K13" i="15"/>
  <c r="K23" i="15"/>
  <c r="R23" i="15" s="1"/>
  <c r="K22" i="15"/>
  <c r="R22" i="15" s="1"/>
  <c r="K21" i="15"/>
  <c r="R21" i="15" s="1"/>
  <c r="AN448" i="15"/>
  <c r="AK414" i="15"/>
  <c r="AN474" i="15"/>
  <c r="AH474" i="15"/>
  <c r="AI474" i="15" s="1"/>
  <c r="AH438" i="15"/>
  <c r="AN438" i="15"/>
  <c r="AC449" i="15"/>
  <c r="AI449" i="15" s="1"/>
  <c r="H7" i="15"/>
  <c r="P37" i="15"/>
  <c r="P24" i="15"/>
  <c r="P32" i="15"/>
  <c r="P33" i="15"/>
  <c r="P31" i="15"/>
  <c r="Q74" i="15"/>
  <c r="P74" i="15" s="1"/>
  <c r="I154" i="15"/>
  <c r="H154" i="15" s="1"/>
  <c r="H121" i="15"/>
  <c r="Q313" i="15"/>
  <c r="K407" i="15"/>
  <c r="AN424" i="15"/>
  <c r="F27" i="15"/>
  <c r="F72" i="15"/>
  <c r="Z433" i="15"/>
  <c r="F83" i="15"/>
  <c r="S286" i="15"/>
  <c r="K405" i="15"/>
  <c r="O405" i="15" s="1"/>
  <c r="K406" i="15"/>
  <c r="N361" i="15"/>
  <c r="K72" i="15"/>
  <c r="AN445" i="15"/>
  <c r="AH445" i="15"/>
  <c r="AI445" i="15" s="1"/>
  <c r="AN476" i="15"/>
  <c r="AN425" i="15"/>
  <c r="AH425" i="15"/>
  <c r="AO429" i="15"/>
  <c r="AH420" i="15"/>
  <c r="AN420" i="15"/>
  <c r="AO420" i="15" s="1"/>
  <c r="AF432" i="15"/>
  <c r="AN426" i="15"/>
  <c r="AN413" i="15"/>
  <c r="AO413" i="15" s="1"/>
  <c r="AE413" i="15"/>
  <c r="AH413" i="15"/>
  <c r="AI413" i="15" s="1"/>
  <c r="O27" i="15"/>
  <c r="P27" i="15" s="1"/>
  <c r="P23" i="15"/>
  <c r="P22" i="15"/>
  <c r="P21" i="15"/>
  <c r="P13" i="15"/>
  <c r="N61" i="15"/>
  <c r="N42" i="15"/>
  <c r="AN470" i="15"/>
  <c r="AH470" i="15"/>
  <c r="AI470" i="15" s="1"/>
  <c r="AC476" i="15"/>
  <c r="AC480" i="15" s="1"/>
  <c r="AL432" i="15"/>
  <c r="Z425" i="15"/>
  <c r="Y411" i="15"/>
  <c r="M435" i="15"/>
  <c r="M439" i="15" s="1"/>
  <c r="M405" i="15"/>
  <c r="J24" i="15"/>
  <c r="N77" i="15"/>
  <c r="N83" i="15" s="1"/>
  <c r="Z476" i="15"/>
  <c r="I350" i="15"/>
  <c r="H350" i="15" s="1"/>
  <c r="AL406" i="15"/>
  <c r="Q85" i="15"/>
  <c r="Z412" i="15"/>
  <c r="Y412" i="15" s="1"/>
  <c r="AN414" i="15"/>
  <c r="AO414" i="15" s="1"/>
  <c r="AE414" i="15"/>
  <c r="AH414" i="15"/>
  <c r="AI414" i="15" s="1"/>
  <c r="AN449" i="15"/>
  <c r="AH449" i="15"/>
  <c r="AH469" i="15"/>
  <c r="AI469" i="15" s="1"/>
  <c r="AN469" i="15"/>
  <c r="AC431" i="15"/>
  <c r="N401" i="15"/>
  <c r="AC428" i="15"/>
  <c r="AH428" i="15" s="1"/>
  <c r="AC417" i="15"/>
  <c r="AH437" i="15"/>
  <c r="AI437" i="15" s="1"/>
  <c r="AN437" i="15"/>
  <c r="AO437" i="15" s="1"/>
  <c r="AK416" i="15"/>
  <c r="AO416" i="15"/>
  <c r="AC424" i="15"/>
  <c r="AI424" i="15" s="1"/>
  <c r="AC412" i="15"/>
  <c r="AC426" i="15"/>
  <c r="AI426" i="15" s="1"/>
  <c r="AI423" i="15"/>
  <c r="AO469" i="15"/>
  <c r="AL480" i="15"/>
  <c r="AN430" i="15"/>
  <c r="AO430" i="15" s="1"/>
  <c r="AH430" i="15"/>
  <c r="AN433" i="15"/>
  <c r="AF451" i="15"/>
  <c r="AO442" i="15"/>
  <c r="AC415" i="15"/>
  <c r="AH415" i="15" s="1"/>
  <c r="Z415" i="15"/>
  <c r="Y415" i="15" s="1"/>
  <c r="Z448" i="15"/>
  <c r="H32" i="15"/>
  <c r="G32" i="15"/>
  <c r="I41" i="15"/>
  <c r="AC409" i="15"/>
  <c r="L194" i="15"/>
  <c r="H134" i="15"/>
  <c r="S108" i="15"/>
  <c r="Q164" i="15"/>
  <c r="S164" i="15" s="1"/>
  <c r="P152" i="15"/>
  <c r="P121" i="15"/>
  <c r="I230" i="15"/>
  <c r="H230" i="15" s="1"/>
  <c r="H209" i="15"/>
  <c r="L313" i="15"/>
  <c r="S308" i="15"/>
  <c r="S309" i="15" s="1"/>
  <c r="N308" i="15"/>
  <c r="N309" i="15" s="1"/>
  <c r="Q232" i="15"/>
  <c r="Q194" i="15"/>
  <c r="P209" i="15"/>
  <c r="I396" i="15"/>
  <c r="H396" i="15" s="1"/>
  <c r="H376" i="15"/>
  <c r="I83" i="15"/>
  <c r="I352" i="15"/>
  <c r="M184" i="15"/>
  <c r="Z450" i="15"/>
  <c r="Z477" i="15"/>
  <c r="Z424" i="15"/>
  <c r="AO445" i="15"/>
  <c r="AL418" i="15"/>
  <c r="AK408" i="15"/>
  <c r="AI438" i="15"/>
  <c r="P35" i="15"/>
  <c r="N403" i="15"/>
  <c r="AC430" i="15"/>
  <c r="H6" i="15"/>
  <c r="G13" i="15"/>
  <c r="AB411" i="15" s="1"/>
  <c r="I72" i="15"/>
  <c r="AC433" i="15"/>
  <c r="H96" i="15"/>
  <c r="G107" i="15"/>
  <c r="G104" i="15"/>
  <c r="H113" i="15"/>
  <c r="H116" i="15"/>
  <c r="H112" i="15"/>
  <c r="M96" i="15"/>
  <c r="M97" i="15" s="1"/>
  <c r="H114" i="15"/>
  <c r="H120" i="15"/>
  <c r="H115" i="15"/>
  <c r="N429" i="15"/>
  <c r="N436" i="15"/>
  <c r="N412" i="15"/>
  <c r="N420" i="15"/>
  <c r="N209" i="15"/>
  <c r="P396" i="15"/>
  <c r="Q398" i="15"/>
  <c r="AI465" i="15"/>
  <c r="N55" i="15"/>
  <c r="P134" i="15"/>
  <c r="N228" i="15"/>
  <c r="AH477" i="15"/>
  <c r="AI477" i="15" s="1"/>
  <c r="AN477" i="15"/>
  <c r="AH472" i="15"/>
  <c r="AI472" i="15" s="1"/>
  <c r="AN472" i="15"/>
  <c r="AO441" i="15"/>
  <c r="Z417" i="15"/>
  <c r="Y417" i="15" s="1"/>
  <c r="AH423" i="15"/>
  <c r="AN423" i="15"/>
  <c r="AO423" i="15" s="1"/>
  <c r="Y413" i="15"/>
  <c r="AH421" i="15"/>
  <c r="AN421" i="15"/>
  <c r="AO421" i="15" s="1"/>
  <c r="P36" i="15"/>
  <c r="N52" i="15"/>
  <c r="S54" i="15"/>
  <c r="Z478" i="15"/>
  <c r="AO440" i="15"/>
  <c r="Z480" i="15"/>
  <c r="AF418" i="15"/>
  <c r="AE408" i="15"/>
  <c r="AN408" i="15"/>
  <c r="AO408" i="15" s="1"/>
  <c r="AH408" i="15"/>
  <c r="AI408" i="15" s="1"/>
  <c r="AH427" i="15"/>
  <c r="AI427" i="15" s="1"/>
  <c r="AN427" i="15"/>
  <c r="AO427" i="15" s="1"/>
  <c r="Z416" i="15"/>
  <c r="Y416" i="15" s="1"/>
  <c r="AK409" i="15"/>
  <c r="AO417" i="15"/>
  <c r="AK417" i="15"/>
  <c r="E15" i="15"/>
  <c r="D24" i="15"/>
  <c r="E38" i="15" s="1"/>
  <c r="N32" i="15"/>
  <c r="AI446" i="15"/>
  <c r="E303" i="15"/>
  <c r="D308" i="15"/>
  <c r="K408" i="15"/>
  <c r="AN435" i="15"/>
  <c r="AO435" i="15" s="1"/>
  <c r="AH442" i="15"/>
  <c r="AN442" i="15"/>
  <c r="Y408" i="15"/>
  <c r="AF406" i="15"/>
  <c r="S27" i="15"/>
  <c r="L85" i="15"/>
  <c r="AN439" i="15"/>
  <c r="AH439" i="15"/>
  <c r="Y414" i="15"/>
  <c r="AI442" i="15"/>
  <c r="N154" i="15"/>
  <c r="S154" i="15"/>
  <c r="K154" i="15"/>
  <c r="AO470" i="15"/>
  <c r="AH475" i="15"/>
  <c r="AI475" i="15" s="1"/>
  <c r="AN475" i="15"/>
  <c r="AO428" i="15"/>
  <c r="AO412" i="15"/>
  <c r="AK412" i="15"/>
  <c r="AO433" i="15"/>
  <c r="AL451" i="15"/>
  <c r="AE410" i="15"/>
  <c r="AN410" i="15"/>
  <c r="AH410" i="15"/>
  <c r="AI410" i="15" s="1"/>
  <c r="AN409" i="15"/>
  <c r="AO409" i="15" s="1"/>
  <c r="AE409" i="15"/>
  <c r="AH409" i="15"/>
  <c r="E32" i="15"/>
  <c r="Z409" i="15"/>
  <c r="Y409" i="15" s="1"/>
  <c r="L232" i="15"/>
  <c r="N59" i="15"/>
  <c r="K74" i="15"/>
  <c r="S74" i="15"/>
  <c r="D107" i="15"/>
  <c r="E107" i="15" s="1"/>
  <c r="D104" i="15"/>
  <c r="E104" i="15" s="1"/>
  <c r="E96" i="15"/>
  <c r="E120" i="15"/>
  <c r="E113" i="15"/>
  <c r="E115" i="15"/>
  <c r="E112" i="15"/>
  <c r="E116" i="15"/>
  <c r="E118" i="15"/>
  <c r="E119" i="15"/>
  <c r="E117" i="15"/>
  <c r="E114" i="15"/>
  <c r="AC450" i="15"/>
  <c r="AI450" i="15" s="1"/>
  <c r="AN443" i="15"/>
  <c r="AO443" i="15" s="1"/>
  <c r="AH443" i="15"/>
  <c r="AI447" i="15"/>
  <c r="AH447" i="15"/>
  <c r="AN417" i="15"/>
  <c r="AE417" i="15"/>
  <c r="AI441" i="15"/>
  <c r="AK415" i="15"/>
  <c r="AO415" i="15"/>
  <c r="AH436" i="15"/>
  <c r="AI436" i="15" s="1"/>
  <c r="AN436" i="15"/>
  <c r="Y410" i="15"/>
  <c r="R13" i="15"/>
  <c r="R14" i="15" s="1"/>
  <c r="H38" i="15"/>
  <c r="F54" i="15"/>
  <c r="E54" i="15" s="1"/>
  <c r="Z420" i="15"/>
  <c r="Z432" i="15" s="1"/>
  <c r="I13" i="15"/>
  <c r="G31" i="15" s="1"/>
  <c r="N6" i="15"/>
  <c r="N13" i="15" s="1"/>
  <c r="H152" i="15"/>
  <c r="N121" i="15"/>
  <c r="K308" i="15"/>
  <c r="M308" i="15"/>
  <c r="J313" i="15"/>
  <c r="R313" i="15" s="1"/>
  <c r="G308" i="15"/>
  <c r="H303" i="15"/>
  <c r="L398" i="15"/>
  <c r="AH465" i="15"/>
  <c r="S72" i="15"/>
  <c r="K409" i="15"/>
  <c r="AH473" i="15"/>
  <c r="AI473" i="15" s="1"/>
  <c r="AN473" i="15"/>
  <c r="AH471" i="15"/>
  <c r="AI471" i="15" s="1"/>
  <c r="AN471" i="15"/>
  <c r="AN434" i="15"/>
  <c r="AO434" i="15" s="1"/>
  <c r="AH434" i="15"/>
  <c r="AI434" i="15" s="1"/>
  <c r="AO436" i="15"/>
  <c r="AK410" i="15"/>
  <c r="AO410" i="15"/>
  <c r="AI421" i="15"/>
  <c r="Z449" i="15"/>
  <c r="AN412" i="15"/>
  <c r="AE412" i="15"/>
  <c r="AH412" i="15"/>
  <c r="AC416" i="15"/>
  <c r="AH416" i="15" s="1"/>
  <c r="N39" i="15"/>
  <c r="K54" i="15"/>
  <c r="AN478" i="15"/>
  <c r="AH478" i="15"/>
  <c r="AI478" i="15" s="1"/>
  <c r="AI443" i="15"/>
  <c r="AN450" i="15"/>
  <c r="AH450" i="15"/>
  <c r="AO422" i="15"/>
  <c r="AN411" i="15"/>
  <c r="AO411" i="15" s="1"/>
  <c r="AE411" i="15"/>
  <c r="AH411" i="15"/>
  <c r="AI411" i="15" s="1"/>
  <c r="AO438" i="15"/>
  <c r="M7" i="15"/>
  <c r="M13" i="15" s="1"/>
  <c r="G24" i="15"/>
  <c r="H39" i="15" s="1"/>
  <c r="H15" i="15"/>
  <c r="N38" i="15"/>
  <c r="AI422" i="15"/>
  <c r="N50" i="15"/>
  <c r="S82" i="15"/>
  <c r="S83" i="15" s="1"/>
  <c r="N82" i="15"/>
  <c r="AF479" i="15"/>
  <c r="AF480" i="15" s="1"/>
  <c r="N418" i="15"/>
  <c r="E121" i="15"/>
  <c r="F154" i="15"/>
  <c r="E154" i="15" s="1"/>
  <c r="H117" i="15"/>
  <c r="F352" i="15"/>
  <c r="N376" i="15"/>
  <c r="F398" i="15"/>
  <c r="AH446" i="15"/>
  <c r="E348" i="15"/>
  <c r="F396" i="15"/>
  <c r="E396" i="15" s="1"/>
  <c r="AK413" i="15"/>
  <c r="AH435" i="15"/>
  <c r="AI435" i="15" s="1"/>
  <c r="I185" i="15"/>
  <c r="AB416" i="6" l="1"/>
  <c r="AI416" i="6"/>
  <c r="N398" i="6"/>
  <c r="S398" i="6"/>
  <c r="D313" i="6"/>
  <c r="E308" i="6"/>
  <c r="AC406" i="6"/>
  <c r="H27" i="6"/>
  <c r="H54" i="6"/>
  <c r="AH448" i="6"/>
  <c r="AH451" i="6" s="1"/>
  <c r="AI451" i="6" s="1"/>
  <c r="E41" i="6"/>
  <c r="F74" i="6"/>
  <c r="P313" i="6"/>
  <c r="R313" i="6"/>
  <c r="AL405" i="6"/>
  <c r="AC451" i="6"/>
  <c r="S232" i="6"/>
  <c r="AC432" i="6"/>
  <c r="AL467" i="6"/>
  <c r="AO418" i="6"/>
  <c r="K24" i="6"/>
  <c r="M24" i="6"/>
  <c r="K33" i="6"/>
  <c r="V32" i="6"/>
  <c r="V34" i="6" s="1"/>
  <c r="K32" i="6"/>
  <c r="K37" i="6"/>
  <c r="K31" i="6"/>
  <c r="K35" i="6"/>
  <c r="K36" i="6"/>
  <c r="K34" i="6"/>
  <c r="R27" i="6"/>
  <c r="R28" i="6" s="1"/>
  <c r="M27" i="6"/>
  <c r="M28" i="6" s="1"/>
  <c r="K27" i="6"/>
  <c r="H350" i="6"/>
  <c r="I352" i="6"/>
  <c r="AM408" i="6"/>
  <c r="Q352" i="6"/>
  <c r="P329" i="6"/>
  <c r="P348" i="6"/>
  <c r="H154" i="6"/>
  <c r="N154" i="6"/>
  <c r="AG414" i="6"/>
  <c r="AM414" i="6"/>
  <c r="AH416" i="6"/>
  <c r="R193" i="6"/>
  <c r="M193" i="6"/>
  <c r="AI417" i="6"/>
  <c r="AB417" i="6"/>
  <c r="AG417" i="6" s="1"/>
  <c r="AI495" i="6"/>
  <c r="AH495" i="6"/>
  <c r="N396" i="6"/>
  <c r="Q85" i="6"/>
  <c r="AG409" i="6"/>
  <c r="AM409" i="6"/>
  <c r="AH478" i="6"/>
  <c r="AM417" i="6"/>
  <c r="AH426" i="6"/>
  <c r="S82" i="6"/>
  <c r="S83" i="6" s="1"/>
  <c r="N82" i="6"/>
  <c r="N83" i="6" s="1"/>
  <c r="AF479" i="6"/>
  <c r="L83" i="6"/>
  <c r="L352" i="6"/>
  <c r="S313" i="6"/>
  <c r="S314" i="6" s="1"/>
  <c r="N313" i="6"/>
  <c r="N314" i="6" s="1"/>
  <c r="K348" i="6"/>
  <c r="K329" i="6"/>
  <c r="AB415" i="6"/>
  <c r="AI415" i="6"/>
  <c r="S164" i="6"/>
  <c r="N164" i="6"/>
  <c r="P350" i="6"/>
  <c r="AM412" i="6"/>
  <c r="AG412" i="6"/>
  <c r="E154" i="6"/>
  <c r="F164" i="6"/>
  <c r="AI462" i="6"/>
  <c r="AC465" i="6"/>
  <c r="AL406" i="6"/>
  <c r="AH476" i="6"/>
  <c r="AH425" i="6"/>
  <c r="AH462" i="6"/>
  <c r="AH465" i="6" s="1"/>
  <c r="AH431" i="6"/>
  <c r="N350" i="6"/>
  <c r="AN451" i="6"/>
  <c r="AO451" i="6" s="1"/>
  <c r="AO433" i="6"/>
  <c r="AF406" i="6"/>
  <c r="L85" i="6"/>
  <c r="N27" i="6"/>
  <c r="S27" i="6"/>
  <c r="K54" i="6"/>
  <c r="K72" i="6"/>
  <c r="K41" i="6"/>
  <c r="Z418" i="6"/>
  <c r="Y408" i="6"/>
  <c r="AC480" i="6"/>
  <c r="AA480" i="6" s="1"/>
  <c r="I232" i="6"/>
  <c r="N232" i="6" s="1"/>
  <c r="I194" i="6"/>
  <c r="H209" i="6"/>
  <c r="AN432" i="6"/>
  <c r="AO432" i="6" s="1"/>
  <c r="AD432" i="6"/>
  <c r="AH432" i="6"/>
  <c r="AI432" i="6" s="1"/>
  <c r="AM410" i="6"/>
  <c r="AG410" i="6"/>
  <c r="H41" i="6"/>
  <c r="I74" i="6"/>
  <c r="N41" i="6"/>
  <c r="K313" i="6"/>
  <c r="I398" i="6"/>
  <c r="H308" i="6"/>
  <c r="G313" i="6"/>
  <c r="M313" i="6" s="1"/>
  <c r="AC418" i="6"/>
  <c r="AI408" i="6"/>
  <c r="AB408" i="6"/>
  <c r="AG408" i="6" s="1"/>
  <c r="AF467" i="6"/>
  <c r="AD418" i="6"/>
  <c r="AN418" i="6"/>
  <c r="AH418" i="6"/>
  <c r="AI418" i="6" s="1"/>
  <c r="J407" i="6"/>
  <c r="I410" i="6"/>
  <c r="AG416" i="6"/>
  <c r="AM416" i="6"/>
  <c r="AM411" i="6"/>
  <c r="AG411" i="6"/>
  <c r="AH494" i="6"/>
  <c r="F232" i="6"/>
  <c r="F194" i="6"/>
  <c r="E228" i="6"/>
  <c r="S74" i="6"/>
  <c r="AG415" i="6"/>
  <c r="AM415" i="6"/>
  <c r="H230" i="6"/>
  <c r="S164" i="5"/>
  <c r="S398" i="5"/>
  <c r="I232" i="5"/>
  <c r="P24" i="5"/>
  <c r="P32" i="5"/>
  <c r="P35" i="5"/>
  <c r="P31" i="5"/>
  <c r="P36" i="5"/>
  <c r="P37" i="5"/>
  <c r="P34" i="5"/>
  <c r="P33" i="5"/>
  <c r="AL406" i="5"/>
  <c r="Q85" i="5"/>
  <c r="AG410" i="5"/>
  <c r="AC451" i="5"/>
  <c r="AH433" i="5"/>
  <c r="AH451" i="5" s="1"/>
  <c r="AI451" i="5" s="1"/>
  <c r="AM417" i="5"/>
  <c r="AG409" i="5"/>
  <c r="AM409" i="5"/>
  <c r="Z451" i="5"/>
  <c r="X451" i="5" s="1"/>
  <c r="AH450" i="5"/>
  <c r="P27" i="5"/>
  <c r="J410" i="5"/>
  <c r="J406" i="5"/>
  <c r="J408" i="5"/>
  <c r="J409" i="5"/>
  <c r="AI416" i="5"/>
  <c r="AB416" i="5"/>
  <c r="P41" i="5"/>
  <c r="H154" i="5"/>
  <c r="I164" i="5"/>
  <c r="N164" i="5" s="1"/>
  <c r="AM413" i="5"/>
  <c r="AG413" i="5"/>
  <c r="N232" i="5"/>
  <c r="S232" i="5"/>
  <c r="AI430" i="5"/>
  <c r="F288" i="5"/>
  <c r="J407" i="5"/>
  <c r="AM411" i="5"/>
  <c r="AG411" i="5"/>
  <c r="D313" i="5"/>
  <c r="E308" i="5"/>
  <c r="E54" i="5"/>
  <c r="F74" i="5"/>
  <c r="P313" i="5"/>
  <c r="R313" i="5"/>
  <c r="AL405" i="5"/>
  <c r="AN451" i="5"/>
  <c r="AO451" i="5" s="1"/>
  <c r="AD432" i="5"/>
  <c r="AN432" i="5"/>
  <c r="AG414" i="5"/>
  <c r="AC406" i="5"/>
  <c r="AA480" i="5" s="1"/>
  <c r="G313" i="5"/>
  <c r="H308" i="5"/>
  <c r="K37" i="5"/>
  <c r="K24" i="5"/>
  <c r="K36" i="5"/>
  <c r="K31" i="5"/>
  <c r="K35" i="5"/>
  <c r="K34" i="5"/>
  <c r="K32" i="5"/>
  <c r="K33" i="5"/>
  <c r="D27" i="5"/>
  <c r="E27" i="5" s="1"/>
  <c r="E13" i="5"/>
  <c r="D24" i="5"/>
  <c r="J405" i="5"/>
  <c r="O405" i="5" s="1"/>
  <c r="P405" i="5" s="1"/>
  <c r="Q405" i="5" s="1"/>
  <c r="AH425" i="5"/>
  <c r="AB415" i="5"/>
  <c r="AI415" i="5"/>
  <c r="AO432" i="5"/>
  <c r="AM412" i="5"/>
  <c r="AG412" i="5"/>
  <c r="AH428" i="5"/>
  <c r="AI428" i="5" s="1"/>
  <c r="R193" i="5"/>
  <c r="M193" i="5"/>
  <c r="F398" i="5"/>
  <c r="N230" i="5"/>
  <c r="M13" i="5"/>
  <c r="O404" i="5"/>
  <c r="O401" i="5"/>
  <c r="N439" i="5"/>
  <c r="N418" i="5"/>
  <c r="N433" i="5"/>
  <c r="AF467" i="5"/>
  <c r="AH418" i="5"/>
  <c r="AI418" i="5" s="1"/>
  <c r="AN418" i="5"/>
  <c r="AH448" i="5"/>
  <c r="P54" i="5"/>
  <c r="Y408" i="5"/>
  <c r="AC432" i="5"/>
  <c r="AA432" i="5" s="1"/>
  <c r="AH420" i="5"/>
  <c r="AI420" i="5" s="1"/>
  <c r="AI417" i="5"/>
  <c r="AB417" i="5"/>
  <c r="AG417" i="5" s="1"/>
  <c r="H350" i="5"/>
  <c r="I352" i="5"/>
  <c r="N82" i="5"/>
  <c r="N83" i="5" s="1"/>
  <c r="S82" i="5"/>
  <c r="S83" i="5" s="1"/>
  <c r="AF479" i="5"/>
  <c r="L83" i="5"/>
  <c r="Y414" i="5"/>
  <c r="AM414" i="5" s="1"/>
  <c r="AI429" i="5"/>
  <c r="AL467" i="5"/>
  <c r="AO418" i="5"/>
  <c r="AH424" i="5"/>
  <c r="M308" i="5"/>
  <c r="AF406" i="5"/>
  <c r="AD418" i="5" s="1"/>
  <c r="L85" i="5"/>
  <c r="S27" i="5"/>
  <c r="S85" i="5" s="1"/>
  <c r="N27" i="5"/>
  <c r="K41" i="5"/>
  <c r="H286" i="5"/>
  <c r="N286" i="5"/>
  <c r="I288" i="5"/>
  <c r="N288" i="5" s="1"/>
  <c r="Y410" i="5"/>
  <c r="AM410" i="5" s="1"/>
  <c r="AM415" i="5"/>
  <c r="AG415" i="5"/>
  <c r="AC418" i="5"/>
  <c r="Z418" i="5"/>
  <c r="L352" i="5"/>
  <c r="S313" i="5"/>
  <c r="S314" i="5" s="1"/>
  <c r="N313" i="5"/>
  <c r="N314" i="5" s="1"/>
  <c r="K348" i="5"/>
  <c r="K329" i="5"/>
  <c r="AM416" i="5"/>
  <c r="AG416" i="5"/>
  <c r="K27" i="5"/>
  <c r="R27" i="5"/>
  <c r="R28" i="5" s="1"/>
  <c r="N396" i="5"/>
  <c r="AD451" i="5"/>
  <c r="AH449" i="5"/>
  <c r="P74" i="5"/>
  <c r="H13" i="5"/>
  <c r="G27" i="5"/>
  <c r="H27" i="5" s="1"/>
  <c r="V19" i="5"/>
  <c r="X19" i="5" s="1"/>
  <c r="M14" i="5"/>
  <c r="G24" i="5"/>
  <c r="M24" i="5" s="1"/>
  <c r="K313" i="5"/>
  <c r="AM408" i="5"/>
  <c r="X20" i="5"/>
  <c r="AF405" i="5"/>
  <c r="I398" i="5"/>
  <c r="N398" i="5" s="1"/>
  <c r="F232" i="5"/>
  <c r="F194" i="5"/>
  <c r="E209" i="5"/>
  <c r="Z432" i="5"/>
  <c r="X432" i="5" s="1"/>
  <c r="AB408" i="5"/>
  <c r="AG408" i="5" s="1"/>
  <c r="I74" i="5"/>
  <c r="I85" i="5" s="1"/>
  <c r="E230" i="5"/>
  <c r="AD480" i="15"/>
  <c r="AH480" i="15"/>
  <c r="AI480" i="15" s="1"/>
  <c r="AN480" i="15"/>
  <c r="AM412" i="15"/>
  <c r="S398" i="15"/>
  <c r="AM417" i="15"/>
  <c r="S232" i="15"/>
  <c r="AM409" i="15"/>
  <c r="AM410" i="15"/>
  <c r="H104" i="15"/>
  <c r="M104" i="15"/>
  <c r="R193" i="15"/>
  <c r="M193" i="15"/>
  <c r="AJ451" i="15"/>
  <c r="AJ465" i="15"/>
  <c r="AJ432" i="15"/>
  <c r="AJ418" i="15"/>
  <c r="K24" i="15"/>
  <c r="K31" i="15"/>
  <c r="M24" i="15"/>
  <c r="K36" i="15"/>
  <c r="K37" i="15"/>
  <c r="K33" i="15"/>
  <c r="K34" i="15"/>
  <c r="K32" i="15"/>
  <c r="K35" i="15"/>
  <c r="O408" i="15"/>
  <c r="Q408" i="15" s="1"/>
  <c r="S408" i="15" s="1"/>
  <c r="O407" i="15"/>
  <c r="Q407" i="15" s="1"/>
  <c r="S407" i="15" s="1"/>
  <c r="O406" i="15"/>
  <c r="O410" i="15"/>
  <c r="P410" i="15" s="1"/>
  <c r="Q410" i="15" s="1"/>
  <c r="Z451" i="15"/>
  <c r="AB410" i="15"/>
  <c r="AG410" i="15" s="1"/>
  <c r="O418" i="15"/>
  <c r="P418" i="15" s="1"/>
  <c r="Q418" i="15" s="1"/>
  <c r="O412" i="15"/>
  <c r="Q412" i="15" s="1"/>
  <c r="S412" i="15" s="1"/>
  <c r="O413" i="15"/>
  <c r="Q413" i="15" s="1"/>
  <c r="S413" i="15" s="1"/>
  <c r="O411" i="15"/>
  <c r="Q352" i="15"/>
  <c r="P329" i="15"/>
  <c r="P350" i="15"/>
  <c r="P348" i="15"/>
  <c r="E39" i="15"/>
  <c r="H286" i="15"/>
  <c r="N286" i="15"/>
  <c r="I288" i="15"/>
  <c r="N288" i="15" s="1"/>
  <c r="N230" i="15"/>
  <c r="AI420" i="15"/>
  <c r="AC432" i="15"/>
  <c r="AI417" i="15"/>
  <c r="AB417" i="15"/>
  <c r="AG417" i="15" s="1"/>
  <c r="O430" i="15"/>
  <c r="Q430" i="15" s="1"/>
  <c r="S430" i="15" s="1"/>
  <c r="O428" i="15"/>
  <c r="O433" i="15"/>
  <c r="P433" i="15" s="1"/>
  <c r="Q433" i="15" s="1"/>
  <c r="O429" i="15"/>
  <c r="Q429" i="15" s="1"/>
  <c r="S429" i="15" s="1"/>
  <c r="W19" i="15"/>
  <c r="N14" i="15"/>
  <c r="I27" i="15"/>
  <c r="H72" i="15" s="1"/>
  <c r="Z418" i="15"/>
  <c r="O420" i="15"/>
  <c r="Q420" i="15" s="1"/>
  <c r="S420" i="15" s="1"/>
  <c r="O423" i="15"/>
  <c r="P423" i="15" s="1"/>
  <c r="Q423" i="15" s="1"/>
  <c r="O421" i="15"/>
  <c r="Q421" i="15" s="1"/>
  <c r="S421" i="15" s="1"/>
  <c r="O419" i="15"/>
  <c r="AF405" i="15"/>
  <c r="H107" i="15"/>
  <c r="M107" i="15"/>
  <c r="M108" i="15" s="1"/>
  <c r="G27" i="15"/>
  <c r="H27" i="15" s="1"/>
  <c r="M14" i="15"/>
  <c r="V19" i="15"/>
  <c r="H13" i="15"/>
  <c r="AB413" i="15"/>
  <c r="AB414" i="15"/>
  <c r="AI409" i="15"/>
  <c r="AB409" i="15"/>
  <c r="AG409" i="15" s="1"/>
  <c r="AD451" i="15"/>
  <c r="AB408" i="15"/>
  <c r="AG408" i="15" s="1"/>
  <c r="AI428" i="15"/>
  <c r="E35" i="15"/>
  <c r="N405" i="15"/>
  <c r="P405" i="15"/>
  <c r="Q405" i="15" s="1"/>
  <c r="E72" i="15"/>
  <c r="AH448" i="15"/>
  <c r="AM416" i="15"/>
  <c r="I232" i="15"/>
  <c r="N232" i="15" s="1"/>
  <c r="H54" i="15"/>
  <c r="AI416" i="15"/>
  <c r="AB416" i="15"/>
  <c r="AG416" i="15" s="1"/>
  <c r="AH417" i="15"/>
  <c r="S85" i="15"/>
  <c r="D313" i="15"/>
  <c r="E308" i="15"/>
  <c r="AM408" i="15"/>
  <c r="AL467" i="15"/>
  <c r="F164" i="15"/>
  <c r="I74" i="15"/>
  <c r="H41" i="15"/>
  <c r="N41" i="15"/>
  <c r="AN451" i="15"/>
  <c r="AO451" i="15" s="1"/>
  <c r="AO480" i="15"/>
  <c r="AB412" i="15"/>
  <c r="AG412" i="15" s="1"/>
  <c r="AI412" i="15"/>
  <c r="N404" i="15"/>
  <c r="O404" i="15" s="1"/>
  <c r="AG414" i="15"/>
  <c r="AM414" i="15"/>
  <c r="S28" i="15"/>
  <c r="O403" i="15"/>
  <c r="O401" i="15"/>
  <c r="N439" i="15"/>
  <c r="O402" i="15"/>
  <c r="N423" i="15"/>
  <c r="N433" i="15"/>
  <c r="AH426" i="15"/>
  <c r="Z406" i="15"/>
  <c r="AH424" i="15"/>
  <c r="I398" i="15"/>
  <c r="N398" i="15" s="1"/>
  <c r="AM415" i="15"/>
  <c r="N350" i="15"/>
  <c r="N396" i="15"/>
  <c r="E41" i="15"/>
  <c r="H308" i="15"/>
  <c r="G313" i="15"/>
  <c r="AH479" i="15"/>
  <c r="AI479" i="15" s="1"/>
  <c r="AN479" i="15"/>
  <c r="AO479" i="15" s="1"/>
  <c r="H24" i="15"/>
  <c r="H31" i="15"/>
  <c r="H34" i="15"/>
  <c r="H40" i="15"/>
  <c r="H37" i="15"/>
  <c r="H33" i="15"/>
  <c r="H36" i="15"/>
  <c r="AG411" i="15"/>
  <c r="AM411" i="15"/>
  <c r="M313" i="15"/>
  <c r="K313" i="15"/>
  <c r="AN406" i="15"/>
  <c r="AO406" i="15" s="1"/>
  <c r="AD465" i="15"/>
  <c r="E37" i="15"/>
  <c r="E24" i="15"/>
  <c r="E36" i="15"/>
  <c r="E40" i="15"/>
  <c r="E34" i="15"/>
  <c r="E33" i="15"/>
  <c r="E31" i="15"/>
  <c r="AF467" i="15"/>
  <c r="AD418" i="15"/>
  <c r="AN418" i="15"/>
  <c r="AO418" i="15" s="1"/>
  <c r="N72" i="15"/>
  <c r="AC451" i="15"/>
  <c r="AI430" i="15"/>
  <c r="L352" i="15"/>
  <c r="N313" i="15"/>
  <c r="N314" i="15" s="1"/>
  <c r="S313" i="15"/>
  <c r="S314" i="15" s="1"/>
  <c r="K329" i="15"/>
  <c r="K348" i="15"/>
  <c r="AI415" i="15"/>
  <c r="AB415" i="15"/>
  <c r="AG415" i="15" s="1"/>
  <c r="AH433" i="15"/>
  <c r="AH451" i="15" s="1"/>
  <c r="AI451" i="15" s="1"/>
  <c r="H35" i="15"/>
  <c r="AC418" i="15"/>
  <c r="AH418" i="15" s="1"/>
  <c r="AI418" i="15" s="1"/>
  <c r="N54" i="15"/>
  <c r="AG413" i="15"/>
  <c r="AM413" i="15"/>
  <c r="AD432" i="15"/>
  <c r="AH432" i="15"/>
  <c r="AI432" i="15" s="1"/>
  <c r="AN432" i="15"/>
  <c r="AO432" i="15" s="1"/>
  <c r="AH476" i="15"/>
  <c r="AI476" i="15" s="1"/>
  <c r="K27" i="15"/>
  <c r="R27" i="15"/>
  <c r="R28" i="15" s="1"/>
  <c r="M27" i="15"/>
  <c r="M28" i="15" s="1"/>
  <c r="N410" i="15"/>
  <c r="K350" i="15"/>
  <c r="P313" i="15"/>
  <c r="F232" i="15"/>
  <c r="F194" i="15"/>
  <c r="E228" i="15"/>
  <c r="E13" i="15"/>
  <c r="D27" i="15"/>
  <c r="E27" i="15" s="1"/>
  <c r="F74" i="15"/>
  <c r="E74" i="15" s="1"/>
  <c r="AD467" i="6" l="1"/>
  <c r="AN467" i="6"/>
  <c r="N85" i="6"/>
  <c r="N28" i="6"/>
  <c r="AH406" i="6"/>
  <c r="AI406" i="6" s="1"/>
  <c r="AN406" i="6"/>
  <c r="AJ467" i="6"/>
  <c r="AJ465" i="6"/>
  <c r="AL482" i="6"/>
  <c r="AJ451" i="6"/>
  <c r="AJ418" i="6"/>
  <c r="AJ432" i="6"/>
  <c r="AO406" i="6"/>
  <c r="N352" i="6"/>
  <c r="S352" i="6"/>
  <c r="AD465" i="6"/>
  <c r="AO467" i="6"/>
  <c r="AA451" i="6"/>
  <c r="E74" i="6"/>
  <c r="F85" i="6"/>
  <c r="O418" i="6"/>
  <c r="P418" i="6" s="1"/>
  <c r="Q418" i="6" s="1"/>
  <c r="O411" i="6"/>
  <c r="O412" i="6"/>
  <c r="Q412" i="6" s="1"/>
  <c r="S412" i="6" s="1"/>
  <c r="O413" i="6"/>
  <c r="Q413" i="6" s="1"/>
  <c r="S413" i="6" s="1"/>
  <c r="H313" i="6"/>
  <c r="AC405" i="6"/>
  <c r="J410" i="6"/>
  <c r="J409" i="6"/>
  <c r="J406" i="6"/>
  <c r="J405" i="6"/>
  <c r="O405" i="6" s="1"/>
  <c r="J408" i="6"/>
  <c r="AC467" i="6"/>
  <c r="AA467" i="6" s="1"/>
  <c r="AA418" i="6"/>
  <c r="H74" i="6"/>
  <c r="N74" i="6"/>
  <c r="Z467" i="6"/>
  <c r="X418" i="6"/>
  <c r="S85" i="6"/>
  <c r="S28" i="6"/>
  <c r="AI465" i="6"/>
  <c r="AA465" i="6"/>
  <c r="AA432" i="6"/>
  <c r="AK482" i="6"/>
  <c r="E313" i="6"/>
  <c r="Z405" i="6"/>
  <c r="AN479" i="6"/>
  <c r="AO479" i="6" s="1"/>
  <c r="AH479" i="6"/>
  <c r="AI479" i="6" s="1"/>
  <c r="AF480" i="6"/>
  <c r="AF482" i="6" s="1"/>
  <c r="AD451" i="6"/>
  <c r="I85" i="6"/>
  <c r="H313" i="5"/>
  <c r="AC405" i="5"/>
  <c r="O418" i="5"/>
  <c r="P418" i="5" s="1"/>
  <c r="Q418" i="5" s="1"/>
  <c r="O412" i="5"/>
  <c r="Q412" i="5" s="1"/>
  <c r="S412" i="5" s="1"/>
  <c r="O413" i="5"/>
  <c r="Q413" i="5" s="1"/>
  <c r="S413" i="5" s="1"/>
  <c r="O411" i="5"/>
  <c r="M313" i="5"/>
  <c r="N352" i="5"/>
  <c r="S352" i="5"/>
  <c r="O402" i="5"/>
  <c r="E313" i="5"/>
  <c r="Z405" i="5"/>
  <c r="O430" i="5"/>
  <c r="Q430" i="5" s="1"/>
  <c r="S430" i="5" s="1"/>
  <c r="O428" i="5"/>
  <c r="O429" i="5"/>
  <c r="Q429" i="5" s="1"/>
  <c r="S429" i="5" s="1"/>
  <c r="O433" i="5"/>
  <c r="P433" i="5" s="1"/>
  <c r="Q433" i="5" s="1"/>
  <c r="AI433" i="5"/>
  <c r="AL482" i="5"/>
  <c r="AJ467" i="5"/>
  <c r="AJ465" i="5"/>
  <c r="AJ451" i="5"/>
  <c r="AJ432" i="5"/>
  <c r="AJ418" i="5"/>
  <c r="AO406" i="5"/>
  <c r="AN479" i="5"/>
  <c r="AO479" i="5" s="1"/>
  <c r="AH479" i="5"/>
  <c r="AI479" i="5" s="1"/>
  <c r="AF480" i="5"/>
  <c r="AD467" i="5"/>
  <c r="AN467" i="5"/>
  <c r="Q401" i="5"/>
  <c r="AA465" i="5"/>
  <c r="AH432" i="5"/>
  <c r="AI432" i="5" s="1"/>
  <c r="E74" i="5"/>
  <c r="F85" i="5"/>
  <c r="O423" i="5"/>
  <c r="P423" i="5" s="1"/>
  <c r="Q423" i="5" s="1"/>
  <c r="O419" i="5"/>
  <c r="O421" i="5"/>
  <c r="Q421" i="5" s="1"/>
  <c r="S421" i="5" s="1"/>
  <c r="O420" i="5"/>
  <c r="Q420" i="5" s="1"/>
  <c r="S420" i="5" s="1"/>
  <c r="AA451" i="5"/>
  <c r="H74" i="5"/>
  <c r="N74" i="5"/>
  <c r="M27" i="5"/>
  <c r="M28" i="5" s="1"/>
  <c r="Z467" i="5"/>
  <c r="X418" i="5"/>
  <c r="AF482" i="5"/>
  <c r="AH406" i="5"/>
  <c r="AI406" i="5" s="1"/>
  <c r="AN406" i="5"/>
  <c r="AD465" i="5"/>
  <c r="AO467" i="5"/>
  <c r="H24" i="5"/>
  <c r="H40" i="5"/>
  <c r="H35" i="5"/>
  <c r="H39" i="5"/>
  <c r="H36" i="5"/>
  <c r="H37" i="5"/>
  <c r="H38" i="5"/>
  <c r="H32" i="5"/>
  <c r="H34" i="5"/>
  <c r="H31" i="5"/>
  <c r="H33" i="5"/>
  <c r="AC467" i="5"/>
  <c r="AA467" i="5" s="1"/>
  <c r="AA418" i="5"/>
  <c r="N28" i="5"/>
  <c r="N85" i="5"/>
  <c r="O403" i="5"/>
  <c r="E39" i="5"/>
  <c r="E37" i="5"/>
  <c r="E24" i="5"/>
  <c r="E40" i="5"/>
  <c r="E36" i="5"/>
  <c r="E38" i="5"/>
  <c r="E32" i="5"/>
  <c r="E34" i="5"/>
  <c r="E31" i="5"/>
  <c r="E35" i="5"/>
  <c r="E33" i="5"/>
  <c r="AK482" i="5"/>
  <c r="O408" i="5"/>
  <c r="Q408" i="5" s="1"/>
  <c r="S408" i="5" s="1"/>
  <c r="O407" i="5"/>
  <c r="Q407" i="5" s="1"/>
  <c r="S407" i="5" s="1"/>
  <c r="O406" i="5"/>
  <c r="O435" i="5" s="1"/>
  <c r="O410" i="5"/>
  <c r="P410" i="5" s="1"/>
  <c r="Q410" i="5" s="1"/>
  <c r="S28" i="5"/>
  <c r="H313" i="15"/>
  <c r="AC405" i="15"/>
  <c r="E313" i="15"/>
  <c r="Z405" i="15"/>
  <c r="Q428" i="15"/>
  <c r="O432" i="15"/>
  <c r="Q411" i="15"/>
  <c r="S411" i="15" s="1"/>
  <c r="O414" i="15"/>
  <c r="Q414" i="15" s="1"/>
  <c r="AI433" i="15"/>
  <c r="F85" i="15"/>
  <c r="Q401" i="15"/>
  <c r="O435" i="15"/>
  <c r="H74" i="15"/>
  <c r="N74" i="15"/>
  <c r="O422" i="15"/>
  <c r="Q419" i="15"/>
  <c r="Z467" i="15"/>
  <c r="X467" i="15" s="1"/>
  <c r="X418" i="15"/>
  <c r="X19" i="15"/>
  <c r="X451" i="15"/>
  <c r="AL482" i="15"/>
  <c r="S352" i="15"/>
  <c r="N352" i="15"/>
  <c r="AD467" i="15"/>
  <c r="AN467" i="15"/>
  <c r="AO467" i="15" s="1"/>
  <c r="AH467" i="15"/>
  <c r="AI467" i="15" s="1"/>
  <c r="AC467" i="15"/>
  <c r="AF482" i="15"/>
  <c r="X465" i="15"/>
  <c r="Q402" i="15"/>
  <c r="O436" i="15"/>
  <c r="O437" i="15"/>
  <c r="Q403" i="15"/>
  <c r="X432" i="15"/>
  <c r="AC406" i="15"/>
  <c r="I85" i="15"/>
  <c r="N27" i="15"/>
  <c r="Q406" i="15"/>
  <c r="O409" i="15"/>
  <c r="AJ467" i="15"/>
  <c r="X480" i="15"/>
  <c r="AE482" i="6" l="1"/>
  <c r="AN482" i="6"/>
  <c r="AF488" i="6"/>
  <c r="O433" i="6"/>
  <c r="P433" i="6" s="1"/>
  <c r="Q433" i="6" s="1"/>
  <c r="O428" i="6"/>
  <c r="O430" i="6"/>
  <c r="Q430" i="6" s="1"/>
  <c r="S430" i="6" s="1"/>
  <c r="O429" i="6"/>
  <c r="Q429" i="6" s="1"/>
  <c r="S429" i="6" s="1"/>
  <c r="AH467" i="6"/>
  <c r="AI467" i="6" s="1"/>
  <c r="O408" i="6"/>
  <c r="Q408" i="6" s="1"/>
  <c r="S408" i="6" s="1"/>
  <c r="O407" i="6"/>
  <c r="Q407" i="6" s="1"/>
  <c r="S407" i="6" s="1"/>
  <c r="O406" i="6"/>
  <c r="O410" i="6"/>
  <c r="P410" i="6" s="1"/>
  <c r="Q410" i="6" s="1"/>
  <c r="AL488" i="6"/>
  <c r="AO482" i="6"/>
  <c r="O421" i="6"/>
  <c r="Q421" i="6" s="1"/>
  <c r="S421" i="6" s="1"/>
  <c r="O419" i="6"/>
  <c r="O423" i="6"/>
  <c r="P423" i="6" s="1"/>
  <c r="Q423" i="6" s="1"/>
  <c r="O420" i="6"/>
  <c r="Q420" i="6" s="1"/>
  <c r="S420" i="6" s="1"/>
  <c r="AC482" i="6"/>
  <c r="X467" i="6"/>
  <c r="Z482" i="6"/>
  <c r="AN480" i="6"/>
  <c r="AO480" i="6" s="1"/>
  <c r="AH480" i="6"/>
  <c r="AI480" i="6" s="1"/>
  <c r="AD480" i="6"/>
  <c r="P405" i="6"/>
  <c r="Q405" i="6" s="1"/>
  <c r="O401" i="6"/>
  <c r="O402" i="6"/>
  <c r="O404" i="6"/>
  <c r="O403" i="6"/>
  <c r="O414" i="6"/>
  <c r="Q414" i="6" s="1"/>
  <c r="Q411" i="6"/>
  <c r="S411" i="6" s="1"/>
  <c r="S401" i="5"/>
  <c r="O422" i="5"/>
  <c r="Q419" i="5"/>
  <c r="AD480" i="5"/>
  <c r="AH480" i="5"/>
  <c r="AI480" i="5" s="1"/>
  <c r="AN480" i="5"/>
  <c r="AO480" i="5" s="1"/>
  <c r="AF488" i="5"/>
  <c r="AE482" i="5"/>
  <c r="AN482" i="5"/>
  <c r="AO482" i="5" s="1"/>
  <c r="X467" i="5"/>
  <c r="Z482" i="5"/>
  <c r="AL488" i="5"/>
  <c r="Q428" i="5"/>
  <c r="O432" i="5"/>
  <c r="O436" i="5"/>
  <c r="O438" i="5" s="1"/>
  <c r="Q402" i="5"/>
  <c r="O414" i="5"/>
  <c r="Q414" i="5" s="1"/>
  <c r="Q411" i="5"/>
  <c r="S411" i="5" s="1"/>
  <c r="O437" i="5"/>
  <c r="Q403" i="5"/>
  <c r="Q404" i="5" s="1"/>
  <c r="O409" i="5"/>
  <c r="Q406" i="5"/>
  <c r="Q435" i="5" s="1"/>
  <c r="AC482" i="5"/>
  <c r="AH467" i="5"/>
  <c r="AI467" i="5" s="1"/>
  <c r="AF488" i="15"/>
  <c r="AE482" i="15"/>
  <c r="AN482" i="15"/>
  <c r="AO482" i="15" s="1"/>
  <c r="AL488" i="15"/>
  <c r="AK482" i="15"/>
  <c r="AC482" i="15"/>
  <c r="AA465" i="15"/>
  <c r="AH406" i="15"/>
  <c r="AI406" i="15" s="1"/>
  <c r="AA480" i="15"/>
  <c r="AA432" i="15"/>
  <c r="Q409" i="15"/>
  <c r="S406" i="15"/>
  <c r="Q436" i="15"/>
  <c r="S402" i="15"/>
  <c r="AA451" i="15"/>
  <c r="N85" i="15"/>
  <c r="N28" i="15"/>
  <c r="Q437" i="15"/>
  <c r="S403" i="15"/>
  <c r="AA418" i="15"/>
  <c r="Q422" i="15"/>
  <c r="S419" i="15"/>
  <c r="O438" i="15"/>
  <c r="Q431" i="15"/>
  <c r="S428" i="15"/>
  <c r="Q432" i="15"/>
  <c r="Z482" i="15"/>
  <c r="AA467" i="15"/>
  <c r="Q435" i="15"/>
  <c r="Q404" i="15"/>
  <c r="S401" i="15"/>
  <c r="O436" i="6" l="1"/>
  <c r="Q402" i="6"/>
  <c r="AB482" i="6"/>
  <c r="AC488" i="6"/>
  <c r="AE488" i="6"/>
  <c r="AF497" i="6"/>
  <c r="AN488" i="6"/>
  <c r="AH488" i="6"/>
  <c r="AI488" i="6" s="1"/>
  <c r="AH482" i="6"/>
  <c r="AI482" i="6" s="1"/>
  <c r="O437" i="6"/>
  <c r="Q403" i="6"/>
  <c r="Y482" i="6"/>
  <c r="Z488" i="6"/>
  <c r="AL497" i="6"/>
  <c r="AO488" i="6"/>
  <c r="AK488" i="6"/>
  <c r="Q428" i="6"/>
  <c r="O432" i="6"/>
  <c r="O409" i="6"/>
  <c r="Q406" i="6"/>
  <c r="Q401" i="6"/>
  <c r="O435" i="6"/>
  <c r="O438" i="6" s="1"/>
  <c r="O422" i="6"/>
  <c r="Q419" i="6"/>
  <c r="Z488" i="5"/>
  <c r="Y482" i="5"/>
  <c r="AB482" i="5"/>
  <c r="AC488" i="5"/>
  <c r="Q431" i="5"/>
  <c r="S428" i="5"/>
  <c r="Q432" i="5"/>
  <c r="AE488" i="5"/>
  <c r="AN488" i="5"/>
  <c r="AH488" i="5"/>
  <c r="AI488" i="5" s="1"/>
  <c r="AF497" i="5"/>
  <c r="Q422" i="5"/>
  <c r="S419" i="5"/>
  <c r="AL497" i="5"/>
  <c r="AO488" i="5"/>
  <c r="AK488" i="5"/>
  <c r="S406" i="5"/>
  <c r="Q409" i="5"/>
  <c r="Q437" i="5"/>
  <c r="S403" i="5"/>
  <c r="Q436" i="5"/>
  <c r="Q438" i="5" s="1"/>
  <c r="S402" i="5"/>
  <c r="AH482" i="5"/>
  <c r="AI482" i="5" s="1"/>
  <c r="Q438" i="15"/>
  <c r="AC488" i="15"/>
  <c r="AB482" i="15"/>
  <c r="AH482" i="15"/>
  <c r="AI482" i="15" s="1"/>
  <c r="Z488" i="15"/>
  <c r="Y482" i="15"/>
  <c r="AO488" i="15"/>
  <c r="AL497" i="15"/>
  <c r="AK488" i="15"/>
  <c r="AE488" i="15"/>
  <c r="AH488" i="15"/>
  <c r="AI488" i="15" s="1"/>
  <c r="AF497" i="15"/>
  <c r="AN488" i="15"/>
  <c r="S419" i="6" l="1"/>
  <c r="Q422" i="6"/>
  <c r="S406" i="6"/>
  <c r="Q409" i="6"/>
  <c r="AC497" i="6"/>
  <c r="AB488" i="6"/>
  <c r="Q437" i="6"/>
  <c r="S403" i="6"/>
  <c r="AL501" i="6"/>
  <c r="AK497" i="6"/>
  <c r="AE497" i="6"/>
  <c r="AF501" i="6"/>
  <c r="AN497" i="6"/>
  <c r="AO497" i="6" s="1"/>
  <c r="AH497" i="6"/>
  <c r="AI497" i="6" s="1"/>
  <c r="Q436" i="6"/>
  <c r="S402" i="6"/>
  <c r="Q404" i="6"/>
  <c r="S401" i="6"/>
  <c r="Q435" i="6"/>
  <c r="Q438" i="6" s="1"/>
  <c r="Q432" i="6"/>
  <c r="Q431" i="6"/>
  <c r="S428" i="6"/>
  <c r="Y488" i="6"/>
  <c r="Z497" i="6"/>
  <c r="AL501" i="5"/>
  <c r="AK497" i="5"/>
  <c r="Y488" i="5"/>
  <c r="Z497" i="5"/>
  <c r="AE497" i="5"/>
  <c r="AF501" i="5"/>
  <c r="AN497" i="5"/>
  <c r="AO497" i="5" s="1"/>
  <c r="AC497" i="5"/>
  <c r="AB488" i="5"/>
  <c r="AE497" i="15"/>
  <c r="AF501" i="15"/>
  <c r="AN497" i="15"/>
  <c r="AO497" i="15" s="1"/>
  <c r="AL501" i="15"/>
  <c r="AK497" i="15"/>
  <c r="AC497" i="15"/>
  <c r="AB488" i="15"/>
  <c r="Y488" i="15"/>
  <c r="Z497" i="15"/>
  <c r="Y497" i="6" l="1"/>
  <c r="Z501" i="6"/>
  <c r="AC501" i="6"/>
  <c r="AB497" i="6"/>
  <c r="AC501" i="5"/>
  <c r="AB497" i="5"/>
  <c r="AH497" i="5"/>
  <c r="AI497" i="5" s="1"/>
  <c r="Y497" i="5"/>
  <c r="Z501" i="5"/>
  <c r="AC501" i="15"/>
  <c r="AB497" i="15"/>
  <c r="AH497" i="15"/>
  <c r="AI497" i="15" s="1"/>
  <c r="Y497" i="15"/>
  <c r="Z501" i="15"/>
  <c r="Z419" i="1" l="1"/>
  <c r="AC419" i="1"/>
  <c r="Z425" i="1" l="1"/>
  <c r="Z448" i="1"/>
  <c r="Z436" i="1"/>
  <c r="Z429" i="1"/>
  <c r="Z439" i="1"/>
  <c r="Z444" i="1"/>
  <c r="Z447" i="1"/>
  <c r="AC436" i="1"/>
  <c r="Z434" i="1"/>
  <c r="Z441" i="1"/>
  <c r="Z427" i="1"/>
  <c r="Z423" i="1"/>
  <c r="Z435" i="1"/>
  <c r="Z442" i="1"/>
  <c r="Z421" i="1"/>
  <c r="Z445" i="1"/>
  <c r="AF419" i="1"/>
  <c r="Z449" i="1" l="1"/>
  <c r="Z424" i="1"/>
  <c r="AC412" i="1"/>
  <c r="Z426" i="1"/>
  <c r="AC410" i="1"/>
  <c r="Z450" i="1"/>
  <c r="AC430" i="1"/>
  <c r="Z446" i="1"/>
  <c r="Z430" i="1"/>
  <c r="AC445" i="1"/>
  <c r="Z428" i="1"/>
  <c r="Z437" i="1"/>
  <c r="Z440" i="1"/>
  <c r="Z443" i="1"/>
  <c r="AC411" i="1"/>
  <c r="Z433" i="1"/>
  <c r="Z438" i="1"/>
  <c r="Z422" i="1"/>
  <c r="AC449" i="1"/>
  <c r="Z408" i="1"/>
  <c r="AC414" i="1"/>
  <c r="AC446" i="1"/>
  <c r="AC437" i="1"/>
  <c r="AC444" i="1"/>
  <c r="AC450" i="1"/>
  <c r="Z412" i="1"/>
  <c r="AC438" i="1"/>
  <c r="AC413" i="1"/>
  <c r="AC440" i="1"/>
  <c r="AC421" i="1"/>
  <c r="AC426" i="1"/>
  <c r="AC435" i="1"/>
  <c r="AC448" i="1"/>
  <c r="AC434" i="1"/>
  <c r="AC427" i="1"/>
  <c r="AC408" i="1"/>
  <c r="AC423" i="1"/>
  <c r="AC428" i="1"/>
  <c r="Z414" i="1"/>
  <c r="AC443" i="1"/>
  <c r="Z411" i="1"/>
  <c r="AC447" i="1"/>
  <c r="AC433" i="1"/>
  <c r="AC439" i="1"/>
  <c r="AC429" i="1"/>
  <c r="AC44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C425" i="1" l="1"/>
  <c r="AC422" i="1"/>
  <c r="AC424" i="1"/>
  <c r="Z420" i="1"/>
  <c r="AC420" i="1"/>
  <c r="Z409" i="1"/>
  <c r="AC409" i="1"/>
  <c r="Z413" i="1"/>
  <c r="AC442" i="1"/>
  <c r="AC451" i="1"/>
  <c r="AF420" i="1"/>
  <c r="AF435" i="1"/>
  <c r="AF408" i="1"/>
  <c r="AF440" i="1"/>
  <c r="AF422" i="1"/>
  <c r="AF414" i="1"/>
  <c r="G240" i="1" l="1"/>
  <c r="W240" i="1" s="1"/>
  <c r="D240" i="1"/>
  <c r="V240" i="1" s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Q310" i="1"/>
  <c r="O310" i="1"/>
  <c r="L310" i="1"/>
  <c r="J310" i="1"/>
  <c r="I310" i="1"/>
  <c r="G310" i="1"/>
  <c r="F310" i="1"/>
  <c r="D310" i="1"/>
  <c r="E310" i="1" l="1"/>
  <c r="S310" i="1"/>
  <c r="P310" i="1"/>
  <c r="M310" i="1"/>
  <c r="H310" i="1"/>
  <c r="K310" i="1"/>
  <c r="N310" i="1"/>
  <c r="R310" i="1" l="1"/>
  <c r="AL496" i="1" l="1"/>
  <c r="AL495" i="1"/>
  <c r="AL494" i="1"/>
  <c r="AL493" i="1"/>
  <c r="AL492" i="1"/>
  <c r="AL491" i="1"/>
  <c r="AL490" i="1"/>
  <c r="AF496" i="1"/>
  <c r="AF495" i="1"/>
  <c r="AF494" i="1"/>
  <c r="AF493" i="1"/>
  <c r="AF492" i="1"/>
  <c r="AF491" i="1"/>
  <c r="AF490" i="1"/>
  <c r="AF489" i="1"/>
  <c r="AC496" i="1"/>
  <c r="AC495" i="1"/>
  <c r="AC494" i="1"/>
  <c r="AC493" i="1"/>
  <c r="AC492" i="1"/>
  <c r="AC491" i="1"/>
  <c r="AC490" i="1"/>
  <c r="Z496" i="1"/>
  <c r="Z495" i="1"/>
  <c r="Z494" i="1"/>
  <c r="Z493" i="1"/>
  <c r="Z492" i="1"/>
  <c r="Z491" i="1"/>
  <c r="Z490" i="1"/>
  <c r="AL468" i="1"/>
  <c r="AF468" i="1"/>
  <c r="AC468" i="1"/>
  <c r="Z468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Q302" i="1"/>
  <c r="O302" i="1"/>
  <c r="P302" i="1" s="1"/>
  <c r="Q301" i="1"/>
  <c r="O301" i="1"/>
  <c r="P301" i="1" s="1"/>
  <c r="Q300" i="1"/>
  <c r="O300" i="1"/>
  <c r="P300" i="1" s="1"/>
  <c r="Q299" i="1"/>
  <c r="O299" i="1"/>
  <c r="Q298" i="1"/>
  <c r="O298" i="1"/>
  <c r="Q297" i="1"/>
  <c r="O297" i="1"/>
  <c r="Q296" i="1"/>
  <c r="O296" i="1"/>
  <c r="Q295" i="1"/>
  <c r="O295" i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K300" i="1" s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P246" i="1"/>
  <c r="O246" i="1"/>
  <c r="Y246" i="1" s="1"/>
  <c r="Q243" i="1"/>
  <c r="P243" i="1"/>
  <c r="O243" i="1"/>
  <c r="Y243" i="1" s="1"/>
  <c r="Q240" i="1"/>
  <c r="P240" i="1"/>
  <c r="O240" i="1"/>
  <c r="Y240" i="1" s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X246" i="1" s="1"/>
  <c r="L243" i="1"/>
  <c r="K243" i="1"/>
  <c r="J243" i="1"/>
  <c r="X243" i="1" s="1"/>
  <c r="L240" i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Y180" i="1" s="1"/>
  <c r="Q177" i="1"/>
  <c r="P177" i="1"/>
  <c r="O177" i="1"/>
  <c r="Y177" i="1" s="1"/>
  <c r="Q174" i="1"/>
  <c r="P174" i="1"/>
  <c r="O174" i="1"/>
  <c r="Y174" i="1" s="1"/>
  <c r="Q171" i="1"/>
  <c r="P171" i="1"/>
  <c r="O171" i="1"/>
  <c r="Y171" i="1" s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Q175" i="1" l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93" i="1" s="1"/>
  <c r="L181" i="1"/>
  <c r="Q265" i="1"/>
  <c r="P265" i="1" s="1"/>
  <c r="L303" i="1"/>
  <c r="L308" i="1" s="1"/>
  <c r="L313" i="1" s="1"/>
  <c r="H359" i="1"/>
  <c r="I394" i="1"/>
  <c r="H394" i="1" s="1"/>
  <c r="K359" i="1"/>
  <c r="Q376" i="1"/>
  <c r="P376" i="1" s="1"/>
  <c r="I184" i="1"/>
  <c r="I193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K193" i="1" s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X99" i="1" s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H98" i="1" l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Q83" i="1"/>
  <c r="J308" i="1"/>
  <c r="J313" i="1" s="1"/>
  <c r="K313" i="1" s="1"/>
  <c r="K94" i="1"/>
  <c r="K329" i="1"/>
  <c r="P284" i="1"/>
  <c r="E99" i="1"/>
  <c r="I194" i="1"/>
  <c r="K376" i="1"/>
  <c r="Q250" i="1"/>
  <c r="P361" i="1"/>
  <c r="O308" i="1"/>
  <c r="O313" i="1" s="1"/>
  <c r="P303" i="1"/>
  <c r="G308" i="1"/>
  <c r="G313" i="1" s="1"/>
  <c r="H303" i="1"/>
  <c r="I250" i="1"/>
  <c r="H284" i="1"/>
  <c r="Q193" i="1"/>
  <c r="Q185" i="1"/>
  <c r="L185" i="1"/>
  <c r="L194" i="1"/>
  <c r="K209" i="1"/>
  <c r="H209" i="1"/>
  <c r="I185" i="1"/>
  <c r="N98" i="1"/>
  <c r="M98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Y17" i="1" s="1"/>
  <c r="L17" i="1"/>
  <c r="J17" i="1"/>
  <c r="X17" i="1" s="1"/>
  <c r="I17" i="1"/>
  <c r="G17" i="1"/>
  <c r="W17" i="1" s="1"/>
  <c r="F17" i="1"/>
  <c r="D17" i="1"/>
  <c r="V17" i="1" s="1"/>
  <c r="Q15" i="1"/>
  <c r="O15" i="1"/>
  <c r="L15" i="1"/>
  <c r="J15" i="1"/>
  <c r="I15" i="1"/>
  <c r="G15" i="1"/>
  <c r="W15" i="1" s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Y15" i="1" l="1"/>
  <c r="V15" i="1"/>
  <c r="X15" i="1"/>
  <c r="L398" i="1"/>
  <c r="I398" i="1"/>
  <c r="H286" i="1"/>
  <c r="P286" i="1"/>
  <c r="K308" i="1"/>
  <c r="Q398" i="1"/>
  <c r="Q352" i="1"/>
  <c r="P313" i="1"/>
  <c r="P308" i="1"/>
  <c r="H313" i="1"/>
  <c r="H308" i="1"/>
  <c r="Q194" i="1"/>
  <c r="P209" i="1"/>
  <c r="AL476" i="1" l="1"/>
  <c r="AF476" i="1"/>
  <c r="AL471" i="1" l="1"/>
  <c r="Z476" i="1"/>
  <c r="AC476" i="1" l="1"/>
  <c r="AF477" i="1" l="1"/>
  <c r="AC479" i="1"/>
  <c r="AL479" i="1"/>
  <c r="AC469" i="1"/>
  <c r="AC475" i="1"/>
  <c r="AL426" i="1" l="1"/>
  <c r="Z470" i="1"/>
  <c r="AL472" i="1"/>
  <c r="AL423" i="1"/>
  <c r="AL430" i="1"/>
  <c r="AL428" i="1"/>
  <c r="AF473" i="1"/>
  <c r="AL431" i="1"/>
  <c r="Z473" i="1"/>
  <c r="AF475" i="1"/>
  <c r="Z471" i="1"/>
  <c r="AL429" i="1"/>
  <c r="AC470" i="1"/>
  <c r="AF469" i="1"/>
  <c r="AF471" i="1"/>
  <c r="Z475" i="1"/>
  <c r="AC473" i="1"/>
  <c r="AF431" i="1"/>
  <c r="AF470" i="1"/>
  <c r="Z474" i="1"/>
  <c r="AL470" i="1"/>
  <c r="AF472" i="1"/>
  <c r="Z479" i="1"/>
  <c r="AL427" i="1"/>
  <c r="AC471" i="1"/>
  <c r="AL469" i="1"/>
  <c r="AC472" i="1"/>
  <c r="AC474" i="1"/>
  <c r="AL420" i="1"/>
  <c r="Z472" i="1"/>
  <c r="AF474" i="1"/>
  <c r="AL421" i="1"/>
  <c r="AL473" i="1"/>
  <c r="AL474" i="1"/>
  <c r="AF478" i="1"/>
  <c r="Z469" i="1"/>
  <c r="AL422" i="1"/>
  <c r="AL475" i="1" l="1"/>
  <c r="AL478" i="1"/>
  <c r="AL425" i="1"/>
  <c r="AL477" i="1"/>
  <c r="AL424" i="1"/>
  <c r="Z478" i="1"/>
  <c r="Z431" i="1"/>
  <c r="AC431" i="1"/>
  <c r="O13" i="2"/>
  <c r="O10" i="2" l="1"/>
  <c r="AC478" i="1"/>
  <c r="Z481" i="1"/>
  <c r="Z477" i="1"/>
  <c r="AC477" i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Z483" i="1"/>
  <c r="H13" i="2"/>
  <c r="Q13" i="2"/>
  <c r="M13" i="2"/>
  <c r="H10" i="2" l="1"/>
  <c r="Q10" i="2"/>
  <c r="I13" i="2"/>
  <c r="E13" i="2"/>
  <c r="S1" i="1"/>
  <c r="A498" i="1"/>
  <c r="A497" i="1"/>
  <c r="AO496" i="1"/>
  <c r="AN496" i="1"/>
  <c r="A496" i="1"/>
  <c r="AO495" i="1"/>
  <c r="AH495" i="1"/>
  <c r="AI495" i="1"/>
  <c r="A495" i="1"/>
  <c r="AN494" i="1"/>
  <c r="A494" i="1"/>
  <c r="AH493" i="1"/>
  <c r="A493" i="1"/>
  <c r="A492" i="1"/>
  <c r="AH492" i="1" s="1"/>
  <c r="AH491" i="1"/>
  <c r="A491" i="1"/>
  <c r="AN490" i="1"/>
  <c r="AO490" i="1" s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N476" i="1"/>
  <c r="AO476" i="1" s="1"/>
  <c r="A476" i="1"/>
  <c r="A475" i="1"/>
  <c r="A474" i="1"/>
  <c r="A473" i="1"/>
  <c r="A472" i="1"/>
  <c r="A471" i="1"/>
  <c r="AN470" i="1"/>
  <c r="AO470" i="1" s="1"/>
  <c r="A470" i="1"/>
  <c r="A469" i="1"/>
  <c r="AN468" i="1"/>
  <c r="AO468" i="1" s="1"/>
  <c r="A468" i="1"/>
  <c r="A467" i="1"/>
  <c r="AO466" i="1"/>
  <c r="AN466" i="1"/>
  <c r="AH466" i="1"/>
  <c r="A466" i="1"/>
  <c r="A465" i="1"/>
  <c r="A464" i="1"/>
  <c r="A463" i="1"/>
  <c r="A462" i="1"/>
  <c r="A461" i="1"/>
  <c r="AN460" i="1"/>
  <c r="A460" i="1"/>
  <c r="AN459" i="1"/>
  <c r="A459" i="1"/>
  <c r="AN458" i="1"/>
  <c r="AO458" i="1" s="1"/>
  <c r="A458" i="1"/>
  <c r="AH457" i="1"/>
  <c r="A457" i="1"/>
  <c r="AN456" i="1"/>
  <c r="AO456" i="1" s="1"/>
  <c r="A456" i="1"/>
  <c r="A455" i="1"/>
  <c r="AN454" i="1"/>
  <c r="AO454" i="1" s="1"/>
  <c r="A454" i="1"/>
  <c r="AH453" i="1"/>
  <c r="AI453" i="1" s="1"/>
  <c r="AN453" i="1"/>
  <c r="AO453" i="1" s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N419" i="1"/>
  <c r="AO419" i="1" s="1"/>
  <c r="A419" i="1"/>
  <c r="AH419" i="1" s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N351" i="1"/>
  <c r="S347" i="1"/>
  <c r="N347" i="1"/>
  <c r="A347" i="1"/>
  <c r="S346" i="1"/>
  <c r="A346" i="1"/>
  <c r="S345" i="1"/>
  <c r="N345" i="1"/>
  <c r="A345" i="1"/>
  <c r="A344" i="1"/>
  <c r="S343" i="1"/>
  <c r="A343" i="1"/>
  <c r="S342" i="1"/>
  <c r="N342" i="1"/>
  <c r="A342" i="1"/>
  <c r="N341" i="1"/>
  <c r="S341" i="1"/>
  <c r="A341" i="1"/>
  <c r="S340" i="1"/>
  <c r="A340" i="1"/>
  <c r="S339" i="1"/>
  <c r="N339" i="1"/>
  <c r="A339" i="1"/>
  <c r="S338" i="1"/>
  <c r="N338" i="1"/>
  <c r="A338" i="1"/>
  <c r="A337" i="1"/>
  <c r="S336" i="1"/>
  <c r="N336" i="1"/>
  <c r="A336" i="1"/>
  <c r="N335" i="1"/>
  <c r="S335" i="1"/>
  <c r="A335" i="1"/>
  <c r="S334" i="1"/>
  <c r="A334" i="1"/>
  <c r="S333" i="1"/>
  <c r="N333" i="1"/>
  <c r="A333" i="1"/>
  <c r="S332" i="1"/>
  <c r="A332" i="1"/>
  <c r="N332" i="1" s="1"/>
  <c r="A331" i="1"/>
  <c r="S330" i="1"/>
  <c r="N330" i="1"/>
  <c r="A330" i="1"/>
  <c r="A329" i="1"/>
  <c r="S328" i="1"/>
  <c r="A328" i="1"/>
  <c r="N328" i="1" s="1"/>
  <c r="N327" i="1"/>
  <c r="A327" i="1"/>
  <c r="S326" i="1"/>
  <c r="N326" i="1"/>
  <c r="A326" i="1"/>
  <c r="S325" i="1"/>
  <c r="A325" i="1"/>
  <c r="S324" i="1"/>
  <c r="A324" i="1"/>
  <c r="S323" i="1"/>
  <c r="A323" i="1"/>
  <c r="N323" i="1" s="1"/>
  <c r="S322" i="1"/>
  <c r="A322" i="1"/>
  <c r="S321" i="1"/>
  <c r="N321" i="1"/>
  <c r="A321" i="1"/>
  <c r="S320" i="1"/>
  <c r="A320" i="1"/>
  <c r="N320" i="1" s="1"/>
  <c r="N319" i="1"/>
  <c r="A319" i="1"/>
  <c r="S318" i="1"/>
  <c r="N318" i="1"/>
  <c r="A318" i="1"/>
  <c r="A317" i="1"/>
  <c r="A316" i="1"/>
  <c r="A315" i="1"/>
  <c r="A314" i="1"/>
  <c r="A313" i="1"/>
  <c r="A312" i="1"/>
  <c r="S311" i="1"/>
  <c r="R311" i="1" s="1"/>
  <c r="M311" i="1"/>
  <c r="E311" i="1"/>
  <c r="A311" i="1"/>
  <c r="A310" i="1"/>
  <c r="A309" i="1"/>
  <c r="A308" i="1"/>
  <c r="R307" i="1"/>
  <c r="E307" i="1"/>
  <c r="A307" i="1"/>
  <c r="A306" i="1"/>
  <c r="A305" i="1"/>
  <c r="A304" i="1"/>
  <c r="A303" i="1"/>
  <c r="S302" i="1"/>
  <c r="R302" i="1"/>
  <c r="N302" i="1"/>
  <c r="E302" i="1"/>
  <c r="A302" i="1"/>
  <c r="A301" i="1"/>
  <c r="A300" i="1"/>
  <c r="E299" i="1"/>
  <c r="A299" i="1"/>
  <c r="M298" i="1"/>
  <c r="E298" i="1"/>
  <c r="A298" i="1"/>
  <c r="R297" i="1"/>
  <c r="A297" i="1"/>
  <c r="R296" i="1"/>
  <c r="E296" i="1"/>
  <c r="A296" i="1"/>
  <c r="A295" i="1"/>
  <c r="A294" i="1"/>
  <c r="A293" i="1"/>
  <c r="N287" i="1"/>
  <c r="S283" i="1"/>
  <c r="A283" i="1"/>
  <c r="N282" i="1"/>
  <c r="A282" i="1"/>
  <c r="S281" i="1"/>
  <c r="A281" i="1"/>
  <c r="A280" i="1"/>
  <c r="S279" i="1"/>
  <c r="N279" i="1"/>
  <c r="A279" i="1"/>
  <c r="S278" i="1"/>
  <c r="A278" i="1"/>
  <c r="S277" i="1"/>
  <c r="N277" i="1"/>
  <c r="A277" i="1"/>
  <c r="S276" i="1"/>
  <c r="N276" i="1"/>
  <c r="A276" i="1"/>
  <c r="S275" i="1"/>
  <c r="A275" i="1"/>
  <c r="N274" i="1"/>
  <c r="A274" i="1"/>
  <c r="S273" i="1"/>
  <c r="A273" i="1"/>
  <c r="A272" i="1"/>
  <c r="S271" i="1"/>
  <c r="N271" i="1"/>
  <c r="A271" i="1"/>
  <c r="S270" i="1"/>
  <c r="N270" i="1"/>
  <c r="A270" i="1"/>
  <c r="A269" i="1"/>
  <c r="N268" i="1"/>
  <c r="A268" i="1"/>
  <c r="S267" i="1"/>
  <c r="A267" i="1"/>
  <c r="A266" i="1"/>
  <c r="A265" i="1"/>
  <c r="N264" i="1"/>
  <c r="A264" i="1"/>
  <c r="S263" i="1"/>
  <c r="A263" i="1"/>
  <c r="A262" i="1"/>
  <c r="S261" i="1"/>
  <c r="N261" i="1"/>
  <c r="A261" i="1"/>
  <c r="S260" i="1"/>
  <c r="A260" i="1"/>
  <c r="S259" i="1"/>
  <c r="A259" i="1"/>
  <c r="S258" i="1"/>
  <c r="A258" i="1"/>
  <c r="S257" i="1"/>
  <c r="N257" i="1"/>
  <c r="A257" i="1"/>
  <c r="A256" i="1"/>
  <c r="S255" i="1"/>
  <c r="A255" i="1"/>
  <c r="A254" i="1"/>
  <c r="L265" i="1"/>
  <c r="A253" i="1"/>
  <c r="A252" i="1"/>
  <c r="A251" i="1"/>
  <c r="A250" i="1"/>
  <c r="A249" i="1"/>
  <c r="A248" i="1"/>
  <c r="F247" i="1"/>
  <c r="A247" i="1"/>
  <c r="R246" i="1"/>
  <c r="N246" i="1"/>
  <c r="N247" i="1" s="1"/>
  <c r="L247" i="1"/>
  <c r="A246" i="1"/>
  <c r="A245" i="1"/>
  <c r="A244" i="1"/>
  <c r="R243" i="1"/>
  <c r="M243" i="1"/>
  <c r="K249" i="1"/>
  <c r="A243" i="1"/>
  <c r="A242" i="1"/>
  <c r="A241" i="1"/>
  <c r="R240" i="1"/>
  <c r="M240" i="1"/>
  <c r="A240" i="1"/>
  <c r="A239" i="1"/>
  <c r="A238" i="1"/>
  <c r="S227" i="1"/>
  <c r="A227" i="1"/>
  <c r="N227" i="1" s="1"/>
  <c r="S226" i="1"/>
  <c r="S225" i="1"/>
  <c r="A225" i="1"/>
  <c r="A224" i="1"/>
  <c r="S223" i="1"/>
  <c r="A223" i="1"/>
  <c r="S222" i="1"/>
  <c r="N222" i="1"/>
  <c r="A222" i="1"/>
  <c r="N221" i="1"/>
  <c r="A221" i="1"/>
  <c r="S220" i="1"/>
  <c r="A220" i="1"/>
  <c r="N220" i="1" s="1"/>
  <c r="S219" i="1"/>
  <c r="A219" i="1"/>
  <c r="S218" i="1"/>
  <c r="N218" i="1"/>
  <c r="A218" i="1"/>
  <c r="S217" i="1"/>
  <c r="A217" i="1"/>
  <c r="S216" i="1"/>
  <c r="N216" i="1"/>
  <c r="A216" i="1"/>
  <c r="N215" i="1"/>
  <c r="A215" i="1"/>
  <c r="S214" i="1"/>
  <c r="A214" i="1"/>
  <c r="S213" i="1"/>
  <c r="A213" i="1"/>
  <c r="S212" i="1"/>
  <c r="N212" i="1"/>
  <c r="A212" i="1"/>
  <c r="A211" i="1"/>
  <c r="S210" i="1"/>
  <c r="N210" i="1"/>
  <c r="A210" i="1"/>
  <c r="A209" i="1"/>
  <c r="S208" i="1"/>
  <c r="N208" i="1"/>
  <c r="A208" i="1"/>
  <c r="S207" i="1"/>
  <c r="A207" i="1"/>
  <c r="S206" i="1"/>
  <c r="N206" i="1"/>
  <c r="A206" i="1"/>
  <c r="A205" i="1"/>
  <c r="S204" i="1"/>
  <c r="N204" i="1"/>
  <c r="A204" i="1"/>
  <c r="N203" i="1"/>
  <c r="A203" i="1"/>
  <c r="S202" i="1"/>
  <c r="A202" i="1"/>
  <c r="S201" i="1"/>
  <c r="A201" i="1"/>
  <c r="S200" i="1"/>
  <c r="N200" i="1"/>
  <c r="A200" i="1"/>
  <c r="A199" i="1"/>
  <c r="S198" i="1"/>
  <c r="N198" i="1"/>
  <c r="A198" i="1"/>
  <c r="S197" i="1"/>
  <c r="A197" i="1"/>
  <c r="A196" i="1"/>
  <c r="A195" i="1"/>
  <c r="A194" i="1"/>
  <c r="A193" i="1"/>
  <c r="A192" i="1"/>
  <c r="A191" i="1"/>
  <c r="F191" i="1"/>
  <c r="A190" i="1"/>
  <c r="A189" i="1"/>
  <c r="A188" i="1"/>
  <c r="R187" i="1"/>
  <c r="A187" i="1"/>
  <c r="A186" i="1"/>
  <c r="A185" i="1"/>
  <c r="A184" i="1"/>
  <c r="S183" i="1"/>
  <c r="A183" i="1"/>
  <c r="A182" i="1"/>
  <c r="M181" i="1"/>
  <c r="A181" i="1"/>
  <c r="R180" i="1"/>
  <c r="A180" i="1"/>
  <c r="A179" i="1"/>
  <c r="R178" i="1"/>
  <c r="A178" i="1"/>
  <c r="R177" i="1"/>
  <c r="F178" i="1"/>
  <c r="A177" i="1"/>
  <c r="A176" i="1"/>
  <c r="A175" i="1"/>
  <c r="R174" i="1"/>
  <c r="A174" i="1"/>
  <c r="E173" i="1"/>
  <c r="A173" i="1"/>
  <c r="A172" i="1"/>
  <c r="R171" i="1"/>
  <c r="A171" i="1"/>
  <c r="A170" i="1"/>
  <c r="L162" i="1"/>
  <c r="A161" i="1"/>
  <c r="S160" i="1"/>
  <c r="A160" i="1"/>
  <c r="N159" i="1"/>
  <c r="A159" i="1"/>
  <c r="S158" i="1"/>
  <c r="A158" i="1"/>
  <c r="S157" i="1"/>
  <c r="A157" i="1"/>
  <c r="S156" i="1"/>
  <c r="N156" i="1"/>
  <c r="A156" i="1"/>
  <c r="Q162" i="1"/>
  <c r="A155" i="1"/>
  <c r="A154" i="1"/>
  <c r="A153" i="1"/>
  <c r="A152" i="1"/>
  <c r="A151" i="1"/>
  <c r="S150" i="1"/>
  <c r="N150" i="1"/>
  <c r="A150" i="1"/>
  <c r="S149" i="1"/>
  <c r="N149" i="1"/>
  <c r="A149" i="1"/>
  <c r="A148" i="1"/>
  <c r="A147" i="1"/>
  <c r="S146" i="1"/>
  <c r="A146" i="1"/>
  <c r="A145" i="1"/>
  <c r="S144" i="1"/>
  <c r="N144" i="1"/>
  <c r="A144" i="1"/>
  <c r="S143" i="1"/>
  <c r="A143" i="1"/>
  <c r="S142" i="1"/>
  <c r="A142" i="1"/>
  <c r="N141" i="1"/>
  <c r="A141" i="1"/>
  <c r="S140" i="1"/>
  <c r="N140" i="1"/>
  <c r="A140" i="1"/>
  <c r="S139" i="1"/>
  <c r="A139" i="1"/>
  <c r="S138" i="1"/>
  <c r="A138" i="1"/>
  <c r="N137" i="1"/>
  <c r="A137" i="1"/>
  <c r="S136" i="1"/>
  <c r="N136" i="1"/>
  <c r="A136" i="1"/>
  <c r="Q152" i="1"/>
  <c r="A135" i="1"/>
  <c r="A134" i="1"/>
  <c r="S133" i="1"/>
  <c r="A133" i="1"/>
  <c r="S132" i="1"/>
  <c r="N132" i="1"/>
  <c r="A132" i="1"/>
  <c r="A131" i="1"/>
  <c r="A130" i="1"/>
  <c r="S129" i="1"/>
  <c r="A129" i="1"/>
  <c r="S128" i="1"/>
  <c r="N128" i="1"/>
  <c r="A128" i="1"/>
  <c r="A127" i="1"/>
  <c r="A126" i="1"/>
  <c r="S125" i="1"/>
  <c r="A125" i="1"/>
  <c r="S124" i="1"/>
  <c r="N124" i="1"/>
  <c r="A124" i="1"/>
  <c r="S123" i="1"/>
  <c r="A123" i="1"/>
  <c r="A122" i="1"/>
  <c r="A121" i="1"/>
  <c r="A120" i="1"/>
  <c r="A119" i="1"/>
  <c r="S118" i="1"/>
  <c r="A118" i="1"/>
  <c r="S117" i="1"/>
  <c r="A117" i="1"/>
  <c r="N117" i="1" s="1"/>
  <c r="S116" i="1"/>
  <c r="N116" i="1"/>
  <c r="A116" i="1"/>
  <c r="S115" i="1"/>
  <c r="N115" i="1"/>
  <c r="A115" i="1"/>
  <c r="S114" i="1"/>
  <c r="N114" i="1"/>
  <c r="A114" i="1"/>
  <c r="S113" i="1"/>
  <c r="A113" i="1"/>
  <c r="N112" i="1"/>
  <c r="S112" i="1"/>
  <c r="A112" i="1"/>
  <c r="Q121" i="1"/>
  <c r="A111" i="1"/>
  <c r="A110" i="1"/>
  <c r="A109" i="1"/>
  <c r="A108" i="1"/>
  <c r="A107" i="1"/>
  <c r="A106" i="1"/>
  <c r="A105" i="1"/>
  <c r="L104" i="1"/>
  <c r="A104" i="1"/>
  <c r="S103" i="1"/>
  <c r="E103" i="1"/>
  <c r="A103" i="1"/>
  <c r="H103" i="1" s="1"/>
  <c r="S102" i="1"/>
  <c r="A102" i="1"/>
  <c r="S101" i="1"/>
  <c r="H101" i="1"/>
  <c r="F104" i="1"/>
  <c r="E101" i="1"/>
  <c r="A101" i="1"/>
  <c r="A100" i="1"/>
  <c r="S99" i="1"/>
  <c r="R99" i="1"/>
  <c r="M99" i="1"/>
  <c r="A99" i="1"/>
  <c r="A98" i="1"/>
  <c r="H97" i="1"/>
  <c r="E97" i="1"/>
  <c r="A97" i="1"/>
  <c r="O96" i="1"/>
  <c r="O107" i="1" s="1"/>
  <c r="J96" i="1"/>
  <c r="J107" i="1" s="1"/>
  <c r="I96" i="1"/>
  <c r="A96" i="1"/>
  <c r="S95" i="1"/>
  <c r="R95" i="1"/>
  <c r="A95" i="1"/>
  <c r="S94" i="1"/>
  <c r="R94" i="1"/>
  <c r="Q96" i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N75" i="1"/>
  <c r="B75" i="1"/>
  <c r="A75" i="1" s="1"/>
  <c r="B74" i="1"/>
  <c r="A74" i="1" s="1"/>
  <c r="B73" i="1"/>
  <c r="A73" i="1" s="1"/>
  <c r="B72" i="1"/>
  <c r="A72" i="1"/>
  <c r="N71" i="1"/>
  <c r="B71" i="1"/>
  <c r="A71" i="1" s="1"/>
  <c r="N70" i="1"/>
  <c r="B70" i="1"/>
  <c r="A70" i="1" s="1"/>
  <c r="S69" i="1"/>
  <c r="B69" i="1"/>
  <c r="A69" i="1" s="1"/>
  <c r="B68" i="1"/>
  <c r="A68" i="1" s="1"/>
  <c r="N67" i="1"/>
  <c r="B67" i="1"/>
  <c r="A67" i="1"/>
  <c r="N66" i="1"/>
  <c r="S66" i="1"/>
  <c r="B66" i="1"/>
  <c r="A66" i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N40" i="1"/>
  <c r="B40" i="1"/>
  <c r="A40" i="1" s="1"/>
  <c r="K39" i="1"/>
  <c r="B39" i="1"/>
  <c r="S38" i="1"/>
  <c r="B38" i="1"/>
  <c r="A38" i="1"/>
  <c r="B37" i="1"/>
  <c r="A37" i="1" s="1"/>
  <c r="N37" i="1" s="1"/>
  <c r="B36" i="1"/>
  <c r="A36" i="1"/>
  <c r="B35" i="1"/>
  <c r="S34" i="1"/>
  <c r="B34" i="1"/>
  <c r="A34" i="1"/>
  <c r="N33" i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N21" i="1" s="1"/>
  <c r="B20" i="1"/>
  <c r="A20" i="1"/>
  <c r="R19" i="1"/>
  <c r="B19" i="1"/>
  <c r="B18" i="1"/>
  <c r="A18" i="1" s="1"/>
  <c r="R17" i="1"/>
  <c r="P17" i="1"/>
  <c r="N17" i="1"/>
  <c r="K17" i="1"/>
  <c r="M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A7" i="1"/>
  <c r="R6" i="1"/>
  <c r="K6" i="1"/>
  <c r="B6" i="1"/>
  <c r="A6" i="1" s="1"/>
  <c r="B5" i="1"/>
  <c r="A5" i="1" s="1"/>
  <c r="I10" i="2" l="1"/>
  <c r="L107" i="1"/>
  <c r="A21" i="1"/>
  <c r="J111" i="1"/>
  <c r="Y96" i="1"/>
  <c r="K114" i="1"/>
  <c r="X96" i="1"/>
  <c r="K22" i="1"/>
  <c r="R22" i="1" s="1"/>
  <c r="X13" i="1"/>
  <c r="A23" i="1"/>
  <c r="O24" i="1"/>
  <c r="Y13" i="1"/>
  <c r="A33" i="1"/>
  <c r="A15" i="1"/>
  <c r="S96" i="1"/>
  <c r="S97" i="1" s="1"/>
  <c r="E361" i="1"/>
  <c r="AI491" i="1"/>
  <c r="R96" i="1"/>
  <c r="R97" i="1" s="1"/>
  <c r="K96" i="1"/>
  <c r="K23" i="1"/>
  <c r="R23" i="1" s="1"/>
  <c r="K21" i="1"/>
  <c r="R21" i="1" s="1"/>
  <c r="R13" i="1"/>
  <c r="R14" i="1" s="1"/>
  <c r="P6" i="1"/>
  <c r="N10" i="1"/>
  <c r="S15" i="1"/>
  <c r="N48" i="1"/>
  <c r="H114" i="1"/>
  <c r="G104" i="1"/>
  <c r="W104" i="1" s="1"/>
  <c r="H116" i="1"/>
  <c r="H96" i="1"/>
  <c r="G107" i="1"/>
  <c r="W107" i="1" s="1"/>
  <c r="S7" i="1"/>
  <c r="M6" i="1"/>
  <c r="H6" i="1"/>
  <c r="N8" i="1"/>
  <c r="S8" i="1"/>
  <c r="N15" i="1"/>
  <c r="H22" i="1"/>
  <c r="N23" i="1"/>
  <c r="A32" i="1"/>
  <c r="S37" i="1"/>
  <c r="N38" i="1"/>
  <c r="A44" i="1"/>
  <c r="S45" i="1"/>
  <c r="N45" i="1"/>
  <c r="A52" i="1"/>
  <c r="S53" i="1"/>
  <c r="N53" i="1"/>
  <c r="N58" i="1"/>
  <c r="N62" i="1"/>
  <c r="A76" i="1"/>
  <c r="D96" i="1"/>
  <c r="E95" i="1"/>
  <c r="S130" i="1"/>
  <c r="V484" i="1"/>
  <c r="A484" i="1" s="1"/>
  <c r="V401" i="1"/>
  <c r="C290" i="1"/>
  <c r="C355" i="1" s="1"/>
  <c r="C235" i="1"/>
  <c r="C167" i="1"/>
  <c r="C89" i="1"/>
  <c r="A81" i="1"/>
  <c r="N96" i="1"/>
  <c r="N97" i="1" s="1"/>
  <c r="M96" i="1"/>
  <c r="M97" i="1" s="1"/>
  <c r="K101" i="1"/>
  <c r="R101" i="1" s="1"/>
  <c r="S111" i="1"/>
  <c r="K117" i="1"/>
  <c r="N123" i="1"/>
  <c r="P21" i="1"/>
  <c r="A9" i="1"/>
  <c r="H17" i="1"/>
  <c r="S17" i="1"/>
  <c r="E21" i="1"/>
  <c r="I24" i="1"/>
  <c r="E23" i="1"/>
  <c r="J24" i="1"/>
  <c r="N34" i="1"/>
  <c r="A39" i="1"/>
  <c r="P39" i="1"/>
  <c r="S40" i="1"/>
  <c r="Q54" i="1"/>
  <c r="A46" i="1"/>
  <c r="N57" i="1"/>
  <c r="N61" i="1"/>
  <c r="F72" i="1"/>
  <c r="N65" i="1"/>
  <c r="N69" i="1"/>
  <c r="S78" i="1"/>
  <c r="A78" i="1"/>
  <c r="N94" i="1"/>
  <c r="P102" i="1"/>
  <c r="O104" i="1"/>
  <c r="Y104" i="1" s="1"/>
  <c r="P103" i="1"/>
  <c r="P96" i="1"/>
  <c r="P101" i="1"/>
  <c r="K102" i="1"/>
  <c r="R102" i="1" s="1"/>
  <c r="Y107" i="1"/>
  <c r="I121" i="1"/>
  <c r="G111" i="1"/>
  <c r="N119" i="1"/>
  <c r="H119" i="1"/>
  <c r="E12" i="1"/>
  <c r="N12" i="1"/>
  <c r="S60" i="1"/>
  <c r="S64" i="1"/>
  <c r="N101" i="1"/>
  <c r="K103" i="1"/>
  <c r="R103" i="1" s="1"/>
  <c r="S48" i="1"/>
  <c r="AO484" i="1"/>
  <c r="AO401" i="1"/>
  <c r="S355" i="1"/>
  <c r="S235" i="1"/>
  <c r="S167" i="1"/>
  <c r="S290" i="1"/>
  <c r="S56" i="1"/>
  <c r="A11" i="1"/>
  <c r="A19" i="1"/>
  <c r="F24" i="1"/>
  <c r="S21" i="1"/>
  <c r="H23" i="1"/>
  <c r="J27" i="1"/>
  <c r="X27" i="1" s="1"/>
  <c r="L41" i="1"/>
  <c r="N31" i="1"/>
  <c r="A35" i="1"/>
  <c r="S36" i="1"/>
  <c r="S49" i="1"/>
  <c r="N49" i="1"/>
  <c r="N56" i="1"/>
  <c r="N60" i="1"/>
  <c r="N64" i="1"/>
  <c r="S80" i="1"/>
  <c r="A80" i="1"/>
  <c r="E94" i="1"/>
  <c r="N99" i="1"/>
  <c r="Q104" i="1"/>
  <c r="Q107" i="1" s="1"/>
  <c r="P107" i="1" s="1"/>
  <c r="J104" i="1"/>
  <c r="X104" i="1" s="1"/>
  <c r="H111" i="1"/>
  <c r="H115" i="1"/>
  <c r="S119" i="1"/>
  <c r="S59" i="1"/>
  <c r="S63" i="1"/>
  <c r="S67" i="1"/>
  <c r="S71" i="1"/>
  <c r="A77" i="1"/>
  <c r="F107" i="1"/>
  <c r="H113" i="1"/>
  <c r="Q24" i="1"/>
  <c r="S46" i="1"/>
  <c r="S55" i="1"/>
  <c r="N7" i="1"/>
  <c r="K38" i="1"/>
  <c r="A42" i="1"/>
  <c r="S43" i="1"/>
  <c r="N43" i="1"/>
  <c r="S51" i="1"/>
  <c r="N51" i="1"/>
  <c r="N55" i="1"/>
  <c r="N59" i="1"/>
  <c r="N63" i="1"/>
  <c r="A82" i="1"/>
  <c r="S89" i="1"/>
  <c r="M94" i="1"/>
  <c r="N102" i="1"/>
  <c r="H102" i="1"/>
  <c r="N111" i="1"/>
  <c r="L121" i="1"/>
  <c r="H112" i="1"/>
  <c r="N113" i="1"/>
  <c r="E10" i="1"/>
  <c r="O27" i="1"/>
  <c r="Y27" i="1" s="1"/>
  <c r="P23" i="1"/>
  <c r="S70" i="1"/>
  <c r="S79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N118" i="1"/>
  <c r="H118" i="1"/>
  <c r="N122" i="1"/>
  <c r="L134" i="1"/>
  <c r="S126" i="1"/>
  <c r="S135" i="1"/>
  <c r="N158" i="1"/>
  <c r="S161" i="1"/>
  <c r="N161" i="1"/>
  <c r="S174" i="1"/>
  <c r="E184" i="1"/>
  <c r="E193" i="1" s="1"/>
  <c r="M180" i="1"/>
  <c r="S240" i="1"/>
  <c r="S241" i="1" s="1"/>
  <c r="L241" i="1"/>
  <c r="N240" i="1"/>
  <c r="N241" i="1" s="1"/>
  <c r="N103" i="1"/>
  <c r="J112" i="1"/>
  <c r="Q134" i="1"/>
  <c r="N135" i="1"/>
  <c r="I152" i="1"/>
  <c r="N139" i="1"/>
  <c r="N143" i="1"/>
  <c r="N146" i="1"/>
  <c r="S199" i="1"/>
  <c r="F172" i="1"/>
  <c r="M177" i="1"/>
  <c r="S180" i="1"/>
  <c r="M187" i="1"/>
  <c r="N265" i="1"/>
  <c r="N125" i="1"/>
  <c r="N129" i="1"/>
  <c r="N133" i="1"/>
  <c r="N138" i="1"/>
  <c r="N142" i="1"/>
  <c r="S151" i="1"/>
  <c r="N151" i="1"/>
  <c r="N160" i="1"/>
  <c r="S211" i="1"/>
  <c r="S145" i="1"/>
  <c r="N145" i="1"/>
  <c r="M171" i="1"/>
  <c r="N174" i="1"/>
  <c r="S187" i="1"/>
  <c r="F134" i="1"/>
  <c r="S155" i="1"/>
  <c r="N155" i="1"/>
  <c r="N183" i="1"/>
  <c r="N202" i="1"/>
  <c r="S205" i="1"/>
  <c r="N205" i="1"/>
  <c r="F249" i="1"/>
  <c r="F244" i="1"/>
  <c r="S131" i="1"/>
  <c r="S147" i="1"/>
  <c r="S171" i="1"/>
  <c r="N171" i="1"/>
  <c r="Q228" i="1"/>
  <c r="S127" i="1"/>
  <c r="S120" i="1"/>
  <c r="N126" i="1"/>
  <c r="N127" i="1"/>
  <c r="N130" i="1"/>
  <c r="N131" i="1"/>
  <c r="S137" i="1"/>
  <c r="S141" i="1"/>
  <c r="N147" i="1"/>
  <c r="N214" i="1"/>
  <c r="F228" i="1"/>
  <c r="R184" i="1"/>
  <c r="S185" i="1" s="1"/>
  <c r="S253" i="1"/>
  <c r="N255" i="1"/>
  <c r="S256" i="1"/>
  <c r="N260" i="1"/>
  <c r="S282" i="1"/>
  <c r="M296" i="1"/>
  <c r="N298" i="1"/>
  <c r="S298" i="1"/>
  <c r="R300" i="1"/>
  <c r="N157" i="1"/>
  <c r="S159" i="1"/>
  <c r="N201" i="1"/>
  <c r="S203" i="1"/>
  <c r="N213" i="1"/>
  <c r="S215" i="1"/>
  <c r="N219" i="1"/>
  <c r="S221" i="1"/>
  <c r="N226" i="1"/>
  <c r="S246" i="1"/>
  <c r="S247" i="1" s="1"/>
  <c r="N256" i="1"/>
  <c r="N259" i="1"/>
  <c r="S264" i="1"/>
  <c r="S268" i="1"/>
  <c r="N273" i="1"/>
  <c r="N299" i="1"/>
  <c r="M361" i="1"/>
  <c r="F175" i="1"/>
  <c r="N199" i="1"/>
  <c r="N207" i="1"/>
  <c r="N211" i="1"/>
  <c r="N217" i="1"/>
  <c r="N225" i="1"/>
  <c r="E249" i="1"/>
  <c r="M246" i="1"/>
  <c r="N263" i="1"/>
  <c r="N267" i="1"/>
  <c r="N275" i="1"/>
  <c r="N278" i="1"/>
  <c r="N281" i="1"/>
  <c r="S294" i="1"/>
  <c r="M297" i="1"/>
  <c r="R299" i="1"/>
  <c r="S299" i="1"/>
  <c r="N331" i="1"/>
  <c r="N254" i="1"/>
  <c r="S254" i="1"/>
  <c r="N272" i="1"/>
  <c r="S272" i="1"/>
  <c r="N283" i="1"/>
  <c r="E300" i="1"/>
  <c r="N301" i="1"/>
  <c r="S329" i="1"/>
  <c r="N329" i="1"/>
  <c r="S359" i="1"/>
  <c r="N359" i="1"/>
  <c r="M174" i="1"/>
  <c r="N223" i="1"/>
  <c r="F265" i="1"/>
  <c r="N258" i="1"/>
  <c r="N262" i="1"/>
  <c r="S262" i="1"/>
  <c r="N266" i="1"/>
  <c r="S266" i="1"/>
  <c r="N269" i="1"/>
  <c r="F162" i="1"/>
  <c r="M294" i="1"/>
  <c r="N295" i="1"/>
  <c r="S297" i="1"/>
  <c r="S306" i="1"/>
  <c r="N337" i="1"/>
  <c r="S269" i="1"/>
  <c r="S274" i="1"/>
  <c r="N297" i="1"/>
  <c r="M299" i="1"/>
  <c r="N300" i="1"/>
  <c r="R298" i="1"/>
  <c r="R301" i="1"/>
  <c r="N311" i="1"/>
  <c r="N324" i="1"/>
  <c r="N369" i="1"/>
  <c r="S393" i="1"/>
  <c r="N393" i="1"/>
  <c r="AN452" i="1"/>
  <c r="AF465" i="1"/>
  <c r="AH452" i="1"/>
  <c r="AI452" i="1" s="1"/>
  <c r="E297" i="1"/>
  <c r="S301" i="1"/>
  <c r="E306" i="1"/>
  <c r="M307" i="1"/>
  <c r="N317" i="1"/>
  <c r="S319" i="1"/>
  <c r="N325" i="1"/>
  <c r="S327" i="1"/>
  <c r="S331" i="1"/>
  <c r="F348" i="1"/>
  <c r="S337" i="1"/>
  <c r="N343" i="1"/>
  <c r="E359" i="1"/>
  <c r="S366" i="1"/>
  <c r="N373" i="1"/>
  <c r="S374" i="1"/>
  <c r="N378" i="1"/>
  <c r="N386" i="1"/>
  <c r="AI419" i="1"/>
  <c r="AH456" i="1"/>
  <c r="AI456" i="1" s="1"/>
  <c r="S300" i="1"/>
  <c r="N367" i="1"/>
  <c r="N375" i="1"/>
  <c r="F376" i="1"/>
  <c r="S317" i="1"/>
  <c r="N372" i="1"/>
  <c r="N377" i="1"/>
  <c r="N379" i="1"/>
  <c r="F394" i="1"/>
  <c r="E394" i="1" s="1"/>
  <c r="R294" i="1"/>
  <c r="E301" i="1"/>
  <c r="N306" i="1"/>
  <c r="F329" i="1"/>
  <c r="N322" i="1"/>
  <c r="N334" i="1"/>
  <c r="N340" i="1"/>
  <c r="N346" i="1"/>
  <c r="S382" i="1"/>
  <c r="N382" i="1"/>
  <c r="S385" i="1"/>
  <c r="N385" i="1"/>
  <c r="R295" i="1"/>
  <c r="R306" i="1"/>
  <c r="N371" i="1"/>
  <c r="S377" i="1"/>
  <c r="N370" i="1"/>
  <c r="AC465" i="1"/>
  <c r="N381" i="1"/>
  <c r="AH454" i="1"/>
  <c r="AI454" i="1" s="1"/>
  <c r="AN457" i="1"/>
  <c r="AO457" i="1" s="1"/>
  <c r="N384" i="1"/>
  <c r="N392" i="1"/>
  <c r="AL465" i="1"/>
  <c r="AH490" i="1"/>
  <c r="AI490" i="1" s="1"/>
  <c r="N390" i="1"/>
  <c r="AI457" i="1"/>
  <c r="AH458" i="1"/>
  <c r="AH460" i="1"/>
  <c r="AI460" i="1" s="1"/>
  <c r="AI492" i="1"/>
  <c r="AO494" i="1"/>
  <c r="AH459" i="1"/>
  <c r="AI459" i="1" s="1"/>
  <c r="AO460" i="1"/>
  <c r="AI493" i="1"/>
  <c r="Z465" i="1"/>
  <c r="AN455" i="1"/>
  <c r="AO455" i="1" s="1"/>
  <c r="AH455" i="1"/>
  <c r="AI455" i="1" s="1"/>
  <c r="AO459" i="1"/>
  <c r="AN491" i="1"/>
  <c r="AO491" i="1" s="1"/>
  <c r="AH494" i="1"/>
  <c r="AI494" i="1" s="1"/>
  <c r="AH468" i="1"/>
  <c r="AI468" i="1" s="1"/>
  <c r="AH476" i="1"/>
  <c r="AI476" i="1" s="1"/>
  <c r="AN492" i="1"/>
  <c r="AO492" i="1" s="1"/>
  <c r="AN493" i="1"/>
  <c r="AO493" i="1" s="1"/>
  <c r="AH496" i="1"/>
  <c r="AI496" i="1" s="1"/>
  <c r="AN495" i="1"/>
  <c r="Y24" i="1" l="1"/>
  <c r="Y4" i="1" s="1"/>
  <c r="P38" i="1"/>
  <c r="P40" i="1"/>
  <c r="P32" i="1"/>
  <c r="P35" i="1"/>
  <c r="P33" i="1"/>
  <c r="P36" i="1"/>
  <c r="P34" i="1"/>
  <c r="P31" i="1"/>
  <c r="P37" i="1"/>
  <c r="E113" i="1"/>
  <c r="V96" i="1"/>
  <c r="K31" i="1"/>
  <c r="X24" i="1"/>
  <c r="X4" i="1" s="1"/>
  <c r="E120" i="1"/>
  <c r="K35" i="1"/>
  <c r="AN465" i="1"/>
  <c r="E134" i="1"/>
  <c r="E119" i="1"/>
  <c r="E115" i="1"/>
  <c r="E118" i="1"/>
  <c r="AE410" i="1"/>
  <c r="AL448" i="1"/>
  <c r="AE411" i="1"/>
  <c r="AI439" i="1"/>
  <c r="AO424" i="1"/>
  <c r="AF416" i="1"/>
  <c r="AE416" i="1" s="1"/>
  <c r="AL435" i="1"/>
  <c r="P152" i="1"/>
  <c r="P121" i="1"/>
  <c r="F350" i="1"/>
  <c r="F396" i="1"/>
  <c r="E376" i="1"/>
  <c r="F230" i="1"/>
  <c r="S307" i="1"/>
  <c r="N307" i="1"/>
  <c r="E265" i="1"/>
  <c r="N361" i="1"/>
  <c r="S361" i="1"/>
  <c r="S362" i="1" s="1"/>
  <c r="P134" i="1"/>
  <c r="S35" i="1"/>
  <c r="L244" i="1"/>
  <c r="K265" i="1"/>
  <c r="N243" i="1"/>
  <c r="N244" i="1" s="1"/>
  <c r="L249" i="1"/>
  <c r="S243" i="1"/>
  <c r="S244" i="1" s="1"/>
  <c r="S296" i="1"/>
  <c r="N296" i="1"/>
  <c r="F250" i="1"/>
  <c r="N178" i="1"/>
  <c r="N177" i="1"/>
  <c r="S177" i="1"/>
  <c r="N79" i="1"/>
  <c r="N80" i="1"/>
  <c r="M12" i="1"/>
  <c r="H12" i="1"/>
  <c r="M15" i="1"/>
  <c r="H15" i="1"/>
  <c r="E111" i="1"/>
  <c r="F121" i="1"/>
  <c r="S52" i="1"/>
  <c r="I13" i="1"/>
  <c r="AL442" i="1"/>
  <c r="AL434" i="1"/>
  <c r="AL414" i="1"/>
  <c r="AL433" i="1"/>
  <c r="AL410" i="1"/>
  <c r="S19" i="1"/>
  <c r="N19" i="1"/>
  <c r="N394" i="1"/>
  <c r="F241" i="1"/>
  <c r="N187" i="1"/>
  <c r="R27" i="1"/>
  <c r="R28" i="1" s="1"/>
  <c r="E11" i="1"/>
  <c r="AF415" i="1"/>
  <c r="AL439" i="1"/>
  <c r="E117" i="1"/>
  <c r="M300" i="1"/>
  <c r="Q230" i="1"/>
  <c r="K134" i="1"/>
  <c r="S134" i="1"/>
  <c r="K33" i="1"/>
  <c r="K36" i="1"/>
  <c r="S376" i="1"/>
  <c r="N376" i="1"/>
  <c r="F184" i="1"/>
  <c r="S77" i="1"/>
  <c r="N77" i="1"/>
  <c r="H120" i="1"/>
  <c r="N120" i="1"/>
  <c r="I134" i="1"/>
  <c r="N134" i="1" s="1"/>
  <c r="M7" i="1"/>
  <c r="H7" i="1"/>
  <c r="S44" i="1"/>
  <c r="N44" i="1"/>
  <c r="S50" i="1"/>
  <c r="N50" i="1"/>
  <c r="M8" i="1"/>
  <c r="H8" i="1"/>
  <c r="AL409" i="1"/>
  <c r="AL417" i="1"/>
  <c r="AL416" i="1"/>
  <c r="AL413" i="1"/>
  <c r="AL449" i="1"/>
  <c r="AH473" i="1"/>
  <c r="AI473" i="1" s="1"/>
  <c r="Q154" i="1"/>
  <c r="P154" i="1" s="1"/>
  <c r="S39" i="1"/>
  <c r="K37" i="1"/>
  <c r="M306" i="1"/>
  <c r="M295" i="1"/>
  <c r="E295" i="1"/>
  <c r="F284" i="1"/>
  <c r="E284" i="1" s="1"/>
  <c r="R303" i="1"/>
  <c r="N162" i="1"/>
  <c r="I228" i="1"/>
  <c r="F188" i="1"/>
  <c r="P22" i="1"/>
  <c r="L13" i="1"/>
  <c r="N6" i="1"/>
  <c r="S6" i="1"/>
  <c r="E7" i="1"/>
  <c r="L54" i="1"/>
  <c r="S76" i="1"/>
  <c r="AL450" i="1"/>
  <c r="AL440" i="1"/>
  <c r="AL445" i="1"/>
  <c r="AF417" i="1"/>
  <c r="I104" i="1"/>
  <c r="H104" i="1" s="1"/>
  <c r="K34" i="1"/>
  <c r="E15" i="1"/>
  <c r="P24" i="1"/>
  <c r="S10" i="1"/>
  <c r="E6" i="1"/>
  <c r="N81" i="1"/>
  <c r="F303" i="1"/>
  <c r="F308" i="1" s="1"/>
  <c r="S209" i="1"/>
  <c r="N209" i="1"/>
  <c r="I350" i="1"/>
  <c r="H350" i="1" s="1"/>
  <c r="R308" i="1"/>
  <c r="AL405" i="1"/>
  <c r="M104" i="1"/>
  <c r="K104" i="1"/>
  <c r="S81" i="1"/>
  <c r="N22" i="1"/>
  <c r="S22" i="1"/>
  <c r="N36" i="1"/>
  <c r="AL436" i="1"/>
  <c r="AL412" i="1"/>
  <c r="AL408" i="1"/>
  <c r="AO425" i="1"/>
  <c r="AL446" i="1"/>
  <c r="AL437" i="1"/>
  <c r="AH470" i="1"/>
  <c r="AI470" i="1" s="1"/>
  <c r="AL444" i="1"/>
  <c r="AO477" i="1"/>
  <c r="K32" i="1"/>
  <c r="E9" i="1"/>
  <c r="N9" i="1"/>
  <c r="G13" i="1"/>
  <c r="W13" i="1" s="1"/>
  <c r="E294" i="1"/>
  <c r="D303" i="1"/>
  <c r="AH465" i="1"/>
  <c r="AI465" i="1" s="1"/>
  <c r="M303" i="1"/>
  <c r="F181" i="1"/>
  <c r="E8" i="1"/>
  <c r="S104" i="1"/>
  <c r="S105" i="1" s="1"/>
  <c r="N11" i="1"/>
  <c r="S11" i="1"/>
  <c r="P104" i="1"/>
  <c r="S47" i="1"/>
  <c r="N47" i="1"/>
  <c r="M10" i="1"/>
  <c r="H10" i="1"/>
  <c r="L24" i="1"/>
  <c r="K24" i="1" s="1"/>
  <c r="S107" i="1"/>
  <c r="S108" i="1" s="1"/>
  <c r="AO426" i="1"/>
  <c r="AL447" i="1"/>
  <c r="AL438" i="1"/>
  <c r="D107" i="1"/>
  <c r="E96" i="1"/>
  <c r="E114" i="1"/>
  <c r="E112" i="1"/>
  <c r="E116" i="1"/>
  <c r="D104" i="1"/>
  <c r="F41" i="1"/>
  <c r="Q41" i="1"/>
  <c r="Q13" i="1"/>
  <c r="N303" i="1"/>
  <c r="N304" i="1" s="1"/>
  <c r="S303" i="1"/>
  <c r="N121" i="1"/>
  <c r="S121" i="1"/>
  <c r="K121" i="1"/>
  <c r="AI458" i="1"/>
  <c r="S162" i="1"/>
  <c r="AO452" i="1"/>
  <c r="AO465" i="1"/>
  <c r="S394" i="1"/>
  <c r="N294" i="1"/>
  <c r="F152" i="1"/>
  <c r="E152" i="1" s="1"/>
  <c r="S295" i="1"/>
  <c r="I162" i="1"/>
  <c r="S265" i="1"/>
  <c r="N180" i="1"/>
  <c r="R107" i="1"/>
  <c r="R108" i="1" s="1"/>
  <c r="M107" i="1"/>
  <c r="M108" i="1" s="1"/>
  <c r="K107" i="1"/>
  <c r="F13" i="1"/>
  <c r="N46" i="1"/>
  <c r="AL415" i="1"/>
  <c r="AL443" i="1"/>
  <c r="AL411" i="1"/>
  <c r="AN473" i="1"/>
  <c r="AL441" i="1"/>
  <c r="S32" i="1"/>
  <c r="N9" i="2" l="1"/>
  <c r="N8" i="2" s="1"/>
  <c r="F27" i="1"/>
  <c r="E41" i="1" s="1"/>
  <c r="K13" i="1"/>
  <c r="E107" i="1"/>
  <c r="V107" i="1"/>
  <c r="E104" i="1"/>
  <c r="V104" i="1"/>
  <c r="F313" i="1"/>
  <c r="F352" i="1" s="1"/>
  <c r="S54" i="1"/>
  <c r="AH472" i="1"/>
  <c r="AI472" i="1" s="1"/>
  <c r="AN410" i="1"/>
  <c r="AO410" i="1" s="1"/>
  <c r="AH411" i="1"/>
  <c r="AI411" i="1" s="1"/>
  <c r="AN472" i="1"/>
  <c r="AO472" i="1" s="1"/>
  <c r="AN416" i="1"/>
  <c r="S398" i="1"/>
  <c r="G27" i="1"/>
  <c r="W27" i="1" s="1"/>
  <c r="H13" i="1"/>
  <c r="AB408" i="1"/>
  <c r="G24" i="1"/>
  <c r="W24" i="1" s="1"/>
  <c r="N78" i="1"/>
  <c r="AH469" i="1"/>
  <c r="N308" i="1"/>
  <c r="N309" i="1" s="1"/>
  <c r="AN425" i="1"/>
  <c r="AB414" i="1"/>
  <c r="AN449" i="1"/>
  <c r="AO449" i="1" s="1"/>
  <c r="AN415" i="1"/>
  <c r="AE415" i="1"/>
  <c r="AE409" i="1"/>
  <c r="AN409" i="1"/>
  <c r="AO409" i="1" s="1"/>
  <c r="Q164" i="1"/>
  <c r="AN435" i="1"/>
  <c r="AO435" i="1" s="1"/>
  <c r="AH435" i="1"/>
  <c r="AI435" i="1" s="1"/>
  <c r="AH430" i="1"/>
  <c r="AI430" i="1" s="1"/>
  <c r="AN430" i="1"/>
  <c r="AO430" i="1" s="1"/>
  <c r="AK411" i="1"/>
  <c r="I54" i="1"/>
  <c r="AH420" i="1"/>
  <c r="N42" i="1"/>
  <c r="N104" i="1"/>
  <c r="N105" i="1" s="1"/>
  <c r="G112" i="1"/>
  <c r="I107" i="1"/>
  <c r="H134" i="1" s="1"/>
  <c r="AN424" i="1"/>
  <c r="F193" i="1"/>
  <c r="F185" i="1"/>
  <c r="P230" i="1"/>
  <c r="Z417" i="1"/>
  <c r="AC416" i="1"/>
  <c r="AI424" i="1"/>
  <c r="AC417" i="1"/>
  <c r="AH417" i="1" s="1"/>
  <c r="AC415" i="1"/>
  <c r="AH415" i="1" s="1"/>
  <c r="AI425" i="1"/>
  <c r="AI426" i="1"/>
  <c r="AH478" i="1"/>
  <c r="AI478" i="1" s="1"/>
  <c r="AH477" i="1"/>
  <c r="AI477" i="1" s="1"/>
  <c r="AN427" i="1"/>
  <c r="AO427" i="1" s="1"/>
  <c r="AH427" i="1"/>
  <c r="AI427" i="1" s="1"/>
  <c r="AL451" i="1"/>
  <c r="M308" i="1"/>
  <c r="AN442" i="1"/>
  <c r="AO442" i="1" s="1"/>
  <c r="AH442" i="1"/>
  <c r="AI442" i="1" s="1"/>
  <c r="AH437" i="1"/>
  <c r="AI437" i="1" s="1"/>
  <c r="AN437" i="1"/>
  <c r="AO437" i="1" s="1"/>
  <c r="I27" i="1"/>
  <c r="F54" i="1"/>
  <c r="N24" i="1"/>
  <c r="N25" i="1" s="1"/>
  <c r="S24" i="1"/>
  <c r="S25" i="1" s="1"/>
  <c r="J32" i="1"/>
  <c r="AN471" i="1"/>
  <c r="AO471" i="1" s="1"/>
  <c r="AH421" i="1"/>
  <c r="AI421" i="1" s="1"/>
  <c r="AN421" i="1"/>
  <c r="AO421" i="1" s="1"/>
  <c r="AK412" i="1"/>
  <c r="D13" i="1"/>
  <c r="AE417" i="1"/>
  <c r="AN417" i="1"/>
  <c r="AO417" i="1" s="1"/>
  <c r="AN434" i="1"/>
  <c r="AO434" i="1" s="1"/>
  <c r="AH434" i="1"/>
  <c r="AI434" i="1" s="1"/>
  <c r="S13" i="1"/>
  <c r="S14" i="1" s="1"/>
  <c r="AK413" i="1"/>
  <c r="AK417" i="1"/>
  <c r="M11" i="1"/>
  <c r="H11" i="1"/>
  <c r="AN443" i="1"/>
  <c r="AO443" i="1" s="1"/>
  <c r="AH443" i="1"/>
  <c r="AI443" i="1" s="1"/>
  <c r="AK414" i="1"/>
  <c r="N52" i="1"/>
  <c r="AB413" i="1"/>
  <c r="AH446" i="1"/>
  <c r="AI446" i="1" s="1"/>
  <c r="AN446" i="1"/>
  <c r="AO446" i="1" s="1"/>
  <c r="AH438" i="1"/>
  <c r="AI438" i="1" s="1"/>
  <c r="AN438" i="1"/>
  <c r="AO438" i="1" s="1"/>
  <c r="AH429" i="1"/>
  <c r="AI429" i="1" s="1"/>
  <c r="AN429" i="1"/>
  <c r="AO429" i="1" s="1"/>
  <c r="AN433" i="1"/>
  <c r="AO433" i="1" s="1"/>
  <c r="AH433" i="1"/>
  <c r="AO473" i="1"/>
  <c r="Q27" i="1"/>
  <c r="P41" i="1" s="1"/>
  <c r="P13" i="1"/>
  <c r="AB410" i="1"/>
  <c r="AG410" i="1" s="1"/>
  <c r="N13" i="1"/>
  <c r="N14" i="1" s="1"/>
  <c r="H228" i="1"/>
  <c r="AE414" i="1"/>
  <c r="AN414" i="1"/>
  <c r="AO414" i="1" s="1"/>
  <c r="AH414" i="1"/>
  <c r="AI414" i="1" s="1"/>
  <c r="AH413" i="1"/>
  <c r="AI413" i="1" s="1"/>
  <c r="AE413" i="1"/>
  <c r="AN413" i="1"/>
  <c r="AO413" i="1" s="1"/>
  <c r="N249" i="1"/>
  <c r="N250" i="1" s="1"/>
  <c r="S249" i="1"/>
  <c r="L250" i="1"/>
  <c r="AN411" i="1"/>
  <c r="AO411" i="1" s="1"/>
  <c r="Q74" i="1"/>
  <c r="AN475" i="1"/>
  <c r="AO475" i="1" s="1"/>
  <c r="AH475" i="1"/>
  <c r="AI475" i="1" s="1"/>
  <c r="AN440" i="1"/>
  <c r="AO440" i="1" s="1"/>
  <c r="AH440" i="1"/>
  <c r="AI440" i="1" s="1"/>
  <c r="R313" i="1"/>
  <c r="AF432" i="1"/>
  <c r="AN420" i="1"/>
  <c r="AO420" i="1" s="1"/>
  <c r="AL432" i="1"/>
  <c r="L27" i="1"/>
  <c r="AF406" i="1" s="1"/>
  <c r="J31" i="1"/>
  <c r="Z416" i="1"/>
  <c r="AN426" i="1"/>
  <c r="M184" i="1"/>
  <c r="AK410" i="1"/>
  <c r="F154" i="1"/>
  <c r="E121" i="1"/>
  <c r="AN477" i="1"/>
  <c r="AH410" i="1"/>
  <c r="AI410" i="1" s="1"/>
  <c r="AN445" i="1"/>
  <c r="AO445" i="1" s="1"/>
  <c r="AH445" i="1"/>
  <c r="AI445" i="1" s="1"/>
  <c r="M9" i="1"/>
  <c r="H9" i="1"/>
  <c r="AO415" i="1"/>
  <c r="AK415" i="1"/>
  <c r="I83" i="1"/>
  <c r="AH471" i="1"/>
  <c r="AI471" i="1" s="1"/>
  <c r="AN408" i="1"/>
  <c r="AO408" i="1" s="1"/>
  <c r="AE408" i="1"/>
  <c r="AF418" i="1"/>
  <c r="AH408" i="1"/>
  <c r="AI408" i="1" s="1"/>
  <c r="Z451" i="1"/>
  <c r="AN474" i="1"/>
  <c r="AO474" i="1" s="1"/>
  <c r="AH474" i="1"/>
  <c r="AI474" i="1" s="1"/>
  <c r="Z415" i="1"/>
  <c r="E303" i="1"/>
  <c r="D308" i="1"/>
  <c r="D313" i="1" s="1"/>
  <c r="Z405" i="1" s="1"/>
  <c r="AK408" i="1"/>
  <c r="AL418" i="1"/>
  <c r="N35" i="1"/>
  <c r="AH412" i="1"/>
  <c r="S184" i="1"/>
  <c r="N184" i="1"/>
  <c r="N185" i="1" s="1"/>
  <c r="AO416" i="1"/>
  <c r="AK416" i="1"/>
  <c r="S396" i="1"/>
  <c r="N396" i="1"/>
  <c r="S308" i="1"/>
  <c r="S304" i="1"/>
  <c r="AH436" i="1"/>
  <c r="AI436" i="1" s="1"/>
  <c r="AN436" i="1"/>
  <c r="AO436" i="1" s="1"/>
  <c r="AN448" i="1"/>
  <c r="AO448" i="1" s="1"/>
  <c r="I352" i="1"/>
  <c r="AN444" i="1"/>
  <c r="AO444" i="1" s="1"/>
  <c r="F286" i="1"/>
  <c r="E286" i="1" s="1"/>
  <c r="AN422" i="1"/>
  <c r="AO422" i="1" s="1"/>
  <c r="Z480" i="1"/>
  <c r="F83" i="1"/>
  <c r="AH428" i="1"/>
  <c r="AI428" i="1" s="1"/>
  <c r="AN428" i="1"/>
  <c r="AO428" i="1" s="1"/>
  <c r="AN450" i="1"/>
  <c r="AO450" i="1" s="1"/>
  <c r="N32" i="1"/>
  <c r="I41" i="1"/>
  <c r="AN478" i="1"/>
  <c r="AO478" i="1" s="1"/>
  <c r="AN441" i="1"/>
  <c r="AO441" i="1" s="1"/>
  <c r="AH441" i="1"/>
  <c r="AI441" i="1" s="1"/>
  <c r="AN423" i="1"/>
  <c r="AO423" i="1" s="1"/>
  <c r="AH423" i="1"/>
  <c r="AI423" i="1" s="1"/>
  <c r="AN469" i="1"/>
  <c r="AO469" i="1" s="1"/>
  <c r="N76" i="1"/>
  <c r="S41" i="1"/>
  <c r="AK409" i="1"/>
  <c r="H39" i="1"/>
  <c r="N39" i="1"/>
  <c r="AN439" i="1"/>
  <c r="AO439" i="1" s="1"/>
  <c r="AH439" i="1"/>
  <c r="AE412" i="1"/>
  <c r="AN412" i="1"/>
  <c r="AO412" i="1" s="1"/>
  <c r="I154" i="1"/>
  <c r="AL480" i="1"/>
  <c r="AB411" i="1"/>
  <c r="AG411" i="1" s="1"/>
  <c r="I230" i="1"/>
  <c r="H230" i="1" s="1"/>
  <c r="AH444" i="1"/>
  <c r="AI444" i="1" s="1"/>
  <c r="AH422" i="1"/>
  <c r="AI422" i="1" s="1"/>
  <c r="E396" i="1"/>
  <c r="F398" i="1"/>
  <c r="E54" i="1" l="1"/>
  <c r="E72" i="1"/>
  <c r="H35" i="1"/>
  <c r="K27" i="1"/>
  <c r="H154" i="1"/>
  <c r="H32" i="1"/>
  <c r="E350" i="1"/>
  <c r="E348" i="1"/>
  <c r="Y408" i="1"/>
  <c r="AM408" i="1" s="1"/>
  <c r="V13" i="1"/>
  <c r="W4" i="1"/>
  <c r="Y412" i="1"/>
  <c r="AM412" i="1" s="1"/>
  <c r="Z406" i="1"/>
  <c r="E329" i="1"/>
  <c r="N41" i="1"/>
  <c r="M13" i="1"/>
  <c r="M14" i="1" s="1"/>
  <c r="E230" i="1"/>
  <c r="AH448" i="1"/>
  <c r="AI448" i="1" s="1"/>
  <c r="P74" i="1"/>
  <c r="H54" i="1"/>
  <c r="Y415" i="1"/>
  <c r="AM415" i="1" s="1"/>
  <c r="K54" i="1"/>
  <c r="Y413" i="1"/>
  <c r="AM413" i="1" s="1"/>
  <c r="AH426" i="1"/>
  <c r="Z432" i="1"/>
  <c r="AH450" i="1"/>
  <c r="AI450" i="1" s="1"/>
  <c r="AL406" i="1"/>
  <c r="S309" i="1"/>
  <c r="AN418" i="1"/>
  <c r="AO418" i="1" s="1"/>
  <c r="Z418" i="1"/>
  <c r="N398" i="1"/>
  <c r="AG408" i="1"/>
  <c r="AN432" i="1"/>
  <c r="AO432" i="1" s="1"/>
  <c r="AG414" i="1"/>
  <c r="Q85" i="1"/>
  <c r="P72" i="1"/>
  <c r="P27" i="1"/>
  <c r="P54" i="1"/>
  <c r="AB417" i="1"/>
  <c r="AG417" i="1" s="1"/>
  <c r="AI417" i="1"/>
  <c r="N313" i="1"/>
  <c r="N314" i="1" s="1"/>
  <c r="I74" i="1"/>
  <c r="I85" i="1" s="1"/>
  <c r="H41" i="1"/>
  <c r="AL467" i="1"/>
  <c r="E154" i="1"/>
  <c r="F164" i="1"/>
  <c r="Y416" i="1"/>
  <c r="AM416" i="1" s="1"/>
  <c r="I232" i="1"/>
  <c r="AC406" i="1"/>
  <c r="G9" i="2" s="1"/>
  <c r="G8" i="2" s="1"/>
  <c r="H72" i="1"/>
  <c r="F232" i="1"/>
  <c r="F194" i="1"/>
  <c r="E228" i="1"/>
  <c r="E209" i="1"/>
  <c r="AG413" i="1"/>
  <c r="AH424" i="1"/>
  <c r="AH425" i="1"/>
  <c r="H33" i="1"/>
  <c r="H40" i="1"/>
  <c r="H24" i="1"/>
  <c r="H37" i="1"/>
  <c r="H38" i="1"/>
  <c r="H34" i="1"/>
  <c r="H31" i="1"/>
  <c r="H36" i="1"/>
  <c r="M24" i="1"/>
  <c r="F74" i="1"/>
  <c r="AB409" i="1"/>
  <c r="AG409" i="1" s="1"/>
  <c r="AC418" i="1"/>
  <c r="AH418" i="1" s="1"/>
  <c r="AI418" i="1" s="1"/>
  <c r="S193" i="1"/>
  <c r="S194" i="1" s="1"/>
  <c r="N193" i="1"/>
  <c r="N194" i="1" s="1"/>
  <c r="Y409" i="1"/>
  <c r="AM409" i="1" s="1"/>
  <c r="R249" i="1"/>
  <c r="S250" i="1" s="1"/>
  <c r="M249" i="1"/>
  <c r="AB416" i="1"/>
  <c r="AG416" i="1" s="1"/>
  <c r="AH416" i="1"/>
  <c r="AI416" i="1" s="1"/>
  <c r="Q232" i="1"/>
  <c r="P228" i="1"/>
  <c r="AI433" i="1"/>
  <c r="N27" i="1"/>
  <c r="S27" i="1"/>
  <c r="K41" i="1"/>
  <c r="D27" i="1"/>
  <c r="E13" i="1"/>
  <c r="Y414" i="1"/>
  <c r="AM414" i="1" s="1"/>
  <c r="D24" i="1"/>
  <c r="V24" i="1" s="1"/>
  <c r="Y410" i="1"/>
  <c r="AM410" i="1" s="1"/>
  <c r="Y411" i="1"/>
  <c r="AM411" i="1" s="1"/>
  <c r="AH449" i="1"/>
  <c r="AI449" i="1" s="1"/>
  <c r="AI469" i="1"/>
  <c r="AC480" i="1"/>
  <c r="E308" i="1"/>
  <c r="M313" i="1"/>
  <c r="AF405" i="1"/>
  <c r="I164" i="1"/>
  <c r="H121" i="1"/>
  <c r="H152" i="1"/>
  <c r="H107" i="1"/>
  <c r="N107" i="1"/>
  <c r="N108" i="1" s="1"/>
  <c r="N54" i="1"/>
  <c r="AH409" i="1"/>
  <c r="AI409" i="1" s="1"/>
  <c r="F288" i="1"/>
  <c r="AB412" i="1"/>
  <c r="AG412" i="1" s="1"/>
  <c r="AI412" i="1"/>
  <c r="AI415" i="1"/>
  <c r="AB415" i="1"/>
  <c r="AG415" i="1" s="1"/>
  <c r="Y417" i="1"/>
  <c r="AM417" i="1" s="1"/>
  <c r="AI420" i="1"/>
  <c r="AC432" i="1"/>
  <c r="H27" i="1"/>
  <c r="M27" i="1"/>
  <c r="M28" i="1" s="1"/>
  <c r="C9" i="2" l="1"/>
  <c r="J9" i="2"/>
  <c r="J8" i="2" s="1"/>
  <c r="O9" i="2"/>
  <c r="O8" i="2" s="1"/>
  <c r="E27" i="1"/>
  <c r="V27" i="1"/>
  <c r="V4" i="1" s="1"/>
  <c r="X465" i="1"/>
  <c r="X432" i="1"/>
  <c r="X451" i="1"/>
  <c r="X480" i="1"/>
  <c r="AD432" i="1"/>
  <c r="K9" i="2"/>
  <c r="K8" i="2" s="1"/>
  <c r="C10" i="2"/>
  <c r="AA432" i="1"/>
  <c r="AA480" i="1"/>
  <c r="AA451" i="1"/>
  <c r="S28" i="1"/>
  <c r="AJ467" i="1"/>
  <c r="AL482" i="1"/>
  <c r="AJ465" i="1"/>
  <c r="AJ418" i="1"/>
  <c r="AJ432" i="1"/>
  <c r="AJ451" i="1"/>
  <c r="Z467" i="1"/>
  <c r="X418" i="1"/>
  <c r="E74" i="1"/>
  <c r="F85" i="1"/>
  <c r="AH432" i="1"/>
  <c r="AI432" i="1" s="1"/>
  <c r="E313" i="1"/>
  <c r="R193" i="1"/>
  <c r="M193" i="1"/>
  <c r="AD418" i="1"/>
  <c r="AA465" i="1"/>
  <c r="S313" i="1"/>
  <c r="S314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N28" i="1"/>
  <c r="AC467" i="1"/>
  <c r="AA467" i="1" s="1"/>
  <c r="AA418" i="1"/>
  <c r="AN406" i="1"/>
  <c r="AO406" i="1" s="1"/>
  <c r="AH406" i="1"/>
  <c r="AI406" i="1" s="1"/>
  <c r="AD465" i="1"/>
  <c r="C8" i="2" l="1"/>
  <c r="P9" i="2"/>
  <c r="B9" i="2"/>
  <c r="X467" i="1"/>
  <c r="Z482" i="1"/>
  <c r="AC482" i="1"/>
  <c r="AL488" i="1"/>
  <c r="AK482" i="1"/>
  <c r="H9" i="2" l="1"/>
  <c r="H8" i="2" s="1"/>
  <c r="P8" i="2"/>
  <c r="D9" i="2"/>
  <c r="B10" i="2"/>
  <c r="B8" i="2" s="1"/>
  <c r="AL497" i="1"/>
  <c r="AK488" i="1"/>
  <c r="AC488" i="1"/>
  <c r="AB482" i="1"/>
  <c r="Z488" i="1"/>
  <c r="Y482" i="1"/>
  <c r="Q9" i="2" l="1"/>
  <c r="D10" i="2"/>
  <c r="D8" i="2" s="1"/>
  <c r="Y488" i="1"/>
  <c r="Z497" i="1"/>
  <c r="AB488" i="1"/>
  <c r="AC497" i="1"/>
  <c r="AK497" i="1"/>
  <c r="AB497" i="1" l="1"/>
  <c r="I9" i="2"/>
  <c r="I8" i="2" s="1"/>
  <c r="Q8" i="2"/>
  <c r="Y497" i="1"/>
  <c r="E9" i="2"/>
  <c r="E10" i="2" l="1"/>
  <c r="E8" i="2" s="1"/>
  <c r="AF479" i="1"/>
  <c r="AF480" i="1" s="1"/>
  <c r="L82" i="1"/>
  <c r="AH479" i="1" l="1"/>
  <c r="AI479" i="1" s="1"/>
  <c r="N82" i="1"/>
  <c r="N83" i="1" s="1"/>
  <c r="S82" i="1"/>
  <c r="S83" i="1" s="1"/>
  <c r="L83" i="1"/>
  <c r="AN480" i="1"/>
  <c r="AO480" i="1" s="1"/>
  <c r="AH480" i="1"/>
  <c r="AI480" i="1" s="1"/>
  <c r="AD480" i="1"/>
  <c r="AN479" i="1"/>
  <c r="AO479" i="1" s="1"/>
  <c r="L224" i="1"/>
  <c r="L228" i="1" l="1"/>
  <c r="S224" i="1"/>
  <c r="N224" i="1"/>
  <c r="L280" i="1"/>
  <c r="L148" i="1"/>
  <c r="L344" i="1"/>
  <c r="L68" i="1"/>
  <c r="L72" i="1" l="1"/>
  <c r="S68" i="1"/>
  <c r="S72" i="1" s="1"/>
  <c r="S85" i="1" s="1"/>
  <c r="N68" i="1"/>
  <c r="N72" i="1" s="1"/>
  <c r="N85" i="1" s="1"/>
  <c r="K228" i="1"/>
  <c r="N228" i="1"/>
  <c r="S228" i="1"/>
  <c r="L230" i="1"/>
  <c r="L348" i="1"/>
  <c r="N344" i="1"/>
  <c r="N348" i="1" s="1"/>
  <c r="S344" i="1"/>
  <c r="S348" i="1" s="1"/>
  <c r="L11" i="2"/>
  <c r="L284" i="1"/>
  <c r="S280" i="1"/>
  <c r="N280" i="1"/>
  <c r="N284" i="1" s="1"/>
  <c r="N148" i="1"/>
  <c r="S148" i="1"/>
  <c r="L152" i="1"/>
  <c r="L10" i="2" l="1"/>
  <c r="L74" i="1"/>
  <c r="K72" i="1"/>
  <c r="L232" i="1"/>
  <c r="S230" i="1"/>
  <c r="K230" i="1"/>
  <c r="N230" i="1"/>
  <c r="K284" i="1"/>
  <c r="S284" i="1"/>
  <c r="L286" i="1"/>
  <c r="L350" i="1"/>
  <c r="K348" i="1"/>
  <c r="S152" i="1"/>
  <c r="L154" i="1"/>
  <c r="K152" i="1"/>
  <c r="N152" i="1"/>
  <c r="AF451" i="1"/>
  <c r="AN447" i="1"/>
  <c r="AH447" i="1"/>
  <c r="AH451" i="1" l="1"/>
  <c r="AI451" i="1" s="1"/>
  <c r="AI447" i="1"/>
  <c r="N154" i="1"/>
  <c r="K154" i="1"/>
  <c r="S154" i="1"/>
  <c r="L164" i="1"/>
  <c r="N232" i="1"/>
  <c r="S232" i="1"/>
  <c r="M11" i="2"/>
  <c r="K286" i="1"/>
  <c r="S286" i="1"/>
  <c r="L288" i="1"/>
  <c r="N286" i="1"/>
  <c r="K350" i="1"/>
  <c r="L352" i="1"/>
  <c r="S350" i="1"/>
  <c r="N350" i="1"/>
  <c r="AN451" i="1"/>
  <c r="AO451" i="1" s="1"/>
  <c r="AO447" i="1"/>
  <c r="AF467" i="1"/>
  <c r="AD451" i="1"/>
  <c r="L85" i="1"/>
  <c r="K74" i="1"/>
  <c r="N74" i="1"/>
  <c r="S74" i="1"/>
  <c r="M10" i="2" l="1"/>
  <c r="N352" i="1"/>
  <c r="S352" i="1"/>
  <c r="S164" i="1"/>
  <c r="N164" i="1"/>
  <c r="AF482" i="1"/>
  <c r="AN467" i="1"/>
  <c r="AO467" i="1" s="1"/>
  <c r="AD467" i="1"/>
  <c r="AH467" i="1"/>
  <c r="AI467" i="1" s="1"/>
  <c r="S288" i="1"/>
  <c r="N288" i="1"/>
  <c r="AN482" i="1" l="1"/>
  <c r="AO482" i="1" s="1"/>
  <c r="AH482" i="1"/>
  <c r="AI482" i="1" s="1"/>
  <c r="AE482" i="1"/>
  <c r="L9" i="2"/>
  <c r="L8" i="2" s="1"/>
  <c r="AF488" i="1"/>
  <c r="AF497" i="1" l="1"/>
  <c r="AH488" i="1"/>
  <c r="AN488" i="1"/>
  <c r="AE488" i="1"/>
  <c r="AO488" i="1" l="1"/>
  <c r="AN497" i="1"/>
  <c r="AO497" i="1" s="1"/>
  <c r="AI488" i="1"/>
  <c r="AH497" i="1"/>
  <c r="AI497" i="1" s="1"/>
  <c r="AE497" i="1"/>
  <c r="M9" i="2"/>
  <c r="M8" i="2" s="1"/>
</calcChain>
</file>

<file path=xl/sharedStrings.xml><?xml version="1.0" encoding="utf-8"?>
<sst xmlns="http://schemas.openxmlformats.org/spreadsheetml/2006/main" count="4074" uniqueCount="256">
  <si>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</si>
  <si>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</si>
  <si>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</si>
  <si>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</si>
  <si>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</si>
  <si>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</si>
  <si>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</si>
  <si>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</si>
  <si>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</si>
  <si>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</si>
  <si>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</si>
  <si>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</si>
  <si>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</si>
  <si>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</si>
  <si>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</si>
  <si>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</si>
  <si>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</si>
  <si>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</si>
  <si>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</si>
  <si>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</si>
  <si>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</si>
  <si>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</si>
  <si>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</si>
  <si>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</si>
  <si>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</si>
  <si>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</si>
  <si>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</si>
  <si>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</si>
  <si>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</si>
  <si>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</si>
  <si>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</si>
  <si>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</si>
  <si>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</si>
  <si>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</si>
  <si>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</si>
  <si>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</si>
  <si>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</si>
  <si>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</si>
  <si>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</si>
  <si>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</si>
  <si>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</si>
  <si>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</si>
  <si>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</si>
  <si>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</si>
  <si>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</si>
  <si>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</si>
  <si>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</si>
  <si>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</si>
  <si>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</si>
  <si>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</si>
  <si>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</si>
  <si>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</si>
  <si>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</si>
  <si>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</si>
  <si>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</si>
  <si>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</si>
  <si>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</si>
  <si>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</si>
  <si>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</si>
  <si>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</si>
  <si>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</si>
  <si>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</si>
  <si>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</si>
  <si>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</si>
  <si>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</si>
  <si>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</si>
  <si>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</si>
  <si>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</si>
  <si>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</si>
  <si>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</si>
  <si>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</si>
  <si>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</si>
  <si>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</si>
  <si>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</si>
  <si>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</si>
  <si>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</si>
  <si>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</si>
  <si>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</si>
  <si>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</si>
  <si>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</si>
  <si>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</si>
  <si>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</si>
  <si>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</si>
  <si>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</si>
  <si>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</si>
  <si>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</si>
  <si>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</si>
  <si>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</si>
  <si>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</si>
  <si>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</si>
  <si>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</si>
  <si>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</si>
  <si>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</si>
  <si>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</si>
  <si>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</si>
  <si>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</si>
  <si>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</si>
  <si>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</si>
  <si>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</si>
  <si>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</si>
  <si>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</si>
  <si>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</si>
  <si>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</si>
  <si>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</si>
  <si>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</si>
  <si>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</si>
  <si>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</si>
  <si>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</si>
  <si>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</si>
  <si>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</si>
  <si>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</si>
  <si>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</si>
  <si>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</si>
  <si>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</si>
  <si>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</si>
  <si>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</si>
  <si>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</si>
  <si>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</si>
  <si>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</si>
  <si>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</si>
  <si>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</si>
  <si>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</si>
  <si>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</si>
  <si>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</si>
  <si>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</si>
  <si>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</si>
  <si>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</si>
  <si>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</si>
  <si>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</si>
  <si>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</si>
  <si>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</si>
  <si>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</si>
  <si>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</si>
  <si>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</si>
  <si>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</si>
  <si>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</si>
  <si>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</si>
  <si>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</si>
  <si>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</si>
  <si>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</si>
  <si>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</si>
  <si>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</si>
  <si>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</si>
  <si>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</si>
  <si>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</si>
  <si>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</si>
  <si>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</si>
  <si>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</si>
  <si>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</si>
  <si>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</si>
  <si>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</si>
  <si>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</si>
  <si>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</si>
  <si>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</si>
  <si>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</si>
  <si>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</si>
  <si>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</si>
  <si>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</si>
  <si>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</si>
  <si>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</si>
  <si>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</si>
  <si>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</si>
  <si>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</si>
  <si>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</si>
  <si>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</si>
  <si>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</si>
  <si>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</si>
  <si>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</si>
  <si>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</si>
  <si>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</si>
  <si>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</si>
  <si>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</si>
  <si>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</si>
  <si>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</si>
  <si>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</si>
  <si>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</si>
  <si>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</si>
  <si>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</si>
  <si>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</si>
  <si>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</si>
  <si>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</si>
  <si>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</si>
  <si>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</si>
  <si>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</si>
  <si>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</si>
  <si>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</si>
  <si>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</si>
  <si>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</si>
  <si>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</si>
  <si>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</si>
  <si>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</si>
  <si>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</si>
  <si>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</si>
  <si>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</si>
  <si>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</si>
  <si>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</si>
  <si>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</si>
  <si>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</si>
  <si>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</si>
  <si>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</si>
  <si>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</si>
  <si>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</si>
  <si>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</si>
  <si>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</si>
  <si>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</si>
  <si>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</si>
  <si>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</si>
  <si>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</si>
  <si>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</si>
  <si>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</si>
  <si>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</si>
  <si>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</si>
  <si>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RÉVISÉ</t>
  </si>
  <si>
    <t>LY</t>
  </si>
  <si>
    <t>$</t>
  </si>
  <si>
    <t>Budget</t>
  </si>
  <si>
    <t>Programme used 1</t>
  </si>
  <si>
    <t>Mitsubishi</t>
  </si>
  <si>
    <t>NB</t>
  </si>
  <si>
    <t>Neuf</t>
  </si>
  <si>
    <t>corr</t>
  </si>
  <si>
    <t>DAS</t>
  </si>
  <si>
    <t>BM</t>
  </si>
  <si>
    <t>CSST</t>
  </si>
  <si>
    <t>Masse salariale</t>
  </si>
  <si>
    <t>Used</t>
  </si>
  <si>
    <t>Carosserie</t>
  </si>
  <si>
    <t>Piece</t>
  </si>
  <si>
    <t>Ben Marginaux</t>
  </si>
  <si>
    <t>SERVICE</t>
  </si>
  <si>
    <t>AUDI 1</t>
  </si>
  <si>
    <t>AUDI 2</t>
  </si>
  <si>
    <t>AUDI 3</t>
  </si>
  <si>
    <t>AUDI QUARTER</t>
  </si>
  <si>
    <t>NEUF</t>
  </si>
  <si>
    <t>USAGE</t>
  </si>
  <si>
    <t>CARROSSERIE</t>
  </si>
  <si>
    <t>PIECES</t>
  </si>
  <si>
    <t>Pierre Charles -67%</t>
  </si>
  <si>
    <t>3 commis en moin</t>
  </si>
  <si>
    <t>5e valet + Josee Massie + OT valet et homme de cout</t>
  </si>
  <si>
    <t>CORRECTION ENTRE DEPT</t>
  </si>
  <si>
    <t>new CSI selon volume arrivae</t>
  </si>
  <si>
    <t>Media 360 set up , javier et feb</t>
  </si>
  <si>
    <t>Pierre Charles +67%.5 - 100% x .5</t>
  </si>
  <si>
    <t>Luc .5 de moin</t>
  </si>
  <si>
    <t>rémi de plus 5.5k et allocation % 8% versus 4% corrigé feb</t>
  </si>
  <si>
    <t>correction Jess used</t>
  </si>
  <si>
    <t>less bonus and   67% Pierre Charles and 50% Luc</t>
  </si>
  <si>
    <t>moin 3 versus budget</t>
  </si>
  <si>
    <t>3.5 vs 5 au budget au target bonis pas atteint a 100%</t>
  </si>
  <si>
    <t>Avantage plus Q1 front loaded vs Budget spread</t>
  </si>
  <si>
    <t>plus 30 k versu estimé</t>
  </si>
  <si>
    <t>less cash deals 6 only</t>
  </si>
  <si>
    <t>FMS ET DLR REWARDS</t>
  </si>
  <si>
    <t>SWAP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</si>
</sst>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0.00_)"/>
    <numFmt numFmtId="168" formatCode="_(* #,##0_);_(* \(#,##0\);_(* &quot;-&quot;??_);_(@_)"/>
    <numFmt numFmtId="169" formatCode="&quot;$&quot;#,##0"/>
    <numFmt numFmtId="170" formatCode="_-* #,##0.00\ _$_-;_-* #,##0.00\ _$\-;_-* &quot;-&quot;??\ _$_-;_-@_-"/>
    <numFmt numFmtId="171" formatCode="_-* #,##0.00\ &quot;$&quot;_-;_-* #,##0.00\ &quot;$&quot;\-;_-* &quot;-&quot;??\ &quot;$&quot;_-;_-@_-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5" fillId="0" borderId="0"/>
    <xf numFmtId="170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0" fontId="13" fillId="0" borderId="0"/>
    <xf numFmtId="0" fontId="2" fillId="0" borderId="0"/>
    <xf numFmtId="0" fontId="35" fillId="0" borderId="0"/>
    <xf numFmtId="43" fontId="37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2" applyNumberFormat="1" applyFont="1" applyFill="1" applyBorder="1"/>
    <xf numFmtId="37" fontId="9" fillId="0" borderId="10" xfId="0" applyNumberFormat="1" applyFont="1" applyBorder="1"/>
    <xf numFmtId="3" fontId="8" fillId="0" borderId="0" xfId="0" applyNumberFormat="1" applyFont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165" fontId="9" fillId="0" borderId="14" xfId="2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3" fontId="9" fillId="0" borderId="34" xfId="0" applyNumberFormat="1" applyFont="1" applyBorder="1"/>
    <xf numFmtId="3" fontId="9" fillId="0" borderId="35" xfId="0" applyNumberFormat="1" applyFont="1" applyBorder="1"/>
    <xf numFmtId="3" fontId="9" fillId="0" borderId="36" xfId="0" applyNumberFormat="1" applyFont="1" applyBorder="1"/>
    <xf numFmtId="0" fontId="10" fillId="2" borderId="37" xfId="0" applyFont="1" applyFill="1" applyBorder="1"/>
    <xf numFmtId="0" fontId="10" fillId="2" borderId="38" xfId="0" applyFont="1" applyFill="1" applyBorder="1" applyAlignment="1">
      <alignment horizontal="center"/>
    </xf>
    <xf numFmtId="165" fontId="10" fillId="2" borderId="38" xfId="0" applyNumberFormat="1" applyFont="1" applyFill="1" applyBorder="1"/>
    <xf numFmtId="37" fontId="10" fillId="2" borderId="39" xfId="0" applyNumberFormat="1" applyFont="1" applyFill="1" applyBorder="1"/>
    <xf numFmtId="0" fontId="10" fillId="2" borderId="40" xfId="0" applyFont="1" applyFill="1" applyBorder="1" applyAlignment="1">
      <alignment horizontal="center"/>
    </xf>
    <xf numFmtId="0" fontId="9" fillId="2" borderId="41" xfId="0" applyFont="1" applyFill="1" applyBorder="1"/>
    <xf numFmtId="37" fontId="10" fillId="2" borderId="38" xfId="0" applyNumberFormat="1" applyFont="1" applyFill="1" applyBorder="1"/>
    <xf numFmtId="0" fontId="9" fillId="2" borderId="40" xfId="0" applyFont="1" applyFill="1" applyBorder="1"/>
    <xf numFmtId="37" fontId="10" fillId="2" borderId="42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3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4" xfId="0" applyFont="1" applyFill="1" applyBorder="1"/>
    <xf numFmtId="0" fontId="9" fillId="2" borderId="45" xfId="0" applyFont="1" applyFill="1" applyBorder="1"/>
    <xf numFmtId="0" fontId="10" fillId="2" borderId="45" xfId="0" applyFont="1" applyFill="1" applyBorder="1"/>
    <xf numFmtId="37" fontId="10" fillId="2" borderId="46" xfId="0" applyNumberFormat="1" applyFont="1" applyFill="1" applyBorder="1"/>
    <xf numFmtId="0" fontId="9" fillId="2" borderId="47" xfId="0" applyFont="1" applyFill="1" applyBorder="1"/>
    <xf numFmtId="37" fontId="10" fillId="2" borderId="48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9" xfId="0" applyNumberFormat="1" applyFont="1" applyFill="1" applyBorder="1"/>
    <xf numFmtId="165" fontId="9" fillId="0" borderId="9" xfId="2" applyNumberFormat="1" applyFont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5" xfId="0" applyFont="1" applyFill="1" applyBorder="1" applyAlignment="1">
      <alignment horizontal="right"/>
    </xf>
    <xf numFmtId="0" fontId="9" fillId="2" borderId="47" xfId="0" applyFont="1" applyFill="1" applyBorder="1" applyAlignment="1">
      <alignment horizontal="right"/>
    </xf>
    <xf numFmtId="0" fontId="10" fillId="2" borderId="47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39" fontId="12" fillId="0" borderId="50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51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167" fontId="9" fillId="0" borderId="0" xfId="0" applyNumberFormat="1" applyFont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7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52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10" fillId="2" borderId="56" xfId="0" applyFont="1" applyFill="1" applyBorder="1"/>
    <xf numFmtId="37" fontId="10" fillId="2" borderId="57" xfId="0" applyNumberFormat="1" applyFont="1" applyFill="1" applyBorder="1"/>
    <xf numFmtId="166" fontId="10" fillId="2" borderId="57" xfId="0" applyNumberFormat="1" applyFont="1" applyFill="1" applyBorder="1"/>
    <xf numFmtId="37" fontId="10" fillId="2" borderId="58" xfId="0" applyNumberFormat="1" applyFont="1" applyFill="1" applyBorder="1"/>
    <xf numFmtId="37" fontId="10" fillId="2" borderId="59" xfId="0" applyNumberFormat="1" applyFont="1" applyFill="1" applyBorder="1"/>
    <xf numFmtId="0" fontId="9" fillId="2" borderId="32" xfId="0" applyFont="1" applyFill="1" applyBorder="1"/>
    <xf numFmtId="168" fontId="9" fillId="0" borderId="8" xfId="1" applyNumberFormat="1" applyFont="1" applyFill="1" applyBorder="1"/>
    <xf numFmtId="0" fontId="12" fillId="0" borderId="60" xfId="0" applyFont="1" applyBorder="1"/>
    <xf numFmtId="0" fontId="14" fillId="0" borderId="11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2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2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40" xfId="0" applyFont="1" applyFill="1" applyBorder="1"/>
    <xf numFmtId="0" fontId="10" fillId="2" borderId="61" xfId="0" applyFont="1" applyFill="1" applyBorder="1"/>
    <xf numFmtId="0" fontId="10" fillId="2" borderId="62" xfId="0" applyFont="1" applyFill="1" applyBorder="1"/>
    <xf numFmtId="37" fontId="10" fillId="2" borderId="63" xfId="0" applyNumberFormat="1" applyFont="1" applyFill="1" applyBorder="1"/>
    <xf numFmtId="0" fontId="10" fillId="2" borderId="64" xfId="0" applyFont="1" applyFill="1" applyBorder="1"/>
    <xf numFmtId="0" fontId="9" fillId="2" borderId="64" xfId="0" applyFont="1" applyFill="1" applyBorder="1"/>
    <xf numFmtId="0" fontId="9" fillId="2" borderId="62" xfId="0" applyFont="1" applyFill="1" applyBorder="1"/>
    <xf numFmtId="37" fontId="10" fillId="2" borderId="65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6" xfId="0" applyFont="1" applyBorder="1" applyAlignment="1">
      <alignment horizontal="left"/>
    </xf>
    <xf numFmtId="0" fontId="10" fillId="0" borderId="6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14" fillId="0" borderId="12" xfId="0" applyFont="1" applyBorder="1"/>
    <xf numFmtId="37" fontId="14" fillId="0" borderId="71" xfId="0" applyNumberFormat="1" applyFont="1" applyBorder="1"/>
    <xf numFmtId="37" fontId="14" fillId="0" borderId="72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73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71" xfId="0" applyNumberFormat="1" applyFont="1" applyFill="1" applyBorder="1"/>
    <xf numFmtId="37" fontId="21" fillId="2" borderId="72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73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4" xfId="0" applyNumberFormat="1" applyFont="1" applyBorder="1"/>
    <xf numFmtId="37" fontId="14" fillId="0" borderId="75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6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5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72" xfId="0" applyFont="1" applyBorder="1"/>
    <xf numFmtId="165" fontId="14" fillId="0" borderId="71" xfId="0" applyNumberFormat="1" applyFont="1" applyBorder="1"/>
    <xf numFmtId="165" fontId="14" fillId="0" borderId="77" xfId="0" applyNumberFormat="1" applyFont="1" applyBorder="1"/>
    <xf numFmtId="165" fontId="22" fillId="0" borderId="10" xfId="0" applyNumberFormat="1" applyFont="1" applyBorder="1"/>
    <xf numFmtId="0" fontId="21" fillId="2" borderId="37" xfId="0" applyFont="1" applyFill="1" applyBorder="1"/>
    <xf numFmtId="0" fontId="21" fillId="2" borderId="38" xfId="0" applyFont="1" applyFill="1" applyBorder="1"/>
    <xf numFmtId="165" fontId="21" fillId="2" borderId="38" xfId="0" applyNumberFormat="1" applyFont="1" applyFill="1" applyBorder="1"/>
    <xf numFmtId="37" fontId="21" fillId="2" borderId="78" xfId="0" applyNumberFormat="1" applyFont="1" applyFill="1" applyBorder="1"/>
    <xf numFmtId="165" fontId="21" fillId="2" borderId="41" xfId="0" applyNumberFormat="1" applyFont="1" applyFill="1" applyBorder="1"/>
    <xf numFmtId="0" fontId="21" fillId="2" borderId="41" xfId="0" applyFont="1" applyFill="1" applyBorder="1"/>
    <xf numFmtId="37" fontId="21" fillId="2" borderId="38" xfId="0" applyNumberFormat="1" applyFont="1" applyFill="1" applyBorder="1"/>
    <xf numFmtId="0" fontId="21" fillId="2" borderId="79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4" xfId="0" applyNumberFormat="1" applyFont="1" applyBorder="1"/>
    <xf numFmtId="166" fontId="21" fillId="2" borderId="38" xfId="0" applyNumberFormat="1" applyFont="1" applyFill="1" applyBorder="1"/>
    <xf numFmtId="37" fontId="21" fillId="2" borderId="41" xfId="0" applyNumberFormat="1" applyFont="1" applyFill="1" applyBorder="1"/>
    <xf numFmtId="37" fontId="21" fillId="2" borderId="79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80" xfId="0" applyNumberFormat="1" applyFont="1" applyBorder="1"/>
    <xf numFmtId="0" fontId="14" fillId="0" borderId="81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82" xfId="0" applyNumberFormat="1" applyFont="1" applyBorder="1"/>
    <xf numFmtId="0" fontId="14" fillId="0" borderId="51" xfId="0" applyFont="1" applyBorder="1" applyAlignment="1">
      <alignment horizontal="right"/>
    </xf>
    <xf numFmtId="0" fontId="14" fillId="0" borderId="51" xfId="0" applyFont="1" applyBorder="1"/>
    <xf numFmtId="37" fontId="14" fillId="0" borderId="83" xfId="0" applyNumberFormat="1" applyFont="1" applyBorder="1"/>
    <xf numFmtId="0" fontId="14" fillId="0" borderId="84" xfId="0" applyFont="1" applyBorder="1"/>
    <xf numFmtId="166" fontId="14" fillId="0" borderId="51" xfId="0" applyNumberFormat="1" applyFont="1" applyBorder="1"/>
    <xf numFmtId="37" fontId="14" fillId="0" borderId="84" xfId="0" applyNumberFormat="1" applyFont="1" applyBorder="1"/>
    <xf numFmtId="37" fontId="14" fillId="0" borderId="51" xfId="0" applyNumberFormat="1" applyFont="1" applyBorder="1"/>
    <xf numFmtId="165" fontId="14" fillId="0" borderId="51" xfId="0" applyNumberFormat="1" applyFont="1" applyBorder="1"/>
    <xf numFmtId="37" fontId="14" fillId="0" borderId="85" xfId="0" applyNumberFormat="1" applyFont="1" applyBorder="1"/>
    <xf numFmtId="165" fontId="14" fillId="0" borderId="86" xfId="0" applyNumberFormat="1" applyFont="1" applyBorder="1"/>
    <xf numFmtId="168" fontId="20" fillId="0" borderId="0" xfId="0" applyNumberFormat="1" applyFont="1"/>
    <xf numFmtId="0" fontId="14" fillId="2" borderId="38" xfId="0" applyFont="1" applyFill="1" applyBorder="1"/>
    <xf numFmtId="3" fontId="21" fillId="2" borderId="38" xfId="0" applyNumberFormat="1" applyFont="1" applyFill="1" applyBorder="1" applyAlignment="1">
      <alignment horizontal="center"/>
    </xf>
    <xf numFmtId="165" fontId="21" fillId="2" borderId="42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37" fontId="14" fillId="5" borderId="0" xfId="0" applyNumberFormat="1" applyFont="1" applyFill="1"/>
    <xf numFmtId="0" fontId="20" fillId="3" borderId="0" xfId="0" applyFont="1" applyFill="1"/>
    <xf numFmtId="165" fontId="14" fillId="0" borderId="80" xfId="0" applyNumberFormat="1" applyFont="1" applyBorder="1"/>
    <xf numFmtId="37" fontId="21" fillId="6" borderId="38" xfId="0" applyNumberFormat="1" applyFont="1" applyFill="1" applyBorder="1"/>
    <xf numFmtId="0" fontId="14" fillId="0" borderId="74" xfId="0" applyFont="1" applyBorder="1"/>
    <xf numFmtId="0" fontId="14" fillId="0" borderId="76" xfId="0" applyFont="1" applyBorder="1"/>
    <xf numFmtId="165" fontId="14" fillId="0" borderId="87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81" xfId="0" applyNumberFormat="1" applyFont="1" applyBorder="1"/>
    <xf numFmtId="37" fontId="21" fillId="0" borderId="81" xfId="0" applyNumberFormat="1" applyFont="1" applyBorder="1"/>
    <xf numFmtId="37" fontId="14" fillId="0" borderId="88" xfId="0" applyNumberFormat="1" applyFont="1" applyBorder="1"/>
    <xf numFmtId="37" fontId="21" fillId="0" borderId="7" xfId="0" applyNumberFormat="1" applyFont="1" applyBorder="1"/>
    <xf numFmtId="165" fontId="21" fillId="0" borderId="75" xfId="0" applyNumberFormat="1" applyFont="1" applyBorder="1"/>
    <xf numFmtId="37" fontId="21" fillId="0" borderId="75" xfId="0" applyNumberFormat="1" applyFont="1" applyBorder="1"/>
    <xf numFmtId="37" fontId="14" fillId="0" borderId="89" xfId="0" applyNumberFormat="1" applyFont="1" applyBorder="1"/>
    <xf numFmtId="37" fontId="21" fillId="0" borderId="0" xfId="0" applyNumberFormat="1" applyFont="1"/>
    <xf numFmtId="165" fontId="14" fillId="2" borderId="41" xfId="0" applyNumberFormat="1" applyFont="1" applyFill="1" applyBorder="1"/>
    <xf numFmtId="165" fontId="14" fillId="2" borderId="38" xfId="0" applyNumberFormat="1" applyFont="1" applyFill="1" applyBorder="1"/>
    <xf numFmtId="37" fontId="14" fillId="2" borderId="79" xfId="0" applyNumberFormat="1" applyFont="1" applyFill="1" applyBorder="1"/>
    <xf numFmtId="9" fontId="20" fillId="0" borderId="0" xfId="0" applyNumberFormat="1" applyFont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80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81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81" xfId="0" applyNumberFormat="1" applyFont="1" applyFill="1" applyBorder="1"/>
    <xf numFmtId="165" fontId="14" fillId="3" borderId="7" xfId="0" applyNumberFormat="1" applyFont="1" applyFill="1" applyBorder="1"/>
    <xf numFmtId="37" fontId="14" fillId="3" borderId="82" xfId="0" applyNumberFormat="1" applyFont="1" applyFill="1" applyBorder="1"/>
    <xf numFmtId="165" fontId="14" fillId="0" borderId="48" xfId="0" applyNumberFormat="1" applyFont="1" applyBorder="1"/>
    <xf numFmtId="0" fontId="21" fillId="2" borderId="61" xfId="0" applyFont="1" applyFill="1" applyBorder="1"/>
    <xf numFmtId="0" fontId="21" fillId="2" borderId="62" xfId="0" applyFont="1" applyFill="1" applyBorder="1"/>
    <xf numFmtId="0" fontId="21" fillId="2" borderId="62" xfId="0" applyFont="1" applyFill="1" applyBorder="1" applyAlignment="1">
      <alignment horizontal="center"/>
    </xf>
    <xf numFmtId="165" fontId="21" fillId="2" borderId="62" xfId="0" applyNumberFormat="1" applyFont="1" applyFill="1" applyBorder="1"/>
    <xf numFmtId="37" fontId="21" fillId="2" borderId="90" xfId="0" applyNumberFormat="1" applyFont="1" applyFill="1" applyBorder="1"/>
    <xf numFmtId="37" fontId="21" fillId="2" borderId="62" xfId="0" applyNumberFormat="1" applyFont="1" applyFill="1" applyBorder="1"/>
    <xf numFmtId="37" fontId="21" fillId="2" borderId="91" xfId="0" applyNumberFormat="1" applyFont="1" applyFill="1" applyBorder="1"/>
    <xf numFmtId="165" fontId="21" fillId="2" borderId="92" xfId="0" applyNumberFormat="1" applyFont="1" applyFill="1" applyBorder="1"/>
    <xf numFmtId="0" fontId="21" fillId="2" borderId="91" xfId="0" applyFont="1" applyFill="1" applyBorder="1" applyAlignment="1">
      <alignment horizontal="center"/>
    </xf>
    <xf numFmtId="37" fontId="21" fillId="2" borderId="93" xfId="0" applyNumberFormat="1" applyFont="1" applyFill="1" applyBorder="1"/>
    <xf numFmtId="165" fontId="21" fillId="2" borderId="49" xfId="0" applyNumberFormat="1" applyFont="1" applyFill="1" applyBorder="1"/>
    <xf numFmtId="39" fontId="14" fillId="0" borderId="0" xfId="0" applyNumberFormat="1" applyFont="1"/>
    <xf numFmtId="0" fontId="21" fillId="2" borderId="94" xfId="0" applyFont="1" applyFill="1" applyBorder="1"/>
    <xf numFmtId="0" fontId="21" fillId="2" borderId="95" xfId="0" applyFont="1" applyFill="1" applyBorder="1"/>
    <xf numFmtId="0" fontId="21" fillId="2" borderId="95" xfId="0" applyFont="1" applyFill="1" applyBorder="1" applyAlignment="1">
      <alignment horizontal="center"/>
    </xf>
    <xf numFmtId="165" fontId="21" fillId="2" borderId="95" xfId="0" applyNumberFormat="1" applyFont="1" applyFill="1" applyBorder="1"/>
    <xf numFmtId="37" fontId="21" fillId="2" borderId="96" xfId="0" applyNumberFormat="1" applyFont="1" applyFill="1" applyBorder="1"/>
    <xf numFmtId="37" fontId="21" fillId="2" borderId="95" xfId="0" applyNumberFormat="1" applyFont="1" applyFill="1" applyBorder="1"/>
    <xf numFmtId="37" fontId="21" fillId="2" borderId="97" xfId="0" applyNumberFormat="1" applyFont="1" applyFill="1" applyBorder="1"/>
    <xf numFmtId="37" fontId="21" fillId="2" borderId="98" xfId="0" applyNumberFormat="1" applyFont="1" applyFill="1" applyBorder="1"/>
    <xf numFmtId="37" fontId="21" fillId="2" borderId="67" xfId="0" applyNumberFormat="1" applyFont="1" applyFill="1" applyBorder="1"/>
    <xf numFmtId="165" fontId="21" fillId="2" borderId="70" xfId="0" applyNumberFormat="1" applyFont="1" applyFill="1" applyBorder="1"/>
    <xf numFmtId="0" fontId="20" fillId="0" borderId="18" xfId="0" applyFont="1" applyBorder="1"/>
    <xf numFmtId="37" fontId="20" fillId="0" borderId="74" xfId="0" applyNumberFormat="1" applyFont="1" applyBorder="1"/>
    <xf numFmtId="0" fontId="20" fillId="0" borderId="74" xfId="0" applyFont="1" applyBorder="1"/>
    <xf numFmtId="0" fontId="20" fillId="0" borderId="89" xfId="0" applyFont="1" applyBorder="1"/>
    <xf numFmtId="0" fontId="20" fillId="0" borderId="76" xfId="0" applyFont="1" applyBorder="1"/>
    <xf numFmtId="0" fontId="20" fillId="0" borderId="10" xfId="0" applyFont="1" applyBorder="1"/>
    <xf numFmtId="0" fontId="7" fillId="0" borderId="76" xfId="0" applyFont="1" applyBorder="1"/>
    <xf numFmtId="165" fontId="21" fillId="2" borderId="65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quotePrefix="1" applyFont="1" applyFill="1" applyAlignment="1">
      <alignment horizontal="center"/>
    </xf>
    <xf numFmtId="1" fontId="9" fillId="0" borderId="8" xfId="0" applyNumberFormat="1" applyFont="1" applyBorder="1"/>
    <xf numFmtId="3" fontId="9" fillId="0" borderId="86" xfId="0" applyNumberFormat="1" applyFont="1" applyBorder="1"/>
    <xf numFmtId="0" fontId="0" fillId="0" borderId="0" xfId="0" applyFill="1"/>
    <xf numFmtId="0" fontId="8" fillId="0" borderId="0" xfId="0" applyFont="1" applyFill="1"/>
    <xf numFmtId="0" fontId="9" fillId="0" borderId="18" xfId="0" applyFont="1" applyFill="1" applyBorder="1"/>
    <xf numFmtId="3" fontId="9" fillId="0" borderId="0" xfId="0" applyNumberFormat="1" applyFont="1" applyFill="1"/>
    <xf numFmtId="3" fontId="9" fillId="0" borderId="8" xfId="0" applyNumberFormat="1" applyFont="1" applyFill="1" applyBorder="1"/>
    <xf numFmtId="3" fontId="9" fillId="0" borderId="9" xfId="0" applyNumberFormat="1" applyFont="1" applyFill="1" applyBorder="1"/>
    <xf numFmtId="3" fontId="9" fillId="0" borderId="10" xfId="0" applyNumberFormat="1" applyFont="1" applyFill="1" applyBorder="1"/>
    <xf numFmtId="0" fontId="9" fillId="0" borderId="0" xfId="0" applyFont="1" applyFill="1"/>
    <xf numFmtId="1" fontId="9" fillId="0" borderId="0" xfId="0" applyNumberFormat="1" applyFont="1"/>
    <xf numFmtId="1" fontId="9" fillId="0" borderId="13" xfId="0" applyNumberFormat="1" applyFont="1" applyBorder="1"/>
    <xf numFmtId="1" fontId="9" fillId="0" borderId="19" xfId="0" applyNumberFormat="1" applyFont="1" applyBorder="1"/>
    <xf numFmtId="0" fontId="9" fillId="0" borderId="0" xfId="0" applyFont="1" applyBorder="1" applyAlignment="1">
      <alignment horizontal="center"/>
    </xf>
    <xf numFmtId="165" fontId="9" fillId="0" borderId="0" xfId="0" applyNumberFormat="1" applyFont="1" applyBorder="1"/>
    <xf numFmtId="37" fontId="9" fillId="0" borderId="0" xfId="0" applyNumberFormat="1" applyFont="1" applyBorder="1"/>
    <xf numFmtId="165" fontId="10" fillId="3" borderId="12" xfId="0" applyNumberFormat="1" applyFont="1" applyFill="1" applyBorder="1"/>
    <xf numFmtId="165" fontId="10" fillId="2" borderId="30" xfId="0" applyNumberFormat="1" applyFont="1" applyFill="1" applyBorder="1"/>
    <xf numFmtId="165" fontId="10" fillId="0" borderId="0" xfId="0" applyNumberFormat="1" applyFont="1" applyBorder="1"/>
    <xf numFmtId="1" fontId="9" fillId="0" borderId="15" xfId="0" applyNumberFormat="1" applyFont="1" applyBorder="1"/>
    <xf numFmtId="1" fontId="9" fillId="0" borderId="7" xfId="0" applyNumberFormat="1" applyFont="1" applyBorder="1"/>
    <xf numFmtId="37" fontId="10" fillId="2" borderId="45" xfId="0" applyNumberFormat="1" applyFont="1" applyFill="1" applyBorder="1"/>
    <xf numFmtId="0" fontId="9" fillId="0" borderId="0" xfId="0" applyFont="1" applyBorder="1"/>
    <xf numFmtId="0" fontId="9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6" fontId="9" fillId="0" borderId="0" xfId="0" applyNumberFormat="1" applyFont="1" applyBorder="1"/>
    <xf numFmtId="166" fontId="10" fillId="0" borderId="0" xfId="0" applyNumberFormat="1" applyFont="1" applyBorder="1"/>
    <xf numFmtId="0" fontId="10" fillId="0" borderId="0" xfId="0" applyFont="1" applyBorder="1"/>
    <xf numFmtId="1" fontId="9" fillId="0" borderId="12" xfId="0" applyNumberFormat="1" applyFont="1" applyBorder="1"/>
    <xf numFmtId="0" fontId="32" fillId="0" borderId="100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100" xfId="0" applyFont="1" applyBorder="1" applyAlignment="1">
      <alignment vertical="center"/>
    </xf>
    <xf numFmtId="0" fontId="33" fillId="0" borderId="101" xfId="0" applyFont="1" applyBorder="1" applyAlignment="1">
      <alignment vertical="center"/>
    </xf>
    <xf numFmtId="37" fontId="33" fillId="0" borderId="102" xfId="0" applyNumberFormat="1" applyFont="1" applyBorder="1" applyAlignment="1">
      <alignment horizontal="center" vertical="center"/>
    </xf>
    <xf numFmtId="3" fontId="0" fillId="0" borderId="102" xfId="0" applyNumberFormat="1" applyBorder="1" applyAlignment="1">
      <alignment horizontal="center" vertical="center"/>
    </xf>
    <xf numFmtId="3" fontId="0" fillId="0" borderId="103" xfId="0" applyNumberFormat="1" applyBorder="1" applyAlignment="1">
      <alignment horizontal="center" vertical="center"/>
    </xf>
    <xf numFmtId="3" fontId="0" fillId="0" borderId="104" xfId="0" applyNumberFormat="1" applyBorder="1" applyAlignment="1">
      <alignment horizontal="center" vertical="center"/>
    </xf>
    <xf numFmtId="0" fontId="33" fillId="11" borderId="99" xfId="0" applyFont="1" applyFill="1" applyBorder="1" applyAlignment="1">
      <alignment horizontal="center"/>
    </xf>
    <xf numFmtId="0" fontId="33" fillId="12" borderId="99" xfId="0" applyFont="1" applyFill="1" applyBorder="1" applyAlignment="1">
      <alignment horizontal="center"/>
    </xf>
    <xf numFmtId="0" fontId="33" fillId="8" borderId="99" xfId="0" applyFont="1" applyFill="1" applyBorder="1" applyAlignment="1">
      <alignment horizontal="center"/>
    </xf>
    <xf numFmtId="3" fontId="32" fillId="0" borderId="102" xfId="0" applyNumberFormat="1" applyFont="1" applyBorder="1" applyAlignment="1">
      <alignment horizontal="center" vertical="center"/>
    </xf>
    <xf numFmtId="169" fontId="20" fillId="0" borderId="0" xfId="0" applyNumberFormat="1" applyFont="1"/>
    <xf numFmtId="0" fontId="0" fillId="0" borderId="102" xfId="0" applyFill="1" applyBorder="1" applyAlignment="1">
      <alignment vertical="center"/>
    </xf>
    <xf numFmtId="0" fontId="0" fillId="0" borderId="103" xfId="0" applyFill="1" applyBorder="1" applyAlignment="1">
      <alignment vertical="center"/>
    </xf>
    <xf numFmtId="0" fontId="0" fillId="0" borderId="104" xfId="0" applyFill="1" applyBorder="1" applyAlignment="1">
      <alignment vertical="center"/>
    </xf>
    <xf numFmtId="3" fontId="9" fillId="0" borderId="0" xfId="0" applyNumberFormat="1" applyFont="1" applyBorder="1"/>
    <xf numFmtId="0" fontId="34" fillId="0" borderId="0" xfId="0" applyFont="1"/>
    <xf numFmtId="1" fontId="34" fillId="0" borderId="0" xfId="0" applyNumberFormat="1" applyFont="1"/>
    <xf numFmtId="1" fontId="9" fillId="10" borderId="9" xfId="0" applyNumberFormat="1" applyFont="1" applyFill="1" applyBorder="1" applyAlignment="1">
      <alignment horizontal="center"/>
    </xf>
    <xf numFmtId="1" fontId="9" fillId="10" borderId="0" xfId="0" applyNumberFormat="1" applyFont="1" applyFill="1" applyAlignment="1">
      <alignment horizontal="center"/>
    </xf>
    <xf numFmtId="0" fontId="33" fillId="0" borderId="0" xfId="0" applyFont="1" applyAlignment="1">
      <alignment horizontal="center"/>
    </xf>
    <xf numFmtId="37" fontId="33" fillId="0" borderId="104" xfId="0" applyNumberFormat="1" applyFont="1" applyBorder="1" applyAlignment="1">
      <alignment horizontal="center" vertical="center"/>
    </xf>
    <xf numFmtId="3" fontId="32" fillId="9" borderId="102" xfId="0" applyNumberFormat="1" applyFont="1" applyFill="1" applyBorder="1" applyAlignment="1">
      <alignment horizontal="center" vertical="center"/>
    </xf>
    <xf numFmtId="3" fontId="0" fillId="9" borderId="102" xfId="0" applyNumberFormat="1" applyFill="1" applyBorder="1" applyAlignment="1">
      <alignment horizontal="center" vertical="center"/>
    </xf>
    <xf numFmtId="3" fontId="0" fillId="9" borderId="103" xfId="0" applyNumberFormat="1" applyFill="1" applyBorder="1" applyAlignment="1">
      <alignment horizontal="center" vertical="center"/>
    </xf>
    <xf numFmtId="3" fontId="0" fillId="9" borderId="104" xfId="0" applyNumberFormat="1" applyFill="1" applyBorder="1" applyAlignment="1">
      <alignment horizontal="center" vertical="center"/>
    </xf>
    <xf numFmtId="0" fontId="33" fillId="9" borderId="99" xfId="0" applyFont="1" applyFill="1" applyBorder="1" applyAlignment="1">
      <alignment horizontal="center"/>
    </xf>
    <xf numFmtId="43" fontId="8" fillId="0" borderId="0" xfId="1" applyFont="1" applyFill="1"/>
    <xf numFmtId="165" fontId="9" fillId="0" borderId="14" xfId="2" applyNumberFormat="1" applyFont="1" applyFill="1" applyBorder="1"/>
    <xf numFmtId="0" fontId="8" fillId="10" borderId="0" xfId="0" applyFont="1" applyFill="1"/>
    <xf numFmtId="3" fontId="7" fillId="0" borderId="0" xfId="0" applyNumberFormat="1" applyFont="1"/>
    <xf numFmtId="0" fontId="13" fillId="0" borderId="0" xfId="0" applyFont="1"/>
    <xf numFmtId="165" fontId="7" fillId="0" borderId="0" xfId="2" applyNumberFormat="1" applyFont="1"/>
    <xf numFmtId="2" fontId="0" fillId="0" borderId="0" xfId="0" applyNumberFormat="1"/>
    <xf numFmtId="43" fontId="7" fillId="0" borderId="0" xfId="1" applyFont="1"/>
    <xf numFmtId="3" fontId="0" fillId="0" borderId="0" xfId="0" applyNumberFormat="1"/>
    <xf numFmtId="9" fontId="7" fillId="0" borderId="0" xfId="2" applyFont="1"/>
    <xf numFmtId="4" fontId="7" fillId="0" borderId="0" xfId="0" applyNumberFormat="1" applyFont="1"/>
    <xf numFmtId="10" fontId="7" fillId="0" borderId="0" xfId="2" applyNumberFormat="1" applyFont="1"/>
    <xf numFmtId="43" fontId="20" fillId="0" borderId="0" xfId="1" applyFont="1"/>
    <xf numFmtId="165" fontId="20" fillId="0" borderId="0" xfId="2" applyNumberFormat="1" applyFont="1"/>
    <xf numFmtId="43" fontId="0" fillId="0" borderId="0" xfId="0" applyNumberFormat="1"/>
    <xf numFmtId="165" fontId="0" fillId="0" borderId="0" xfId="2" applyNumberFormat="1" applyFont="1" applyAlignment="1"/>
    <xf numFmtId="43" fontId="0" fillId="0" borderId="0" xfId="1" applyFont="1" applyAlignment="1"/>
    <xf numFmtId="0" fontId="38" fillId="0" borderId="0" xfId="0" applyFont="1" applyAlignment="1">
      <alignment horizontal="center"/>
    </xf>
    <xf numFmtId="3" fontId="38" fillId="0" borderId="0" xfId="0" applyNumberFormat="1" applyFont="1" applyAlignment="1">
      <alignment horizontal="center"/>
    </xf>
    <xf numFmtId="0" fontId="10" fillId="0" borderId="67" xfId="0" applyFont="1" applyBorder="1" applyAlignment="1">
      <alignment horizontal="center" vertical="center"/>
    </xf>
    <xf numFmtId="0" fontId="33" fillId="11" borderId="99" xfId="0" applyFont="1" applyFill="1" applyBorder="1" applyAlignment="1">
      <alignment horizontal="center" vertical="center"/>
    </xf>
    <xf numFmtId="0" fontId="33" fillId="12" borderId="99" xfId="0" applyFont="1" applyFill="1" applyBorder="1" applyAlignment="1">
      <alignment horizontal="center" vertical="center"/>
    </xf>
    <xf numFmtId="0" fontId="33" fillId="9" borderId="99" xfId="0" applyFont="1" applyFill="1" applyBorder="1" applyAlignment="1">
      <alignment horizontal="center" vertical="center"/>
    </xf>
    <xf numFmtId="0" fontId="33" fillId="8" borderId="99" xfId="0" applyFont="1" applyFill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1" fillId="0" borderId="67" xfId="0" applyFont="1" applyBorder="1"/>
    <xf numFmtId="0" fontId="11" fillId="0" borderId="7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7" xfId="0" applyFont="1" applyBorder="1" applyAlignment="1">
      <alignment horizontal="center" vertical="center"/>
    </xf>
    <xf numFmtId="0" fontId="11" fillId="0" borderId="68" xfId="0" applyFont="1" applyBorder="1"/>
    <xf numFmtId="0" fontId="10" fillId="0" borderId="1" xfId="0" applyFont="1" applyBorder="1" applyAlignment="1">
      <alignment horizontal="center"/>
    </xf>
    <xf numFmtId="10" fontId="0" fillId="0" borderId="0" xfId="0" applyNumberFormat="1"/>
    <xf numFmtId="0" fontId="40" fillId="0" borderId="0" xfId="0" applyFont="1"/>
    <xf numFmtId="10" fontId="40" fillId="0" borderId="0" xfId="0" applyNumberFormat="1" applyFont="1"/>
    <xf numFmtId="39" fontId="10" fillId="3" borderId="12" xfId="0" applyNumberFormat="1" applyFont="1" applyFill="1" applyBorder="1"/>
    <xf numFmtId="168" fontId="9" fillId="0" borderId="8" xfId="1" applyNumberFormat="1" applyFont="1" applyBorder="1"/>
    <xf numFmtId="0" fontId="9" fillId="13" borderId="0" xfId="0" applyFont="1" applyFill="1"/>
    <xf numFmtId="6" fontId="9" fillId="0" borderId="0" xfId="0" applyNumberFormat="1" applyFont="1"/>
    <xf numFmtId="168" fontId="14" fillId="0" borderId="74" xfId="1" applyNumberFormat="1" applyFont="1" applyFill="1" applyBorder="1"/>
    <xf numFmtId="165" fontId="9" fillId="0" borderId="0" xfId="2" applyNumberFormat="1" applyFont="1" applyBorder="1" applyAlignment="1">
      <alignment horizontal="right"/>
    </xf>
    <xf numFmtId="165" fontId="9" fillId="0" borderId="12" xfId="2" applyNumberFormat="1" applyFont="1" applyBorder="1" applyAlignment="1">
      <alignment horizontal="right"/>
    </xf>
  </cellXfs>
  <cellStyles count="17">
    <cellStyle name="Milliers" xfId="1" builtinId="3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Pourcentage" xfId="2" builtinId="5"/>
    <cellStyle name="Pourcentage 2" xfId="8" xr:uid="{00000000-0005-0000-0000-000009000000}"/>
    <cellStyle name="Pourcentage 3" xfId="15" xr:uid="{B09CCB1C-0232-46FA-AAFA-AA26EA7AA4F5}"/>
  </cellStyles>
  <dxfs count="2400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04%202021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05%202021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VW%20r&#233;alis&#233;%20P06%202021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Avril</v>
          </cell>
        </row>
        <row r="4">
          <cell r="B4">
            <v>2021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>X</v>
          </cell>
          <cell r="P2" t="str">
            <v>O</v>
          </cell>
          <cell r="Q2" t="str">
            <v>U</v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604.29042904290429</v>
          </cell>
          <cell r="E9">
            <v>183100</v>
          </cell>
          <cell r="F9">
            <v>23.607095531789504</v>
          </cell>
          <cell r="G9">
            <v>604.29042904290429</v>
          </cell>
          <cell r="H9">
            <v>14265.541887361909</v>
          </cell>
          <cell r="I9">
            <v>16.252745004560932</v>
          </cell>
          <cell r="J9">
            <v>604.29042904290429</v>
          </cell>
          <cell r="K9">
            <v>9821.3782519310444</v>
          </cell>
          <cell r="L9">
            <v>24.706978036209659</v>
          </cell>
          <cell r="M9">
            <v>604.29042904290429</v>
          </cell>
          <cell r="N9">
            <v>14930.190357854748</v>
          </cell>
          <cell r="O9">
            <v>27.366259623939069</v>
          </cell>
          <cell r="P9">
            <v>604.29042904290418</v>
          </cell>
          <cell r="Q9">
            <v>16537.168769449647</v>
          </cell>
          <cell r="R9">
            <v>35.760209540040471</v>
          </cell>
          <cell r="S9">
            <v>604.29042904290429</v>
          </cell>
          <cell r="T9">
            <v>21609.552365615215</v>
          </cell>
          <cell r="U9">
            <v>25.194550907869203</v>
          </cell>
          <cell r="V9">
            <v>604.29042904290429</v>
          </cell>
          <cell r="W9">
            <v>15224.825977659575</v>
          </cell>
          <cell r="X9">
            <v>25.083842293153349</v>
          </cell>
          <cell r="Y9">
            <v>604.29042904290429</v>
          </cell>
          <cell r="Z9">
            <v>15157.925821374185</v>
          </cell>
          <cell r="AA9">
            <v>26.560589054517198</v>
          </cell>
          <cell r="AB9">
            <v>604.29042904290429</v>
          </cell>
          <cell r="AC9">
            <v>16050.309755386465</v>
          </cell>
          <cell r="AD9">
            <v>29.104991497524331</v>
          </cell>
          <cell r="AE9">
            <v>604.29042904290429</v>
          </cell>
          <cell r="AF9">
            <v>17587.867799329058</v>
          </cell>
          <cell r="AG9">
            <v>36.100676444200857</v>
          </cell>
          <cell r="AH9">
            <v>604.29042904290429</v>
          </cell>
          <cell r="AI9">
            <v>21815.293257205205</v>
          </cell>
          <cell r="AJ9">
            <v>20.980040766836964</v>
          </cell>
          <cell r="AK9">
            <v>604.29042904290429</v>
          </cell>
          <cell r="AL9">
            <v>12678.037836329531</v>
          </cell>
          <cell r="AM9">
            <v>12.282021299358465</v>
          </cell>
          <cell r="AN9">
            <v>604.29042904290429</v>
          </cell>
          <cell r="AO9">
            <v>7421.9079205034159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1315.4791154791153</v>
          </cell>
          <cell r="E10">
            <v>535400</v>
          </cell>
          <cell r="F10">
            <v>31.709860994845965</v>
          </cell>
          <cell r="G10">
            <v>1315.4791154791155</v>
          </cell>
          <cell r="H10">
            <v>41713.659893465679</v>
          </cell>
          <cell r="I10">
            <v>21.831244940119799</v>
          </cell>
          <cell r="J10">
            <v>1315.4791154791155</v>
          </cell>
          <cell r="K10">
            <v>28718.54678363671</v>
          </cell>
          <cell r="L10">
            <v>33.187260926525845</v>
          </cell>
          <cell r="M10">
            <v>1315.4791154791155</v>
          </cell>
          <cell r="N10">
            <v>43657.14864880083</v>
          </cell>
          <cell r="O10">
            <v>36.759299230835644</v>
          </cell>
          <cell r="P10">
            <v>1315.4791154791155</v>
          </cell>
          <cell r="Q10">
            <v>48356.090437811807</v>
          </cell>
          <cell r="R10">
            <v>48.03434086731508</v>
          </cell>
          <cell r="S10">
            <v>1315.4791154791155</v>
          </cell>
          <cell r="T10">
            <v>63188.172236757971</v>
          </cell>
          <cell r="U10">
            <v>33.84218554291342</v>
          </cell>
          <cell r="V10">
            <v>1315.4791154791155</v>
          </cell>
          <cell r="W10">
            <v>44518.688303871859</v>
          </cell>
          <cell r="X10">
            <v>33.693477931727436</v>
          </cell>
          <cell r="Y10">
            <v>1315.4791154791155</v>
          </cell>
          <cell r="Z10">
            <v>44323.066547043905</v>
          </cell>
          <cell r="AA10">
            <v>35.677094868608911</v>
          </cell>
          <cell r="AB10">
            <v>1315.4791154791155</v>
          </cell>
          <cell r="AC10">
            <v>46932.473200622146</v>
          </cell>
          <cell r="AD10">
            <v>39.094823562681199</v>
          </cell>
          <cell r="AE10">
            <v>1315.4791154791155</v>
          </cell>
          <cell r="AF10">
            <v>51428.42392004795</v>
          </cell>
          <cell r="AG10">
            <v>48.491667698976073</v>
          </cell>
          <cell r="AH10">
            <v>1315.4791154791155</v>
          </cell>
          <cell r="AI10">
            <v>63789.77613275624</v>
          </cell>
          <cell r="AJ10">
            <v>28.181110865025232</v>
          </cell>
          <cell r="AK10">
            <v>1315.4791154791155</v>
          </cell>
          <cell r="AL10">
            <v>37071.662793942283</v>
          </cell>
          <cell r="AM10">
            <v>16.497632570425399</v>
          </cell>
          <cell r="AN10">
            <v>1315.4791154791155</v>
          </cell>
          <cell r="AO10">
            <v>21702.291101242652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1011.9718309859155</v>
          </cell>
          <cell r="E16">
            <v>718500</v>
          </cell>
          <cell r="F16">
            <v>55.316956526635465</v>
          </cell>
          <cell r="G16">
            <v>1011.9718309859156</v>
          </cell>
          <cell r="H16">
            <v>55979.201780827585</v>
          </cell>
          <cell r="I16">
            <v>38.083989944680731</v>
          </cell>
          <cell r="J16">
            <v>1011.9718309859154</v>
          </cell>
          <cell r="K16">
            <v>38539.92503556775</v>
          </cell>
          <cell r="L16">
            <v>57.8942389627355</v>
          </cell>
          <cell r="M16">
            <v>1011.9718309859156</v>
          </cell>
          <cell r="N16">
            <v>58587.33900665558</v>
          </cell>
          <cell r="O16">
            <v>64.12555885477471</v>
          </cell>
          <cell r="P16">
            <v>1011.9718309859155</v>
          </cell>
          <cell r="Q16">
            <v>64893.25920726145</v>
          </cell>
          <cell r="R16">
            <v>83.794550407355558</v>
          </cell>
          <cell r="S16">
            <v>1011.9718309859154</v>
          </cell>
          <cell r="T16">
            <v>84797.724602373186</v>
          </cell>
          <cell r="U16">
            <v>59.036736450782627</v>
          </cell>
          <cell r="V16">
            <v>1011.9718309859155</v>
          </cell>
          <cell r="W16">
            <v>59743.514281531432</v>
          </cell>
          <cell r="X16">
            <v>58.777320224880782</v>
          </cell>
          <cell r="Y16">
            <v>1011.9718309859155</v>
          </cell>
          <cell r="Z16">
            <v>59480.99236841809</v>
          </cell>
          <cell r="AA16">
            <v>62.237683923126113</v>
          </cell>
          <cell r="AB16">
            <v>1011.9718309859155</v>
          </cell>
          <cell r="AC16">
            <v>62982.78295600861</v>
          </cell>
          <cell r="AD16">
            <v>68.199815060205538</v>
          </cell>
          <cell r="AE16">
            <v>1011.9718309859155</v>
          </cell>
          <cell r="AF16">
            <v>69016.291719377012</v>
          </cell>
          <cell r="AG16">
            <v>84.592344143176931</v>
          </cell>
          <cell r="AH16">
            <v>1011.9718309859155</v>
          </cell>
          <cell r="AI16">
            <v>85605.069389961442</v>
          </cell>
          <cell r="AJ16">
            <v>49.161151631862197</v>
          </cell>
          <cell r="AK16">
            <v>1011.9718309859155</v>
          </cell>
          <cell r="AL16">
            <v>49749.700630271815</v>
          </cell>
          <cell r="AM16">
            <v>28.779653869783864</v>
          </cell>
          <cell r="AN16">
            <v>1011.9718309859156</v>
          </cell>
          <cell r="AO16">
            <v>29124.19902174607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399.99999999999994</v>
          </cell>
          <cell r="E18">
            <v>29600</v>
          </cell>
          <cell r="F18">
            <v>5.7654292717901754</v>
          </cell>
          <cell r="G18">
            <v>400</v>
          </cell>
          <cell r="H18">
            <v>2306.17170871607</v>
          </cell>
          <cell r="I18">
            <v>3.9693172618399633</v>
          </cell>
          <cell r="J18">
            <v>400</v>
          </cell>
          <cell r="K18">
            <v>1587.7269047359853</v>
          </cell>
          <cell r="L18">
            <v>6.0340474411865177</v>
          </cell>
          <cell r="M18">
            <v>400.00000000000006</v>
          </cell>
          <cell r="N18">
            <v>2413.6189764746073</v>
          </cell>
          <cell r="O18">
            <v>6.683508951061027</v>
          </cell>
          <cell r="P18">
            <v>400</v>
          </cell>
          <cell r="Q18">
            <v>2673.4035804244108</v>
          </cell>
          <cell r="R18">
            <v>8.7335165213300154</v>
          </cell>
          <cell r="S18">
            <v>400</v>
          </cell>
          <cell r="T18">
            <v>3493.406608532006</v>
          </cell>
          <cell r="U18">
            <v>6.1531246441660761</v>
          </cell>
          <cell r="V18">
            <v>399.99999999999994</v>
          </cell>
          <cell r="W18">
            <v>2461.2498576664302</v>
          </cell>
          <cell r="X18">
            <v>6.1260868966777151</v>
          </cell>
          <cell r="Y18">
            <v>400</v>
          </cell>
          <cell r="Z18">
            <v>2450.434758671086</v>
          </cell>
          <cell r="AA18">
            <v>6.4867445215652566</v>
          </cell>
          <cell r="AB18">
            <v>399.99999999999994</v>
          </cell>
          <cell r="AC18">
            <v>2594.6978086261024</v>
          </cell>
          <cell r="AD18">
            <v>7.1081497386693089</v>
          </cell>
          <cell r="AE18">
            <v>400</v>
          </cell>
          <cell r="AF18">
            <v>2843.2598954677237</v>
          </cell>
          <cell r="AG18">
            <v>8.8166668543592852</v>
          </cell>
          <cell r="AH18">
            <v>400</v>
          </cell>
          <cell r="AI18">
            <v>3526.6667417437143</v>
          </cell>
          <cell r="AJ18">
            <v>5.1238383390954967</v>
          </cell>
          <cell r="AK18">
            <v>400.00000000000006</v>
          </cell>
          <cell r="AL18">
            <v>2049.5353356381988</v>
          </cell>
          <cell r="AM18">
            <v>2.999569558259163</v>
          </cell>
          <cell r="AN18">
            <v>399.99999999999994</v>
          </cell>
          <cell r="AO18">
            <v>1199.8278233036651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784</v>
          </cell>
          <cell r="D30">
            <v>1880.7397959183672</v>
          </cell>
          <cell r="E30">
            <v>1474500</v>
          </cell>
          <cell r="F30">
            <v>61.082385798425641</v>
          </cell>
          <cell r="G30">
            <v>1886.065842260778</v>
          </cell>
          <cell r="H30">
            <v>115205.40141820544</v>
          </cell>
          <cell r="I30">
            <v>42.053307206520692</v>
          </cell>
          <cell r="J30">
            <v>1923.105896729719</v>
          </cell>
          <cell r="K30">
            <v>80872.963065846328</v>
          </cell>
          <cell r="L30">
            <v>63.928286403922016</v>
          </cell>
          <cell r="M30">
            <v>1882.4218228862305</v>
          </cell>
          <cell r="N30">
            <v>120340.0014264639</v>
          </cell>
          <cell r="O30">
            <v>70.809067805835738</v>
          </cell>
          <cell r="P30">
            <v>1874.8216088180907</v>
          </cell>
          <cell r="Q30">
            <v>132754.37042264623</v>
          </cell>
          <cell r="R30">
            <v>92.528066928685575</v>
          </cell>
          <cell r="S30">
            <v>1858.2468412833882</v>
          </cell>
          <cell r="T30">
            <v>171939.98810028791</v>
          </cell>
          <cell r="U30">
            <v>65.189861094948697</v>
          </cell>
          <cell r="V30">
            <v>1880.9082272980224</v>
          </cell>
          <cell r="W30">
            <v>122616.14606990427</v>
          </cell>
          <cell r="X30">
            <v>64.903407121558502</v>
          </cell>
          <cell r="Y30">
            <v>1881.2467418194606</v>
          </cell>
          <cell r="Z30">
            <v>122099.32318041391</v>
          </cell>
          <cell r="AA30">
            <v>68.72442844469137</v>
          </cell>
          <cell r="AB30">
            <v>1876.9635173675495</v>
          </cell>
          <cell r="AC30">
            <v>128993.24494262238</v>
          </cell>
          <cell r="AD30">
            <v>75.307964798874849</v>
          </cell>
          <cell r="AE30">
            <v>1870.6032233126164</v>
          </cell>
          <cell r="AF30">
            <v>140871.32169388834</v>
          </cell>
          <cell r="AG30">
            <v>93.409010997536214</v>
          </cell>
          <cell r="AH30">
            <v>1857.7372100020198</v>
          </cell>
          <cell r="AI30">
            <v>173529.39547961092</v>
          </cell>
          <cell r="AJ30">
            <v>54.284989970957696</v>
          </cell>
          <cell r="AK30">
            <v>1896.3156757751531</v>
          </cell>
          <cell r="AL30">
            <v>102941.47744122405</v>
          </cell>
          <cell r="AM30">
            <v>31.779223428043029</v>
          </cell>
          <cell r="AN30">
            <v>1961.5446834323413</v>
          </cell>
          <cell r="AO30">
            <v>62336.36675888631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0.39740475872209596</v>
          </cell>
          <cell r="D34">
            <v>379.20727040816325</v>
          </cell>
          <cell r="E34">
            <v>297298.5</v>
          </cell>
          <cell r="F34">
            <v>0.40539344384558434</v>
          </cell>
          <cell r="G34">
            <v>386.83014711847153</v>
          </cell>
          <cell r="H34">
            <v>23628.508284752228</v>
          </cell>
          <cell r="I34">
            <v>0.44880474282053412</v>
          </cell>
          <cell r="J34">
            <v>428.25360727556324</v>
          </cell>
          <cell r="K34">
            <v>18009.480509059926</v>
          </cell>
          <cell r="L34">
            <v>0.40432916240523931</v>
          </cell>
          <cell r="M34">
            <v>385.81459999408111</v>
          </cell>
          <cell r="N34">
            <v>24664.466247236225</v>
          </cell>
          <cell r="O34">
            <v>0.39047512217984648</v>
          </cell>
          <cell r="P34">
            <v>372.5949475800295</v>
          </cell>
          <cell r="Q34">
            <v>26383.100907306121</v>
          </cell>
          <cell r="R34">
            <v>0.36587947968284396</v>
          </cell>
          <cell r="S34">
            <v>349.12555963104023</v>
          </cell>
          <cell r="T34">
            <v>32303.913148055697</v>
          </cell>
          <cell r="U34">
            <v>0.39855056216453416</v>
          </cell>
          <cell r="V34">
            <v>380.30060657562251</v>
          </cell>
          <cell r="W34">
            <v>24791.743716989564</v>
          </cell>
          <cell r="X34">
            <v>0.402713472275674</v>
          </cell>
          <cell r="Y34">
            <v>384.2728936344792</v>
          </cell>
          <cell r="Z34">
            <v>24940.620061337951</v>
          </cell>
          <cell r="AA34">
            <v>0.39331690600462088</v>
          </cell>
          <cell r="AB34">
            <v>375.30660380364401</v>
          </cell>
          <cell r="AC34">
            <v>25792.731837923668</v>
          </cell>
          <cell r="AD34">
            <v>0.38487836610025095</v>
          </cell>
          <cell r="AE34">
            <v>367.25447153009912</v>
          </cell>
          <cell r="AF34">
            <v>27657.18681421809</v>
          </cell>
          <cell r="AG34">
            <v>0.36780834295447806</v>
          </cell>
          <cell r="AH34">
            <v>350.96609867888395</v>
          </cell>
          <cell r="AI34">
            <v>32783.396171258253</v>
          </cell>
          <cell r="AJ34">
            <v>0.41899244231596533</v>
          </cell>
          <cell r="AK34">
            <v>399.80643634767046</v>
          </cell>
          <cell r="AL34">
            <v>21703.488387457626</v>
          </cell>
          <cell r="AM34">
            <v>0.48278099703616872</v>
          </cell>
          <cell r="AN34">
            <v>460.67406107494628</v>
          </cell>
          <cell r="AO34">
            <v>14639.863914404657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222.74972542441915</v>
          </cell>
          <cell r="E40">
            <v>174635.78473274462</v>
          </cell>
          <cell r="G40">
            <v>226.36716442881018</v>
          </cell>
          <cell r="H40">
            <v>13827.046469736237</v>
          </cell>
          <cell r="J40">
            <v>330.58249123257906</v>
          </cell>
          <cell r="K40">
            <v>13902.087060900581</v>
          </cell>
          <cell r="M40">
            <v>229.32442912116127</v>
          </cell>
          <cell r="N40">
            <v>14660.317784273513</v>
          </cell>
          <cell r="P40">
            <v>217.69013643374319</v>
          </cell>
          <cell r="Q40">
            <v>15414.435631398555</v>
          </cell>
          <cell r="S40">
            <v>164.99067931091494</v>
          </cell>
          <cell r="T40">
            <v>15266.268617889637</v>
          </cell>
          <cell r="V40">
            <v>223.0080333033099</v>
          </cell>
          <cell r="W40">
            <v>14537.862714100465</v>
          </cell>
          <cell r="Y40">
            <v>225.4282585581943</v>
          </cell>
          <cell r="Z40">
            <v>14631.06204190644</v>
          </cell>
          <cell r="AB40">
            <v>216.88661996860117</v>
          </cell>
          <cell r="AC40">
            <v>14905.408994643101</v>
          </cell>
          <cell r="AE40">
            <v>206.56900107150264</v>
          </cell>
          <cell r="AF40">
            <v>15556.291061231463</v>
          </cell>
          <cell r="AH40">
            <v>160.60504182277847</v>
          </cell>
          <cell r="AI40">
            <v>15001.958117883678</v>
          </cell>
          <cell r="AK40">
            <v>246.41998457569252</v>
          </cell>
          <cell r="AL40">
            <v>13376.906391335018</v>
          </cell>
          <cell r="AN40">
            <v>426.5724075398125</v>
          </cell>
          <cell r="AO40">
            <v>13556.139847445927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0.67772620192115607</v>
          </cell>
          <cell r="E44">
            <v>999307.28473274456</v>
          </cell>
          <cell r="F44" t="str">
            <v>% brut</v>
          </cell>
          <cell r="G44">
            <v>0.68177203870204728</v>
          </cell>
          <cell r="H44">
            <v>78543.82139437765</v>
          </cell>
          <cell r="I44" t="str">
            <v>% brut</v>
          </cell>
          <cell r="J44">
            <v>0.74437177058194759</v>
          </cell>
          <cell r="K44">
            <v>60199.550709532487</v>
          </cell>
          <cell r="L44" t="str">
            <v>% brut</v>
          </cell>
          <cell r="M44">
            <v>0.68412332258125208</v>
          </cell>
          <cell r="N44">
            <v>82327.401615305105</v>
          </cell>
          <cell r="O44" t="str">
            <v>% brut</v>
          </cell>
          <cell r="P44">
            <v>0.67363994575841102</v>
          </cell>
          <cell r="Q44">
            <v>89428.646890703414</v>
          </cell>
          <cell r="R44" t="str">
            <v>% brut</v>
          </cell>
          <cell r="S44">
            <v>0.63865889904026452</v>
          </cell>
          <cell r="T44">
            <v>109811.00350112606</v>
          </cell>
          <cell r="U44" t="str">
            <v>% brut</v>
          </cell>
          <cell r="V44">
            <v>0.67838412540151094</v>
          </cell>
          <cell r="W44">
            <v>83180.847011735925</v>
          </cell>
          <cell r="X44" t="str">
            <v>% brut</v>
          </cell>
          <cell r="Y44">
            <v>0.68166007496154524</v>
          </cell>
          <cell r="Z44">
            <v>83230.233791914885</v>
          </cell>
          <cell r="AA44" t="str">
            <v>% brut</v>
          </cell>
          <cell r="AB44">
            <v>0.67388782729424834</v>
          </cell>
          <cell r="AC44">
            <v>86926.977570018586</v>
          </cell>
          <cell r="AD44" t="str">
            <v>% brut</v>
          </cell>
          <cell r="AE44">
            <v>0.66635890493728178</v>
          </cell>
          <cell r="AF44">
            <v>93870.85966100698</v>
          </cell>
          <cell r="AG44" t="str">
            <v>% brut</v>
          </cell>
          <cell r="AH44">
            <v>0.63746410255598951</v>
          </cell>
          <cell r="AI44">
            <v>110618.76035649356</v>
          </cell>
          <cell r="AJ44" t="str">
            <v>% brut</v>
          </cell>
          <cell r="AK44">
            <v>0.69550448832385647</v>
          </cell>
          <cell r="AL44">
            <v>71596.259595060343</v>
          </cell>
          <cell r="AM44" t="str">
            <v>% brut</v>
          </cell>
          <cell r="AN44">
            <v>0.79524882846019906</v>
          </cell>
          <cell r="AO44">
            <v>49572.922635469637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118870.22666438401</v>
          </cell>
          <cell r="H52">
            <v>9501.5155243226436</v>
          </cell>
          <cell r="K52">
            <v>8062.6841232453444</v>
          </cell>
          <cell r="N52">
            <v>10077.431564512774</v>
          </cell>
          <cell r="Q52">
            <v>10129.70310845586</v>
          </cell>
          <cell r="T52">
            <v>11687.060213586945</v>
          </cell>
          <cell r="W52">
            <v>9949.05078334666</v>
          </cell>
          <cell r="Z52">
            <v>9958.1504530827278</v>
          </cell>
          <cell r="AC52">
            <v>10177.327118760879</v>
          </cell>
          <cell r="AF52">
            <v>10602.517928354224</v>
          </cell>
          <cell r="AI52">
            <v>11589.29680179615</v>
          </cell>
          <cell r="AL52">
            <v>9244.7710874087043</v>
          </cell>
          <cell r="AO52">
            <v>7890.7179575110886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118870.22666438401</v>
          </cell>
          <cell r="H53">
            <v>9501.5155243226436</v>
          </cell>
          <cell r="K53">
            <v>8062.6841232453444</v>
          </cell>
          <cell r="N53">
            <v>10077.431564512774</v>
          </cell>
          <cell r="Q53">
            <v>10129.70310845586</v>
          </cell>
          <cell r="T53">
            <v>11687.060213586945</v>
          </cell>
          <cell r="W53">
            <v>9949.05078334666</v>
          </cell>
          <cell r="Z53">
            <v>9958.1504530827278</v>
          </cell>
          <cell r="AC53">
            <v>10177.327118760879</v>
          </cell>
          <cell r="AF53">
            <v>10602.517928354224</v>
          </cell>
          <cell r="AI53">
            <v>11589.29680179615</v>
          </cell>
          <cell r="AL53">
            <v>9244.7710874087043</v>
          </cell>
          <cell r="AO53">
            <v>7890.7179575110886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85190.329109475191</v>
          </cell>
          <cell r="H54">
            <v>6809.4194590978941</v>
          </cell>
          <cell r="K54">
            <v>5778.2569549924965</v>
          </cell>
          <cell r="N54">
            <v>7222.1592879008203</v>
          </cell>
          <cell r="Q54">
            <v>7259.6205610600327</v>
          </cell>
          <cell r="T54">
            <v>8375.7264864039771</v>
          </cell>
          <cell r="W54">
            <v>7130.1530613984396</v>
          </cell>
          <cell r="Z54">
            <v>7136.6744913759539</v>
          </cell>
          <cell r="AC54">
            <v>7293.7511017786301</v>
          </cell>
          <cell r="AF54">
            <v>7598.4711819871936</v>
          </cell>
          <cell r="AI54">
            <v>8305.6627079539066</v>
          </cell>
          <cell r="AL54">
            <v>6625.4192793095708</v>
          </cell>
          <cell r="AO54">
            <v>5655.0145362162802</v>
          </cell>
        </row>
        <row r="55">
          <cell r="A55" t="str">
            <v>Véhicules neufsCsst</v>
          </cell>
          <cell r="B55" t="str">
            <v>Csst</v>
          </cell>
          <cell r="E55">
            <v>19811.704444064002</v>
          </cell>
          <cell r="H55">
            <v>1583.5859207204408</v>
          </cell>
          <cell r="K55">
            <v>1343.7806872075575</v>
          </cell>
          <cell r="N55">
            <v>1679.5719274187957</v>
          </cell>
          <cell r="Q55">
            <v>1688.28385140931</v>
          </cell>
          <cell r="T55">
            <v>1947.8433689311576</v>
          </cell>
          <cell r="W55">
            <v>1658.1751305577768</v>
          </cell>
          <cell r="Z55">
            <v>1659.6917421804546</v>
          </cell>
          <cell r="AC55">
            <v>1696.2211864601466</v>
          </cell>
          <cell r="AF55">
            <v>1767.0863213923708</v>
          </cell>
          <cell r="AI55">
            <v>1931.5494669660252</v>
          </cell>
          <cell r="AL55">
            <v>1540.795181234784</v>
          </cell>
          <cell r="AO55">
            <v>1315.1196595851816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0.56704592003086285</v>
          </cell>
          <cell r="E57">
            <v>836109.20908550732</v>
          </cell>
          <cell r="F57" t="str">
            <v>% brut</v>
          </cell>
          <cell r="G57">
            <v>0.58478869021577451</v>
          </cell>
          <cell r="H57">
            <v>67370.815801134886</v>
          </cell>
          <cell r="I57" t="str">
            <v>% brut</v>
          </cell>
          <cell r="J57">
            <v>0.76296655969075067</v>
          </cell>
          <cell r="K57">
            <v>61703.366402345913</v>
          </cell>
          <cell r="L57" t="str">
            <v>% brut</v>
          </cell>
          <cell r="M57">
            <v>0.59887826641823483</v>
          </cell>
          <cell r="N57">
            <v>72069.011435048611</v>
          </cell>
          <cell r="O57" t="str">
            <v>% brut</v>
          </cell>
          <cell r="P57">
            <v>0.52112853069770382</v>
          </cell>
          <cell r="Q57">
            <v>69182.09000205234</v>
          </cell>
          <cell r="R57" t="str">
            <v>% brut</v>
          </cell>
          <cell r="S57">
            <v>0.43731123483816542</v>
          </cell>
          <cell r="T57">
            <v>75191.288514196378</v>
          </cell>
          <cell r="U57" t="str">
            <v>% brut</v>
          </cell>
          <cell r="V57">
            <v>0.57235551956042396</v>
          </cell>
          <cell r="W57">
            <v>70180.027990336894</v>
          </cell>
          <cell r="X57" t="str">
            <v>% brut</v>
          </cell>
          <cell r="Y57">
            <v>0.57499307565917035</v>
          </cell>
          <cell r="Z57">
            <v>70206.26537140923</v>
          </cell>
          <cell r="AA57" t="str">
            <v>% brut</v>
          </cell>
          <cell r="AB57">
            <v>0.54916228201684136</v>
          </cell>
          <cell r="AC57">
            <v>70838.224757447882</v>
          </cell>
          <cell r="AD57" t="str">
            <v>% brut</v>
          </cell>
          <cell r="AE57">
            <v>0.51156041361186322</v>
          </cell>
          <cell r="AF57">
            <v>72064.191591775365</v>
          </cell>
          <cell r="AG57" t="str">
            <v>% brut</v>
          </cell>
          <cell r="AH57">
            <v>0.42292883547679183</v>
          </cell>
          <cell r="AI57">
            <v>73390.585151183506</v>
          </cell>
          <cell r="AJ57" t="str">
            <v>% brut</v>
          </cell>
          <cell r="AK57">
            <v>0.66202036886404714</v>
          </cell>
          <cell r="AL57">
            <v>68149.354867049129</v>
          </cell>
          <cell r="AM57" t="str">
            <v>% brut</v>
          </cell>
          <cell r="AN57">
            <v>1.0549858873857474</v>
          </cell>
          <cell r="AO57">
            <v>65763.987201527081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0.27994827182095627</v>
          </cell>
          <cell r="E75">
            <v>412783.7268</v>
          </cell>
          <cell r="F75" t="str">
            <v>% brut</v>
          </cell>
          <cell r="G75">
            <v>0.29071073807100334</v>
          </cell>
          <cell r="H75">
            <v>33491.447276052721</v>
          </cell>
          <cell r="I75" t="str">
            <v>% brut</v>
          </cell>
          <cell r="J75">
            <v>0.40963510246787421</v>
          </cell>
          <cell r="K75">
            <v>33128.404512358567</v>
          </cell>
          <cell r="L75" t="str">
            <v>% brut</v>
          </cell>
          <cell r="M75">
            <v>0.27836522192119434</v>
          </cell>
          <cell r="N75">
            <v>33498.47120307447</v>
          </cell>
          <cell r="O75" t="str">
            <v>% brut</v>
          </cell>
          <cell r="P75">
            <v>0.27039159689761394</v>
          </cell>
          <cell r="Q75">
            <v>35895.666213716679</v>
          </cell>
          <cell r="R75" t="str">
            <v>% brut</v>
          </cell>
          <cell r="S75">
            <v>0.20732939417972809</v>
          </cell>
          <cell r="T75">
            <v>35648.21356810235</v>
          </cell>
          <cell r="U75" t="str">
            <v>% brut</v>
          </cell>
          <cell r="V75">
            <v>0.27603535408808016</v>
          </cell>
          <cell r="W75">
            <v>33846.391297321781</v>
          </cell>
          <cell r="X75" t="str">
            <v>% brut</v>
          </cell>
          <cell r="Y75">
            <v>0.27605751291326713</v>
          </cell>
          <cell r="Z75">
            <v>33706.435485578288</v>
          </cell>
          <cell r="AA75" t="str">
            <v>% brut</v>
          </cell>
          <cell r="AB75">
            <v>0.26323488257615124</v>
          </cell>
          <cell r="AC75">
            <v>33955.521685587919</v>
          </cell>
          <cell r="AD75" t="str">
            <v>% brut</v>
          </cell>
          <cell r="AE75">
            <v>0.23688262008930008</v>
          </cell>
          <cell r="AF75">
            <v>33369.967778290928</v>
          </cell>
          <cell r="AG75" t="str">
            <v>% brut</v>
          </cell>
          <cell r="AH75">
            <v>0.20492275780259839</v>
          </cell>
          <cell r="AI75">
            <v>35560.122281499622</v>
          </cell>
          <cell r="AJ75" t="str">
            <v>% brut</v>
          </cell>
          <cell r="AK75">
            <v>0.35974530877342065</v>
          </cell>
          <cell r="AL75">
            <v>37032.713587685263</v>
          </cell>
          <cell r="AM75" t="str">
            <v>% brut</v>
          </cell>
          <cell r="AN75">
            <v>0.5398192685962796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1.524720393772975</v>
          </cell>
          <cell r="E77">
            <v>2248200.2206182517</v>
          </cell>
          <cell r="F77" t="str">
            <v>% brut</v>
          </cell>
          <cell r="G77">
            <v>1.5572714669888252</v>
          </cell>
          <cell r="H77">
            <v>179406.08447156526</v>
          </cell>
          <cell r="I77" t="str">
            <v>% brut</v>
          </cell>
          <cell r="J77">
            <v>1.9169734327405725</v>
          </cell>
          <cell r="K77">
            <v>155031.32162423697</v>
          </cell>
          <cell r="L77" t="str">
            <v>% brut</v>
          </cell>
          <cell r="M77">
            <v>1.5613668109206813</v>
          </cell>
          <cell r="N77">
            <v>187894.88425342817</v>
          </cell>
          <cell r="O77" t="str">
            <v>% brut</v>
          </cell>
          <cell r="P77">
            <v>1.4651600733537287</v>
          </cell>
          <cell r="Q77">
            <v>194506.40310647243</v>
          </cell>
          <cell r="R77" t="str">
            <v>% brut</v>
          </cell>
          <cell r="S77">
            <v>1.2832995280581578</v>
          </cell>
          <cell r="T77">
            <v>220650.50558342476</v>
          </cell>
          <cell r="U77" t="str">
            <v>% brut</v>
          </cell>
          <cell r="V77">
            <v>1.526774999050015</v>
          </cell>
          <cell r="W77">
            <v>187207.2662993946</v>
          </cell>
          <cell r="X77" t="str">
            <v>% brut</v>
          </cell>
          <cell r="Y77">
            <v>1.5327106635339829</v>
          </cell>
          <cell r="Z77">
            <v>187142.93464890242</v>
          </cell>
          <cell r="AA77" t="str">
            <v>% brut</v>
          </cell>
          <cell r="AB77">
            <v>1.4862849918872407</v>
          </cell>
          <cell r="AC77">
            <v>191720.72401305437</v>
          </cell>
          <cell r="AD77" t="str">
            <v>% brut</v>
          </cell>
          <cell r="AE77">
            <v>1.4148019386384449</v>
          </cell>
          <cell r="AF77">
            <v>199305.01903107326</v>
          </cell>
          <cell r="AG77" t="str">
            <v>% brut</v>
          </cell>
          <cell r="AH77">
            <v>1.2653156958353797</v>
          </cell>
          <cell r="AI77">
            <v>219569.46778917668</v>
          </cell>
          <cell r="AJ77" t="str">
            <v>% brut</v>
          </cell>
          <cell r="AK77">
            <v>1.7172701659613239</v>
          </cell>
          <cell r="AL77">
            <v>176778.32804979471</v>
          </cell>
          <cell r="AM77" t="str">
            <v>% brut</v>
          </cell>
          <cell r="AN77">
            <v>2.3900539844422264</v>
          </cell>
          <cell r="AO77">
            <v>148987.28174772818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453576.37500000012</v>
          </cell>
          <cell r="H78">
            <v>22678.818750000006</v>
          </cell>
          <cell r="K78">
            <v>22678.818750000006</v>
          </cell>
          <cell r="N78">
            <v>45357.637500000012</v>
          </cell>
          <cell r="Q78">
            <v>45357.637500000012</v>
          </cell>
          <cell r="T78">
            <v>49893.40125000001</v>
          </cell>
          <cell r="W78">
            <v>36286.110000000008</v>
          </cell>
          <cell r="Z78">
            <v>31750.346250000006</v>
          </cell>
          <cell r="AC78">
            <v>45357.637500000012</v>
          </cell>
          <cell r="AF78">
            <v>45357.637500000012</v>
          </cell>
          <cell r="AI78">
            <v>49893.40125000001</v>
          </cell>
          <cell r="AL78">
            <v>45357.637500000012</v>
          </cell>
          <cell r="AO78">
            <v>13607.291250000002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727755.67499999993</v>
          </cell>
          <cell r="H81">
            <v>36387.783750000002</v>
          </cell>
          <cell r="K81">
            <v>36387.783750000002</v>
          </cell>
          <cell r="N81">
            <v>72775.567500000005</v>
          </cell>
          <cell r="Q81">
            <v>72775.567500000005</v>
          </cell>
          <cell r="T81">
            <v>80053.124249999993</v>
          </cell>
          <cell r="W81">
            <v>58220.453999999991</v>
          </cell>
          <cell r="Z81">
            <v>50942.897249999995</v>
          </cell>
          <cell r="AC81">
            <v>72775.567500000005</v>
          </cell>
          <cell r="AF81">
            <v>72775.567500000005</v>
          </cell>
          <cell r="AI81">
            <v>80053.124249999993</v>
          </cell>
          <cell r="AL81">
            <v>72775.567500000005</v>
          </cell>
          <cell r="AO81">
            <v>21832.670249999999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13208.943793568153</v>
          </cell>
          <cell r="N85">
            <v>20079.874759471906</v>
          </cell>
          <cell r="Q85">
            <v>22241.128197813006</v>
          </cell>
          <cell r="T85">
            <v>29063.065822300141</v>
          </cell>
          <cell r="W85">
            <v>20476.135369923384</v>
          </cell>
          <cell r="Z85">
            <v>20386.160176881524</v>
          </cell>
          <cell r="AC85">
            <v>21586.34297447756</v>
          </cell>
          <cell r="AF85">
            <v>23654.231743326593</v>
          </cell>
          <cell r="AI85">
            <v>29339.770354326123</v>
          </cell>
          <cell r="AL85">
            <v>17050.915349877814</v>
          </cell>
          <cell r="AO85">
            <v>9981.8540787483162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1427586.4500000002</v>
          </cell>
          <cell r="H86">
            <v>78252.579879285506</v>
          </cell>
          <cell r="K86">
            <v>72275.546293568157</v>
          </cell>
          <cell r="N86">
            <v>138213.07975947193</v>
          </cell>
          <cell r="Q86">
            <v>140374.33319781302</v>
          </cell>
          <cell r="T86">
            <v>159009.59132230014</v>
          </cell>
          <cell r="W86">
            <v>114982.69936992339</v>
          </cell>
          <cell r="Z86">
            <v>103079.40367688151</v>
          </cell>
          <cell r="AC86">
            <v>139719.54797447758</v>
          </cell>
          <cell r="AF86">
            <v>141787.4367433266</v>
          </cell>
          <cell r="AI86">
            <v>159286.29585432613</v>
          </cell>
          <cell r="AL86">
            <v>135184.12034987783</v>
          </cell>
          <cell r="AO86">
            <v>45421.815578748319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653886.22938174848</v>
          </cell>
          <cell r="H88">
            <v>14051.89682592568</v>
          </cell>
          <cell r="K88">
            <v>-1882.8122648224817</v>
          </cell>
          <cell r="N88">
            <v>70658.196932507664</v>
          </cell>
          <cell r="Q88">
            <v>78622.300513986818</v>
          </cell>
          <cell r="T88">
            <v>110299.07383916329</v>
          </cell>
          <cell r="W88">
            <v>50391.579140433052</v>
          </cell>
          <cell r="Z88">
            <v>38035.792208393003</v>
          </cell>
          <cell r="AC88">
            <v>76992.068904045591</v>
          </cell>
          <cell r="AF88">
            <v>83353.739406141685</v>
          </cell>
          <cell r="AI88">
            <v>113246.22354476037</v>
          </cell>
          <cell r="AL88">
            <v>61347.269741307173</v>
          </cell>
          <cell r="AO88">
            <v>-41229.099410093542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 t="str">
            <v>TOTAL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 t="str">
            <v>TOTAL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 t="str">
            <v>TOTAL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 t="str">
            <v>TOTAL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 t="str">
            <v>TOTAL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 t="str">
            <v>TOTAL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6096959.801147907</v>
          </cell>
          <cell r="H406">
            <v>413280.60047496704</v>
          </cell>
          <cell r="K406">
            <v>395245.86571865913</v>
          </cell>
          <cell r="N406">
            <v>447448.36001540109</v>
          </cell>
          <cell r="Q406">
            <v>545848.99954707432</v>
          </cell>
          <cell r="T406">
            <v>640640.25587218278</v>
          </cell>
          <cell r="W406">
            <v>499977.1209279109</v>
          </cell>
          <cell r="Z406">
            <v>515749.65301674046</v>
          </cell>
          <cell r="AC406">
            <v>544131.00911837327</v>
          </cell>
          <cell r="AF406">
            <v>484188.3246103251</v>
          </cell>
          <cell r="AI406">
            <v>621205.09575778607</v>
          </cell>
          <cell r="AL406">
            <v>628835.68409121572</v>
          </cell>
          <cell r="AO406">
            <v>360408.83199727139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0.44829106572451843</v>
          </cell>
          <cell r="D408">
            <v>397.8775773195876</v>
          </cell>
          <cell r="E408">
            <v>463129.5</v>
          </cell>
          <cell r="G408">
            <v>455.58860949975389</v>
          </cell>
          <cell r="H408">
            <v>34467.450637893795</v>
          </cell>
          <cell r="J408">
            <v>472.38120934786303</v>
          </cell>
          <cell r="K408">
            <v>30134.362287755604</v>
          </cell>
          <cell r="M408">
            <v>447.03837620673994</v>
          </cell>
          <cell r="N408">
            <v>36641.020471478783</v>
          </cell>
          <cell r="P408">
            <v>420.22465912639564</v>
          </cell>
          <cell r="Q408">
            <v>40210.849310440237</v>
          </cell>
          <cell r="S408">
            <v>390.27675661818603</v>
          </cell>
          <cell r="T408">
            <v>48061.698428145974</v>
          </cell>
          <cell r="V408">
            <v>419.16824916118219</v>
          </cell>
          <cell r="W408">
            <v>39738.692223387668</v>
          </cell>
          <cell r="Y408">
            <v>422.38398706407628</v>
          </cell>
          <cell r="Z408">
            <v>40197.978360782246</v>
          </cell>
          <cell r="AB408">
            <v>413.12269668516979</v>
          </cell>
          <cell r="AC408">
            <v>41196.041699102789</v>
          </cell>
          <cell r="AE408">
            <v>417.89406053041449</v>
          </cell>
          <cell r="AF408">
            <v>41124.111394242362</v>
          </cell>
          <cell r="AH408">
            <v>391.36370699935725</v>
          </cell>
          <cell r="AI408">
            <v>49062.70010806495</v>
          </cell>
          <cell r="AK408">
            <v>429.24925889758339</v>
          </cell>
          <cell r="AL408">
            <v>36969.146652835443</v>
          </cell>
          <cell r="AN408">
            <v>504.85296152113261</v>
          </cell>
          <cell r="AO408">
            <v>25325.448425870156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174.0878521986472</v>
          </cell>
          <cell r="E414">
            <v>189755.75889652545</v>
          </cell>
          <cell r="G414">
            <v>197.05966590141205</v>
          </cell>
          <cell r="H414">
            <v>14908.503341720248</v>
          </cell>
          <cell r="J414">
            <v>235.50011068263615</v>
          </cell>
          <cell r="K414">
            <v>15023.132829339766</v>
          </cell>
          <cell r="M414">
            <v>193.25422354483004</v>
          </cell>
          <cell r="N414">
            <v>15839.874914522146</v>
          </cell>
          <cell r="P414">
            <v>175.05617999055076</v>
          </cell>
          <cell r="Q414">
            <v>16750.939102657692</v>
          </cell>
          <cell r="S414">
            <v>135.18711698183972</v>
          </cell>
          <cell r="T414">
            <v>16647.987197731345</v>
          </cell>
          <cell r="V414">
            <v>167.59274863875387</v>
          </cell>
          <cell r="W414">
            <v>15888.409177828937</v>
          </cell>
          <cell r="Y414">
            <v>168.11237327265729</v>
          </cell>
          <cell r="Z414">
            <v>15999.132897926031</v>
          </cell>
          <cell r="AB414">
            <v>162.57190167148033</v>
          </cell>
          <cell r="AC414">
            <v>16211.452176554214</v>
          </cell>
          <cell r="AE414">
            <v>171.66232233858355</v>
          </cell>
          <cell r="AF414">
            <v>16892.942812075355</v>
          </cell>
          <cell r="AH414">
            <v>130.90402016627124</v>
          </cell>
          <cell r="AI414">
            <v>16410.578113131989</v>
          </cell>
          <cell r="AK414">
            <v>169.38705614726231</v>
          </cell>
          <cell r="AL414">
            <v>14588.481610621289</v>
          </cell>
          <cell r="AN414">
            <v>290.93218542920567</v>
          </cell>
          <cell r="AO414">
            <v>14594.324722416479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0.24107585786859678</v>
          </cell>
          <cell r="D418">
            <v>1321.4558474591113</v>
          </cell>
          <cell r="E418">
            <v>1469829.814452081</v>
          </cell>
          <cell r="F418">
            <v>0.25639299652245567</v>
          </cell>
          <cell r="H418">
            <v>105962.25156037661</v>
          </cell>
          <cell r="I418">
            <v>0.23538796213031091</v>
          </cell>
          <cell r="K418">
            <v>93036.118871945684</v>
          </cell>
          <cell r="L418">
            <v>0.25438767185717603</v>
          </cell>
          <cell r="N418">
            <v>113825.34658062943</v>
          </cell>
          <cell r="O418">
            <v>0.23567900627868238</v>
          </cell>
          <cell r="Q418">
            <v>128645.14979146743</v>
          </cell>
          <cell r="R418">
            <v>0.24497185269000951</v>
          </cell>
          <cell r="T418">
            <v>156938.83038881037</v>
          </cell>
          <cell r="U418">
            <v>0.25347927875103177</v>
          </cell>
          <cell r="W418">
            <v>126733.84000482425</v>
          </cell>
          <cell r="X418">
            <v>0.24738250306210138</v>
          </cell>
          <cell r="Z418">
            <v>127587.44011669152</v>
          </cell>
          <cell r="AA418">
            <v>0.24295247263163064</v>
          </cell>
          <cell r="AC418">
            <v>132197.97410085314</v>
          </cell>
          <cell r="AD418">
            <v>0.27198916515712301</v>
          </cell>
          <cell r="AF418">
            <v>131693.97818958841</v>
          </cell>
          <cell r="AG418">
            <v>0.2565585815113493</v>
          </cell>
          <cell r="AI418">
            <v>159375.49819523952</v>
          </cell>
          <cell r="AJ418">
            <v>0.18485141476045258</v>
          </cell>
          <cell r="AL418">
            <v>116241.16585611826</v>
          </cell>
          <cell r="AM418">
            <v>0.21528945438308178</v>
          </cell>
          <cell r="AO418">
            <v>77592.220795536341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440242.52645026136</v>
          </cell>
          <cell r="H427">
            <v>34942.936938664985</v>
          </cell>
          <cell r="K427">
            <v>33035.833737292531</v>
          </cell>
          <cell r="N427">
            <v>37360.994528538766</v>
          </cell>
          <cell r="Q427">
            <v>36623.008976066805</v>
          </cell>
          <cell r="T427">
            <v>38980.622451867996</v>
          </cell>
          <cell r="W427">
            <v>37357.171272987172</v>
          </cell>
          <cell r="Z427">
            <v>37875.442230895795</v>
          </cell>
          <cell r="AC427">
            <v>37746.060042308891</v>
          </cell>
          <cell r="AF427">
            <v>37489.756790823893</v>
          </cell>
          <cell r="AI427">
            <v>38945.406447591777</v>
          </cell>
          <cell r="AL427">
            <v>36765.058721711073</v>
          </cell>
          <cell r="AO427">
            <v>33120.234311511602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440242.52645026136</v>
          </cell>
          <cell r="H428">
            <v>34942.936938664985</v>
          </cell>
          <cell r="K428">
            <v>33035.833737292531</v>
          </cell>
          <cell r="N428">
            <v>37360.994528538766</v>
          </cell>
          <cell r="Q428">
            <v>36623.008976066805</v>
          </cell>
          <cell r="T428">
            <v>38980.622451867996</v>
          </cell>
          <cell r="W428">
            <v>37357.171272987172</v>
          </cell>
          <cell r="Z428">
            <v>37875.442230895795</v>
          </cell>
          <cell r="AC428">
            <v>37746.060042308891</v>
          </cell>
          <cell r="AF428">
            <v>37489.756790823893</v>
          </cell>
          <cell r="AI428">
            <v>38945.406447591777</v>
          </cell>
          <cell r="AL428">
            <v>36765.058721711073</v>
          </cell>
          <cell r="AO428">
            <v>33120.234311511602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315507.14395602059</v>
          </cell>
          <cell r="H429">
            <v>25042.438139376573</v>
          </cell>
          <cell r="K429">
            <v>23675.680845059644</v>
          </cell>
          <cell r="N429">
            <v>26775.379412119448</v>
          </cell>
          <cell r="Q429">
            <v>26246.489766181214</v>
          </cell>
          <cell r="T429">
            <v>27936.112757172064</v>
          </cell>
          <cell r="W429">
            <v>26772.639412307479</v>
          </cell>
          <cell r="Z429">
            <v>27144.066932141985</v>
          </cell>
          <cell r="AC429">
            <v>27051.343030321372</v>
          </cell>
          <cell r="AF429">
            <v>26867.659033423788</v>
          </cell>
          <cell r="AI429">
            <v>27910.87462077411</v>
          </cell>
          <cell r="AL429">
            <v>26348.292083892939</v>
          </cell>
          <cell r="AO429">
            <v>23736.167923249981</v>
          </cell>
        </row>
        <row r="430">
          <cell r="A430" t="str">
            <v>Csst</v>
          </cell>
          <cell r="B430" t="str">
            <v>Csst</v>
          </cell>
          <cell r="E430">
            <v>73373.754408376888</v>
          </cell>
          <cell r="H430">
            <v>5823.8228231108315</v>
          </cell>
          <cell r="K430">
            <v>5505.9722895487557</v>
          </cell>
          <cell r="N430">
            <v>6226.8324214231288</v>
          </cell>
          <cell r="Q430">
            <v>6103.8348293444678</v>
          </cell>
          <cell r="T430">
            <v>6496.7704086446665</v>
          </cell>
          <cell r="W430">
            <v>6226.1952121645299</v>
          </cell>
          <cell r="Z430">
            <v>6312.5737051492997</v>
          </cell>
          <cell r="AC430">
            <v>6291.0100070514818</v>
          </cell>
          <cell r="AF430">
            <v>6248.2927984706484</v>
          </cell>
          <cell r="AI430">
            <v>6490.9010745986307</v>
          </cell>
          <cell r="AL430">
            <v>6127.5097869518459</v>
          </cell>
          <cell r="AO430">
            <v>5520.0390519186003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0.52162057153951336</v>
          </cell>
          <cell r="E432">
            <v>3180299.6561282091</v>
          </cell>
          <cell r="F432">
            <v>0.61847019780244517</v>
          </cell>
          <cell r="H432">
            <v>255601.73472366616</v>
          </cell>
          <cell r="I432">
            <v>0.6179522865353142</v>
          </cell>
          <cell r="K432">
            <v>244243.08646447517</v>
          </cell>
          <cell r="L432">
            <v>0.61301703915545003</v>
          </cell>
          <cell r="N432">
            <v>274293.46883160301</v>
          </cell>
          <cell r="O432">
            <v>0.47713917703910175</v>
          </cell>
          <cell r="Q432">
            <v>260445.94243150807</v>
          </cell>
          <cell r="R432">
            <v>0.42629784731550929</v>
          </cell>
          <cell r="T432">
            <v>273103.56198196858</v>
          </cell>
          <cell r="U432">
            <v>0.53686978833090371</v>
          </cell>
          <cell r="W432">
            <v>268422.61108286219</v>
          </cell>
          <cell r="X432">
            <v>0.52334879419247538</v>
          </cell>
          <cell r="Z432">
            <v>269916.95901149866</v>
          </cell>
          <cell r="AA432">
            <v>0.49536582645994415</v>
          </cell>
          <cell r="AC432">
            <v>269543.90703440638</v>
          </cell>
          <cell r="AD432">
            <v>0.55516600806575067</v>
          </cell>
          <cell r="AF432">
            <v>268804.89932595805</v>
          </cell>
          <cell r="AG432">
            <v>0.43003863023455691</v>
          </cell>
          <cell r="AI432">
            <v>267142.18847440509</v>
          </cell>
          <cell r="AJ432">
            <v>0.4241415682574311</v>
          </cell>
          <cell r="AL432">
            <v>266715.35322668275</v>
          </cell>
          <cell r="AM432">
            <v>0.72713518724524129</v>
          </cell>
          <cell r="AO432">
            <v>262065.94353917465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0.2320344487647181</v>
          </cell>
          <cell r="E450">
            <v>1414704.7065999999</v>
          </cell>
          <cell r="F450">
            <v>0.26982798975238226</v>
          </cell>
          <cell r="H450">
            <v>111514.67362981779</v>
          </cell>
          <cell r="I450">
            <v>0.27887129401632399</v>
          </cell>
          <cell r="K450">
            <v>110222.7260275647</v>
          </cell>
          <cell r="L450">
            <v>0.25189143968259214</v>
          </cell>
          <cell r="N450">
            <v>112708.41158789417</v>
          </cell>
          <cell r="O450">
            <v>0.2320802918442966</v>
          </cell>
          <cell r="Q450">
            <v>126680.79511780234</v>
          </cell>
          <cell r="R450">
            <v>0.1979623552220372</v>
          </cell>
          <cell r="T450">
            <v>126822.65390250584</v>
          </cell>
          <cell r="U450">
            <v>0.22712755044792912</v>
          </cell>
          <cell r="W450">
            <v>113558.57875636444</v>
          </cell>
          <cell r="X450">
            <v>0.21959261297415764</v>
          </cell>
          <cell r="Z450">
            <v>113254.81394646117</v>
          </cell>
          <cell r="AA450">
            <v>0.20953940821922959</v>
          </cell>
          <cell r="AC450">
            <v>114016.88964439616</v>
          </cell>
          <cell r="AD450">
            <v>0.2290064845250642</v>
          </cell>
          <cell r="AF450">
            <v>110882.26606709117</v>
          </cell>
          <cell r="AG450">
            <v>0.2025765052368684</v>
          </cell>
          <cell r="AI450">
            <v>125841.55733394649</v>
          </cell>
          <cell r="AJ450">
            <v>0.21163044813652215</v>
          </cell>
          <cell r="AL450">
            <v>133080.77762846046</v>
          </cell>
          <cell r="AM450">
            <v>0.32219122465504529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9.7711485630565628E-2</v>
          </cell>
          <cell r="E464">
            <v>595743</v>
          </cell>
          <cell r="F464">
            <v>0.1201248012680602</v>
          </cell>
          <cell r="H464">
            <v>49645.25</v>
          </cell>
          <cell r="I464">
            <v>0.12560599440991521</v>
          </cell>
          <cell r="K464">
            <v>49645.25</v>
          </cell>
          <cell r="L464">
            <v>0.11095190961989719</v>
          </cell>
          <cell r="N464">
            <v>49645.25</v>
          </cell>
          <cell r="O464">
            <v>9.0950519358272752E-2</v>
          </cell>
          <cell r="Q464">
            <v>49645.25</v>
          </cell>
          <cell r="R464">
            <v>7.7493178964240683E-2</v>
          </cell>
          <cell r="T464">
            <v>49645.25</v>
          </cell>
          <cell r="U464">
            <v>9.929504355691926E-2</v>
          </cell>
          <cell r="W464">
            <v>49645.25</v>
          </cell>
          <cell r="X464">
            <v>9.6258426369486269E-2</v>
          </cell>
          <cell r="Z464">
            <v>49645.25</v>
          </cell>
          <cell r="AA464">
            <v>9.1237678368004754E-2</v>
          </cell>
          <cell r="AC464">
            <v>49645.25</v>
          </cell>
          <cell r="AD464">
            <v>0.10253293496895967</v>
          </cell>
          <cell r="AF464">
            <v>49645.25</v>
          </cell>
          <cell r="AG464">
            <v>7.9917647712531265E-2</v>
          </cell>
          <cell r="AI464">
            <v>49645.25</v>
          </cell>
          <cell r="AJ464">
            <v>7.8947889338924201E-2</v>
          </cell>
          <cell r="AL464">
            <v>49645.25</v>
          </cell>
          <cell r="AM464">
            <v>0.13774704056191348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1.092442363803394</v>
          </cell>
          <cell r="E466">
            <v>6660577.1771802902</v>
          </cell>
          <cell r="F466">
            <v>1.2648159853453431</v>
          </cell>
          <cell r="H466">
            <v>522723.90991386055</v>
          </cell>
          <cell r="I466">
            <v>1.2578175370918643</v>
          </cell>
          <cell r="K466">
            <v>497147.18136398552</v>
          </cell>
          <cell r="L466">
            <v>1.2302480603151154</v>
          </cell>
          <cell r="N466">
            <v>550472.47700012662</v>
          </cell>
          <cell r="O466">
            <v>1.0358489945203535</v>
          </cell>
          <cell r="Q466">
            <v>565417.13734077779</v>
          </cell>
          <cell r="R466">
            <v>0.94672523419179677</v>
          </cell>
          <cell r="T466">
            <v>606510.29627328482</v>
          </cell>
          <cell r="U466">
            <v>1.1167716610867839</v>
          </cell>
          <cell r="W466">
            <v>558360.27984405088</v>
          </cell>
          <cell r="X466">
            <v>1.0865823365982206</v>
          </cell>
          <cell r="Z466">
            <v>560404.46307465131</v>
          </cell>
          <cell r="AA466">
            <v>1.039095385678809</v>
          </cell>
          <cell r="AC466">
            <v>565404.02077965566</v>
          </cell>
          <cell r="AD466">
            <v>1.1586945927168977</v>
          </cell>
          <cell r="AF466">
            <v>561026.39358263765</v>
          </cell>
          <cell r="AG466">
            <v>0.96909136469530599</v>
          </cell>
          <cell r="AI466">
            <v>602004.49400359113</v>
          </cell>
          <cell r="AJ466">
            <v>0.89957132049333011</v>
          </cell>
          <cell r="AL466">
            <v>565682.5467112615</v>
          </cell>
          <cell r="AM466">
            <v>1.4023629068452819</v>
          </cell>
          <cell r="AO466">
            <v>505423.97729240631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727755.67499999993</v>
          </cell>
          <cell r="H468">
            <v>36387.783750000002</v>
          </cell>
          <cell r="K468">
            <v>36387.783750000002</v>
          </cell>
          <cell r="N468">
            <v>72775.567500000005</v>
          </cell>
          <cell r="Q468">
            <v>72775.567500000005</v>
          </cell>
          <cell r="T468">
            <v>80053.124249999993</v>
          </cell>
          <cell r="W468">
            <v>58220.453999999991</v>
          </cell>
          <cell r="Z468">
            <v>50942.897249999995</v>
          </cell>
          <cell r="AC468">
            <v>72775.567500000005</v>
          </cell>
          <cell r="AF468">
            <v>72775.567500000005</v>
          </cell>
          <cell r="AI468">
            <v>80053.124249999993</v>
          </cell>
          <cell r="AL468">
            <v>72775.567500000005</v>
          </cell>
          <cell r="AO468">
            <v>21832.670249999999</v>
          </cell>
        </row>
        <row r="469">
          <cell r="A469" t="str">
            <v>Programme neuf 1</v>
          </cell>
          <cell r="B469" t="str">
            <v>Programme neuf 1</v>
          </cell>
          <cell r="E469">
            <v>453576.37500000012</v>
          </cell>
          <cell r="H469">
            <v>22678.818750000006</v>
          </cell>
          <cell r="K469">
            <v>22678.818750000006</v>
          </cell>
          <cell r="N469">
            <v>45357.637500000012</v>
          </cell>
          <cell r="Q469">
            <v>45357.637500000012</v>
          </cell>
          <cell r="T469">
            <v>49893.40125000001</v>
          </cell>
          <cell r="W469">
            <v>36286.110000000008</v>
          </cell>
          <cell r="Z469">
            <v>31750.346250000006</v>
          </cell>
          <cell r="AC469">
            <v>45357.637500000012</v>
          </cell>
          <cell r="AF469">
            <v>45357.637500000012</v>
          </cell>
          <cell r="AI469">
            <v>49893.40125000001</v>
          </cell>
          <cell r="AL469">
            <v>45357.637500000012</v>
          </cell>
          <cell r="AO469">
            <v>13607.291250000002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27640.163517536079</v>
          </cell>
          <cell r="Q478">
            <v>32155.184060439959</v>
          </cell>
          <cell r="T478">
            <v>41423.900963995373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0.25930045490907572</v>
          </cell>
          <cell r="E479">
            <v>1580944.4500000002</v>
          </cell>
          <cell r="F479">
            <v>0.20480198301794045</v>
          </cell>
          <cell r="H479">
            <v>84640.686520118426</v>
          </cell>
          <cell r="I479">
            <v>0.20329264800940711</v>
          </cell>
          <cell r="K479">
            <v>80350.578656716752</v>
          </cell>
          <cell r="L479">
            <v>0.34478474457304087</v>
          </cell>
          <cell r="N479">
            <v>154273.36851753609</v>
          </cell>
          <cell r="O479">
            <v>0.27532960431391068</v>
          </cell>
          <cell r="Q479">
            <v>150288.38906043998</v>
          </cell>
          <cell r="R479">
            <v>0.26749868571822361</v>
          </cell>
          <cell r="T479">
            <v>171370.42646399536</v>
          </cell>
          <cell r="U479">
            <v>0.26944652154631549</v>
          </cell>
          <cell r="W479">
            <v>134717.09608676712</v>
          </cell>
          <cell r="X479">
            <v>0.22202655184298281</v>
          </cell>
          <cell r="Z479">
            <v>114510.11707352172</v>
          </cell>
          <cell r="AA479">
            <v>0.27841148546730243</v>
          </cell>
          <cell r="AC479">
            <v>151492.3225374686</v>
          </cell>
          <cell r="AD479">
            <v>0.32998693692952041</v>
          </cell>
          <cell r="AF479">
            <v>159775.82213519749</v>
          </cell>
          <cell r="AG479">
            <v>0.27703007886265585</v>
          </cell>
          <cell r="AI479">
            <v>172092.49666766316</v>
          </cell>
          <cell r="AJ479">
            <v>0.233438573094124</v>
          </cell>
          <cell r="AL479">
            <v>146794.50480492073</v>
          </cell>
          <cell r="AM479">
            <v>0.16824959904454767</v>
          </cell>
          <cell r="AO479">
            <v>60638.641475654658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3.377843205514805E-2</v>
          </cell>
          <cell r="E481">
            <v>1017327.073967617</v>
          </cell>
          <cell r="F481" t="str">
            <v>%vte</v>
          </cell>
          <cell r="G481">
            <v>-7.8936138579930749E-3</v>
          </cell>
          <cell r="H481">
            <v>-24802.622918775087</v>
          </cell>
          <cell r="I481" t="str">
            <v>%vte</v>
          </cell>
          <cell r="J481">
            <v>-1.1516263357331247E-2</v>
          </cell>
          <cell r="K481">
            <v>-21550.736988609642</v>
          </cell>
          <cell r="L481" t="str">
            <v>%vte</v>
          </cell>
          <cell r="M481">
            <v>2.4717841919552896E-2</v>
          </cell>
          <cell r="N481">
            <v>51249.251532810566</v>
          </cell>
          <cell r="O481" t="str">
            <v>%vte</v>
          </cell>
          <cell r="P481">
            <v>5.2920600726871762E-2</v>
          </cell>
          <cell r="Q481">
            <v>130720.25126673651</v>
          </cell>
          <cell r="R481" t="str">
            <v>%vte</v>
          </cell>
          <cell r="S481">
            <v>6.6925627107895791E-2</v>
          </cell>
          <cell r="T481">
            <v>205500.38606289332</v>
          </cell>
          <cell r="U481" t="str">
            <v>%vte</v>
          </cell>
          <cell r="V481">
            <v>3.0561869215419486E-2</v>
          </cell>
          <cell r="W481">
            <v>76333.937170627149</v>
          </cell>
          <cell r="X481" t="str">
            <v>%vte</v>
          </cell>
          <cell r="Y481">
            <v>2.7326605128623439E-2</v>
          </cell>
          <cell r="Z481">
            <v>69855.307015610859</v>
          </cell>
          <cell r="AA481" t="str">
            <v>%vte</v>
          </cell>
          <cell r="AB481">
            <v>4.8863224666086259E-2</v>
          </cell>
          <cell r="AC481">
            <v>130219.31087618621</v>
          </cell>
          <cell r="AD481" t="str">
            <v>%vte</v>
          </cell>
          <cell r="AE481">
            <v>3.4608007414015214E-2</v>
          </cell>
          <cell r="AF481">
            <v>82937.753162884939</v>
          </cell>
          <cell r="AG481" t="str">
            <v>%vte</v>
          </cell>
          <cell r="AH481">
            <v>6.1820808912430664E-2</v>
          </cell>
          <cell r="AI481">
            <v>191293.0984218581</v>
          </cell>
          <cell r="AJ481" t="str">
            <v>%vte</v>
          </cell>
          <cell r="AK481">
            <v>7.7694526655778862E-2</v>
          </cell>
          <cell r="AL481">
            <v>209947.64218487495</v>
          </cell>
          <cell r="AM481" t="str">
            <v>%vte</v>
          </cell>
          <cell r="AN481">
            <v>-5.3465724242771732E-2</v>
          </cell>
          <cell r="AO481">
            <v>-84376.503819480262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3.377843205514805E-2</v>
          </cell>
          <cell r="E487">
            <v>1017327.073967617</v>
          </cell>
          <cell r="F487" t="str">
            <v>%vte</v>
          </cell>
          <cell r="G487">
            <v>-7.8936138579930749E-3</v>
          </cell>
          <cell r="H487">
            <v>-24802.622918775087</v>
          </cell>
          <cell r="I487" t="str">
            <v>%vte</v>
          </cell>
          <cell r="J487">
            <v>-1.1516263357331247E-2</v>
          </cell>
          <cell r="K487">
            <v>-21550.736988609642</v>
          </cell>
          <cell r="L487" t="str">
            <v>%vte</v>
          </cell>
          <cell r="M487">
            <v>2.4717841919552896E-2</v>
          </cell>
          <cell r="N487">
            <v>51249.251532810566</v>
          </cell>
          <cell r="O487" t="str">
            <v>%vte</v>
          </cell>
          <cell r="P487">
            <v>5.2920600726871762E-2</v>
          </cell>
          <cell r="Q487">
            <v>130720.25126673651</v>
          </cell>
          <cell r="R487" t="str">
            <v>%vte</v>
          </cell>
          <cell r="S487">
            <v>6.6925627107895791E-2</v>
          </cell>
          <cell r="T487">
            <v>205500.38606289332</v>
          </cell>
          <cell r="U487" t="str">
            <v>%vte</v>
          </cell>
          <cell r="V487">
            <v>3.0561869215419486E-2</v>
          </cell>
          <cell r="W487">
            <v>76333.937170627149</v>
          </cell>
          <cell r="X487" t="str">
            <v>%vte</v>
          </cell>
          <cell r="Y487">
            <v>2.7326605128623439E-2</v>
          </cell>
          <cell r="Z487">
            <v>69855.307015610859</v>
          </cell>
          <cell r="AA487" t="str">
            <v>%vte</v>
          </cell>
          <cell r="AB487">
            <v>4.8863224666086259E-2</v>
          </cell>
          <cell r="AC487">
            <v>130219.31087618621</v>
          </cell>
          <cell r="AD487" t="str">
            <v>%vte</v>
          </cell>
          <cell r="AE487">
            <v>3.4608007414015214E-2</v>
          </cell>
          <cell r="AF487">
            <v>82937.753162884939</v>
          </cell>
          <cell r="AG487" t="str">
            <v>%vte</v>
          </cell>
          <cell r="AH487">
            <v>6.1820808912430664E-2</v>
          </cell>
          <cell r="AI487">
            <v>191293.0984218581</v>
          </cell>
          <cell r="AJ487" t="str">
            <v>%vte</v>
          </cell>
          <cell r="AK487">
            <v>7.7694526655778862E-2</v>
          </cell>
          <cell r="AL487">
            <v>209947.64218487495</v>
          </cell>
          <cell r="AM487" t="str">
            <v>%vte</v>
          </cell>
          <cell r="AN487">
            <v>-5.3465724242771732E-2</v>
          </cell>
          <cell r="AO487">
            <v>-84376.503819480262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2.9716961370108045E-2</v>
          </cell>
          <cell r="E496">
            <v>895005.11179746105</v>
          </cell>
          <cell r="F496" t="str">
            <v>%vte</v>
          </cell>
          <cell r="G496">
            <v>-1.1145608539779424E-2</v>
          </cell>
          <cell r="H496">
            <v>-35020.75611825184</v>
          </cell>
          <cell r="I496" t="str">
            <v>%vte</v>
          </cell>
          <cell r="J496">
            <v>-1.6964575196889379E-2</v>
          </cell>
          <cell r="K496">
            <v>-31746.330111399671</v>
          </cell>
          <cell r="L496" t="str">
            <v>%vte</v>
          </cell>
          <cell r="M496">
            <v>1.9793294744955378E-2</v>
          </cell>
          <cell r="N496">
            <v>41038.839246109404</v>
          </cell>
          <cell r="O496" t="str">
            <v>%vte</v>
          </cell>
          <cell r="P496">
            <v>4.8791014704572797E-2</v>
          </cell>
          <cell r="Q496">
            <v>120519.67691482035</v>
          </cell>
          <cell r="R496" t="str">
            <v>%vte</v>
          </cell>
          <cell r="S496">
            <v>6.360290090056249E-2</v>
          </cell>
          <cell r="T496">
            <v>195297.69468896775</v>
          </cell>
          <cell r="U496" t="str">
            <v>%vte</v>
          </cell>
          <cell r="V496">
            <v>2.6480849984958508E-2</v>
          </cell>
          <cell r="W496">
            <v>66140.834669784133</v>
          </cell>
          <cell r="X496" t="str">
            <v>%vte</v>
          </cell>
          <cell r="Y496">
            <v>2.333844812249122E-2</v>
          </cell>
          <cell r="Z496">
            <v>59660.336554460875</v>
          </cell>
          <cell r="AA496" t="str">
            <v>%vte</v>
          </cell>
          <cell r="AB496">
            <v>4.5039133642958598E-2</v>
          </cell>
          <cell r="AC496">
            <v>120028.20087142402</v>
          </cell>
          <cell r="AD496" t="str">
            <v>%vte</v>
          </cell>
          <cell r="AE496">
            <v>3.0359338084705749E-2</v>
          </cell>
          <cell r="AF496">
            <v>72755.858438651645</v>
          </cell>
          <cell r="AG496" t="str">
            <v>%vte</v>
          </cell>
          <cell r="AH496">
            <v>5.8529810144935662E-2</v>
          </cell>
          <cell r="AI496">
            <v>181109.70932987149</v>
          </cell>
          <cell r="AJ496" t="str">
            <v>%vte</v>
          </cell>
          <cell r="AK496">
            <v>7.3929316621032137E-2</v>
          </cell>
          <cell r="AL496">
            <v>199773.21931171481</v>
          </cell>
          <cell r="AM496" t="str">
            <v>%vte</v>
          </cell>
          <cell r="AN496">
            <v>-5.991360302688932E-2</v>
          </cell>
          <cell r="AO496">
            <v>-94552.171998691279</v>
          </cell>
        </row>
      </sheetData>
      <sheetData sheetId="3"/>
      <sheetData sheetId="4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>X</v>
          </cell>
          <cell r="P2" t="str">
            <v>O</v>
          </cell>
          <cell r="Q2" t="str">
            <v>U</v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5">
        <row r="456">
          <cell r="V456" t="str">
            <v>Assurances</v>
          </cell>
        </row>
      </sheetData>
      <sheetData sheetId="6"/>
      <sheetData sheetId="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 t="str">
            <v>$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 t="str">
            <v>$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 t="str">
            <v>$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 t="str">
            <v>$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 t="str">
            <v>$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 t="str">
            <v>$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 t="str">
            <v>$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C67">
            <v>2208806.13</v>
          </cell>
          <cell r="O67">
            <v>243682.01</v>
          </cell>
          <cell r="U67" t="str">
            <v>Bilan</v>
          </cell>
          <cell r="V67" t="str">
            <v>Encaisse</v>
          </cell>
          <cell r="W67" t="str">
            <v>$</v>
          </cell>
          <cell r="X67">
            <v>0</v>
          </cell>
        </row>
        <row r="68">
          <cell r="C68">
            <v>50.2</v>
          </cell>
          <cell r="O68">
            <v>0</v>
          </cell>
          <cell r="U68" t="str">
            <v>Bilan</v>
          </cell>
          <cell r="V68" t="str">
            <v>Encaisse</v>
          </cell>
          <cell r="W68" t="str">
            <v>$</v>
          </cell>
          <cell r="X68">
            <v>0</v>
          </cell>
        </row>
        <row r="69">
          <cell r="C69">
            <v>2230376.09</v>
          </cell>
          <cell r="O69">
            <v>-164348.88</v>
          </cell>
          <cell r="U69" t="str">
            <v>Bilan</v>
          </cell>
          <cell r="V69" t="str">
            <v>Recevables Contrats en Transit</v>
          </cell>
          <cell r="W69" t="str">
            <v>$</v>
          </cell>
          <cell r="X69">
            <v>0</v>
          </cell>
        </row>
        <row r="70">
          <cell r="C70">
            <v>20771.5</v>
          </cell>
          <cell r="O70">
            <v>32838.230000000003</v>
          </cell>
          <cell r="U70" t="str">
            <v>Bilan</v>
          </cell>
          <cell r="V70" t="str">
            <v>Recevables Véhicules</v>
          </cell>
          <cell r="W70" t="str">
            <v>$</v>
          </cell>
          <cell r="X70">
            <v>0</v>
          </cell>
        </row>
        <row r="71">
          <cell r="C71">
            <v>195957.92</v>
          </cell>
          <cell r="O71">
            <v>28383.439999999999</v>
          </cell>
          <cell r="U71" t="str">
            <v>Bilan</v>
          </cell>
          <cell r="V71" t="str">
            <v>Recevables Véhicules</v>
          </cell>
          <cell r="W71" t="str">
            <v>$</v>
          </cell>
          <cell r="X71">
            <v>0</v>
          </cell>
        </row>
        <row r="72">
          <cell r="C72">
            <v>56720.5</v>
          </cell>
          <cell r="O72">
            <v>-12927.47</v>
          </cell>
          <cell r="U72" t="str">
            <v>Bilan</v>
          </cell>
          <cell r="V72" t="str">
            <v>Recevables Pièces et Service</v>
          </cell>
          <cell r="W72" t="str">
            <v>$</v>
          </cell>
          <cell r="X72">
            <v>0</v>
          </cell>
        </row>
        <row r="73">
          <cell r="C73">
            <v>49488.46</v>
          </cell>
          <cell r="O73">
            <v>-3197.94</v>
          </cell>
          <cell r="U73" t="str">
            <v>Bilan</v>
          </cell>
          <cell r="V73" t="str">
            <v>Recevables Carrosserie</v>
          </cell>
          <cell r="W73" t="str">
            <v>$</v>
          </cell>
          <cell r="X73">
            <v>0</v>
          </cell>
        </row>
        <row r="74">
          <cell r="C74">
            <v>49411</v>
          </cell>
          <cell r="O74">
            <v>-11681</v>
          </cell>
          <cell r="U74" t="str">
            <v>Bilan</v>
          </cell>
          <cell r="V74" t="str">
            <v>Recevables Manufacturier</v>
          </cell>
          <cell r="W74" t="str">
            <v>$</v>
          </cell>
          <cell r="X74">
            <v>0</v>
          </cell>
        </row>
        <row r="75">
          <cell r="C75">
            <v>41335.660000000003</v>
          </cell>
          <cell r="O75">
            <v>32804.68</v>
          </cell>
          <cell r="U75" t="str">
            <v>Bilan</v>
          </cell>
          <cell r="V75" t="str">
            <v>Recevables Garantie Manufacturier</v>
          </cell>
          <cell r="W75" t="str">
            <v>$</v>
          </cell>
          <cell r="X75">
            <v>0</v>
          </cell>
        </row>
        <row r="76">
          <cell r="C76">
            <v>69.81</v>
          </cell>
          <cell r="O76">
            <v>-2574.14</v>
          </cell>
          <cell r="U76" t="str">
            <v>Bilan</v>
          </cell>
          <cell r="V76" t="str">
            <v>recevables Autres</v>
          </cell>
          <cell r="W76" t="str">
            <v>$</v>
          </cell>
          <cell r="X76">
            <v>0</v>
          </cell>
        </row>
        <row r="77">
          <cell r="C77">
            <v>212907.72</v>
          </cell>
          <cell r="O77">
            <v>-124756.98</v>
          </cell>
          <cell r="U77" t="str">
            <v>Bilan</v>
          </cell>
          <cell r="V77" t="str">
            <v>Recevables Manufacturier</v>
          </cell>
          <cell r="W77" t="str">
            <v>$</v>
          </cell>
          <cell r="X77">
            <v>0</v>
          </cell>
        </row>
        <row r="78">
          <cell r="C78">
            <v>112961.83</v>
          </cell>
          <cell r="O78">
            <v>-22257.95</v>
          </cell>
          <cell r="U78" t="str">
            <v>Bilan</v>
          </cell>
          <cell r="V78" t="str">
            <v>recevables Autres</v>
          </cell>
          <cell r="W78" t="str">
            <v>$</v>
          </cell>
          <cell r="X78">
            <v>0</v>
          </cell>
        </row>
        <row r="79">
          <cell r="C79">
            <v>-45000</v>
          </cell>
          <cell r="O79">
            <v>0</v>
          </cell>
          <cell r="U79" t="str">
            <v>Bilan</v>
          </cell>
          <cell r="V79" t="str">
            <v>Recevables Pièces et Service</v>
          </cell>
          <cell r="W79" t="str">
            <v>$</v>
          </cell>
          <cell r="X79">
            <v>0</v>
          </cell>
        </row>
        <row r="80">
          <cell r="C80">
            <v>5578101.7800000003</v>
          </cell>
          <cell r="O80">
            <v>-509094.02</v>
          </cell>
          <cell r="U80" t="str">
            <v>Bilan</v>
          </cell>
          <cell r="V80" t="str">
            <v>Inventaire Véhicules Neufs</v>
          </cell>
          <cell r="W80" t="str">
            <v>$</v>
          </cell>
          <cell r="X80">
            <v>0</v>
          </cell>
        </row>
        <row r="81">
          <cell r="O81">
            <v>-11</v>
          </cell>
          <cell r="U81" t="str">
            <v>Bilan</v>
          </cell>
          <cell r="V81">
            <v>0</v>
          </cell>
          <cell r="W81" t="str">
            <v>NB</v>
          </cell>
          <cell r="X81">
            <v>0</v>
          </cell>
        </row>
        <row r="82">
          <cell r="C82">
            <v>-125014.36</v>
          </cell>
          <cell r="O82">
            <v>-4650</v>
          </cell>
          <cell r="U82" t="str">
            <v>Bilan</v>
          </cell>
          <cell r="V82" t="str">
            <v>Inventaire Véhicules Neufs</v>
          </cell>
          <cell r="W82" t="str">
            <v>$</v>
          </cell>
          <cell r="X82">
            <v>0</v>
          </cell>
        </row>
        <row r="83">
          <cell r="C83">
            <v>-30432.58</v>
          </cell>
          <cell r="O83">
            <v>-7542.13</v>
          </cell>
          <cell r="U83" t="str">
            <v>Bilan</v>
          </cell>
          <cell r="V83" t="str">
            <v>Inventaire Véhicules Usagés</v>
          </cell>
          <cell r="W83" t="str">
            <v>$</v>
          </cell>
          <cell r="X83">
            <v>0</v>
          </cell>
        </row>
        <row r="84">
          <cell r="C84">
            <v>1576844.32</v>
          </cell>
          <cell r="O84">
            <v>244849.18</v>
          </cell>
          <cell r="U84" t="str">
            <v>Bilan</v>
          </cell>
          <cell r="V84" t="str">
            <v>Inventaire Véhicules Usagés</v>
          </cell>
          <cell r="W84" t="str">
            <v>$</v>
          </cell>
          <cell r="X84">
            <v>0</v>
          </cell>
        </row>
        <row r="85">
          <cell r="O85">
            <v>14</v>
          </cell>
          <cell r="U85" t="str">
            <v>Bilan</v>
          </cell>
          <cell r="V85">
            <v>0</v>
          </cell>
          <cell r="W85" t="str">
            <v>NB</v>
          </cell>
          <cell r="X85">
            <v>0</v>
          </cell>
        </row>
        <row r="86">
          <cell r="O86">
            <v>1</v>
          </cell>
          <cell r="U86" t="e">
            <v>#N/A</v>
          </cell>
          <cell r="V86" t="e">
            <v>#N/A</v>
          </cell>
          <cell r="W86" t="e">
            <v>#N/A</v>
          </cell>
          <cell r="X86" t="e">
            <v>#N/A</v>
          </cell>
        </row>
        <row r="87">
          <cell r="C87">
            <v>-17732.75</v>
          </cell>
          <cell r="O87">
            <v>752.12</v>
          </cell>
          <cell r="U87" t="str">
            <v>Bilan</v>
          </cell>
          <cell r="V87" t="str">
            <v>Inventaire Véhicules Neufs</v>
          </cell>
          <cell r="W87" t="str">
            <v>$</v>
          </cell>
          <cell r="X87">
            <v>0</v>
          </cell>
        </row>
        <row r="88">
          <cell r="C88">
            <v>-28856.09</v>
          </cell>
          <cell r="O88">
            <v>-18885.13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135376.54999999999</v>
          </cell>
          <cell r="O89">
            <v>-42034.78</v>
          </cell>
          <cell r="U89" t="str">
            <v>Bilan</v>
          </cell>
          <cell r="V89" t="str">
            <v>Inventaire Pièces, Pneus, Huile</v>
          </cell>
          <cell r="W89" t="str">
            <v>$</v>
          </cell>
          <cell r="X89">
            <v>0</v>
          </cell>
        </row>
        <row r="90">
          <cell r="C90">
            <v>-9.14</v>
          </cell>
          <cell r="O90">
            <v>306.77999999999997</v>
          </cell>
          <cell r="U90" t="str">
            <v>Bilan</v>
          </cell>
          <cell r="V90" t="str">
            <v>Inventaire Pièces, Pneus, Huile</v>
          </cell>
          <cell r="W90" t="str">
            <v>$</v>
          </cell>
          <cell r="X90">
            <v>0</v>
          </cell>
        </row>
        <row r="91">
          <cell r="C91">
            <v>196930.05</v>
          </cell>
          <cell r="O91">
            <v>46206.35</v>
          </cell>
          <cell r="U91" t="str">
            <v>Bilan</v>
          </cell>
          <cell r="V91" t="str">
            <v>Inventaire Pièces, Pneus, Huile</v>
          </cell>
          <cell r="W91" t="str">
            <v>$</v>
          </cell>
          <cell r="X91">
            <v>0</v>
          </cell>
        </row>
        <row r="92">
          <cell r="C92">
            <v>36227.300000000003</v>
          </cell>
          <cell r="O92">
            <v>1723.22</v>
          </cell>
          <cell r="U92" t="str">
            <v>Bilan</v>
          </cell>
          <cell r="V92" t="str">
            <v>Inventaire Pièces, Pneus, Huile</v>
          </cell>
          <cell r="W92" t="str">
            <v>$</v>
          </cell>
          <cell r="X92">
            <v>0</v>
          </cell>
        </row>
        <row r="93">
          <cell r="C93">
            <v>9187.7000000000007</v>
          </cell>
          <cell r="O93">
            <v>-4838.4399999999996</v>
          </cell>
          <cell r="U93" t="str">
            <v>Bilan</v>
          </cell>
          <cell r="V93" t="str">
            <v>Travaux en Cours</v>
          </cell>
          <cell r="W93" t="str">
            <v>$</v>
          </cell>
          <cell r="X93">
            <v>0</v>
          </cell>
        </row>
        <row r="94">
          <cell r="C94">
            <v>-3164.81</v>
          </cell>
          <cell r="O94">
            <v>-951.92</v>
          </cell>
          <cell r="U94" t="str">
            <v>Bilan</v>
          </cell>
          <cell r="V94" t="str">
            <v>Sous-Traitance</v>
          </cell>
          <cell r="W94" t="str">
            <v>$</v>
          </cell>
          <cell r="X94">
            <v>0</v>
          </cell>
        </row>
        <row r="95">
          <cell r="C95">
            <v>23431.94</v>
          </cell>
          <cell r="O95">
            <v>-2158.35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55.02</v>
          </cell>
          <cell r="O96">
            <v>0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-2911.69</v>
          </cell>
          <cell r="O97">
            <v>424.97</v>
          </cell>
          <cell r="U97" t="str">
            <v>Bilan</v>
          </cell>
          <cell r="V97" t="str">
            <v>Frais Payés d'Avance</v>
          </cell>
          <cell r="W97" t="str">
            <v>$</v>
          </cell>
          <cell r="X97">
            <v>0</v>
          </cell>
        </row>
        <row r="98">
          <cell r="C98">
            <v>0</v>
          </cell>
          <cell r="O98">
            <v>-615</v>
          </cell>
          <cell r="U98" t="str">
            <v>Bilan</v>
          </cell>
          <cell r="V98" t="str">
            <v>Frais Payés d'Avance</v>
          </cell>
          <cell r="W98" t="str">
            <v>$</v>
          </cell>
          <cell r="X98">
            <v>0</v>
          </cell>
        </row>
        <row r="99">
          <cell r="C99">
            <v>-4837.66</v>
          </cell>
          <cell r="O99">
            <v>4837.66</v>
          </cell>
          <cell r="U99" t="str">
            <v>Bilan</v>
          </cell>
          <cell r="V99" t="str">
            <v>Frais Payés d'Avance</v>
          </cell>
          <cell r="W99" t="str">
            <v>$</v>
          </cell>
          <cell r="X99">
            <v>0</v>
          </cell>
        </row>
        <row r="100">
          <cell r="C100">
            <v>3846.95</v>
          </cell>
          <cell r="O100">
            <v>-145</v>
          </cell>
          <cell r="U100" t="str">
            <v>Bilan</v>
          </cell>
          <cell r="V100" t="str">
            <v>Frais Payés d'Avance</v>
          </cell>
          <cell r="W100" t="str">
            <v>$</v>
          </cell>
          <cell r="X100">
            <v>0</v>
          </cell>
        </row>
        <row r="101">
          <cell r="C101">
            <v>6779.64</v>
          </cell>
          <cell r="O101">
            <v>2904.95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1769.3</v>
          </cell>
          <cell r="O102">
            <v>0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-65</v>
          </cell>
          <cell r="O103">
            <v>0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0</v>
          </cell>
          <cell r="O104">
            <v>-431.25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3270.37</v>
          </cell>
          <cell r="O105">
            <v>-2006.11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-3525.13</v>
          </cell>
          <cell r="O106">
            <v>0</v>
          </cell>
          <cell r="U106" t="str">
            <v>Bilan</v>
          </cell>
          <cell r="V106" t="str">
            <v>Autres Courus</v>
          </cell>
          <cell r="W106" t="str">
            <v>$</v>
          </cell>
          <cell r="X106">
            <v>0</v>
          </cell>
        </row>
        <row r="107">
          <cell r="C107">
            <v>-205.24</v>
          </cell>
          <cell r="O107">
            <v>205.24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-720.39</v>
          </cell>
          <cell r="O108">
            <v>14670.72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1067.9000000000001</v>
          </cell>
          <cell r="O109">
            <v>-310.7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119334.53</v>
          </cell>
          <cell r="O110">
            <v>21869.91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0</v>
          </cell>
          <cell r="O111">
            <v>43.59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96990.28</v>
          </cell>
          <cell r="O112">
            <v>0</v>
          </cell>
          <cell r="U112" t="str">
            <v>Bilan</v>
          </cell>
          <cell r="V112" t="str">
            <v>Améliorations Locatives</v>
          </cell>
          <cell r="W112" t="str">
            <v>$</v>
          </cell>
          <cell r="X112">
            <v>0</v>
          </cell>
        </row>
        <row r="113">
          <cell r="C113">
            <v>-99480.97</v>
          </cell>
          <cell r="O113">
            <v>-1730</v>
          </cell>
          <cell r="U113" t="str">
            <v>Bilan</v>
          </cell>
          <cell r="V113" t="str">
            <v>Améliorations Locatives</v>
          </cell>
          <cell r="W113" t="str">
            <v>$</v>
          </cell>
          <cell r="X113">
            <v>0</v>
          </cell>
        </row>
        <row r="114">
          <cell r="C114">
            <v>942882.53</v>
          </cell>
          <cell r="O114">
            <v>0</v>
          </cell>
          <cell r="U114" t="str">
            <v>Bilan</v>
          </cell>
          <cell r="V114" t="str">
            <v>Équipements Service</v>
          </cell>
          <cell r="W114" t="str">
            <v>$</v>
          </cell>
          <cell r="X114">
            <v>0</v>
          </cell>
        </row>
        <row r="115">
          <cell r="C115">
            <v>-765638.84</v>
          </cell>
          <cell r="O115">
            <v>-3972</v>
          </cell>
          <cell r="U115" t="str">
            <v>Bilan</v>
          </cell>
          <cell r="V115" t="str">
            <v>Équipements Service</v>
          </cell>
          <cell r="W115" t="str">
            <v>$</v>
          </cell>
          <cell r="X115">
            <v>0</v>
          </cell>
        </row>
        <row r="116">
          <cell r="C116">
            <v>47461.59</v>
          </cell>
          <cell r="O116">
            <v>0</v>
          </cell>
          <cell r="U116" t="str">
            <v>Bilan</v>
          </cell>
          <cell r="V116" t="str">
            <v>Équipements Service</v>
          </cell>
          <cell r="W116" t="str">
            <v>$</v>
          </cell>
          <cell r="X116">
            <v>0</v>
          </cell>
        </row>
        <row r="117">
          <cell r="C117">
            <v>-47833.48</v>
          </cell>
          <cell r="O117">
            <v>-180</v>
          </cell>
          <cell r="U117" t="str">
            <v>Bilan</v>
          </cell>
          <cell r="V117" t="str">
            <v>Équipements Service</v>
          </cell>
          <cell r="W117" t="str">
            <v>$</v>
          </cell>
          <cell r="X117">
            <v>0</v>
          </cell>
        </row>
        <row r="118">
          <cell r="C118">
            <v>155280.23000000001</v>
          </cell>
          <cell r="O118">
            <v>0</v>
          </cell>
          <cell r="U118" t="str">
            <v>Bilan</v>
          </cell>
          <cell r="V118" t="str">
            <v>Équipements Téléphonique</v>
          </cell>
          <cell r="W118" t="str">
            <v>$</v>
          </cell>
          <cell r="X118">
            <v>0</v>
          </cell>
        </row>
        <row r="119">
          <cell r="C119">
            <v>-155220.23000000001</v>
          </cell>
          <cell r="O119">
            <v>20</v>
          </cell>
          <cell r="U119" t="str">
            <v>Bilan</v>
          </cell>
          <cell r="V119" t="str">
            <v>Équipements Téléphonique</v>
          </cell>
          <cell r="W119" t="str">
            <v>$</v>
          </cell>
          <cell r="X119">
            <v>0</v>
          </cell>
        </row>
        <row r="120">
          <cell r="C120">
            <v>433206.49</v>
          </cell>
          <cell r="O120">
            <v>0</v>
          </cell>
          <cell r="U120" t="str">
            <v>Bilan</v>
          </cell>
          <cell r="V120" t="str">
            <v>Mobilier</v>
          </cell>
          <cell r="W120" t="str">
            <v>$</v>
          </cell>
          <cell r="X120">
            <v>0</v>
          </cell>
        </row>
        <row r="121">
          <cell r="C121">
            <v>-399992.54</v>
          </cell>
          <cell r="O121">
            <v>-1250</v>
          </cell>
          <cell r="U121" t="str">
            <v>Bilan</v>
          </cell>
          <cell r="V121" t="str">
            <v>Mobilier</v>
          </cell>
          <cell r="W121" t="str">
            <v>$</v>
          </cell>
          <cell r="X121">
            <v>0</v>
          </cell>
        </row>
        <row r="122">
          <cell r="C122">
            <v>3987.88</v>
          </cell>
          <cell r="O122">
            <v>0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-3987.88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271520.27</v>
          </cell>
          <cell r="O124">
            <v>0</v>
          </cell>
          <cell r="U124" t="str">
            <v>Bilan</v>
          </cell>
          <cell r="V124" t="str">
            <v>Équipements Informatique</v>
          </cell>
          <cell r="W124" t="str">
            <v>$</v>
          </cell>
          <cell r="X124">
            <v>0</v>
          </cell>
        </row>
        <row r="125">
          <cell r="C125">
            <v>-249914.65</v>
          </cell>
          <cell r="O125">
            <v>-1870</v>
          </cell>
          <cell r="U125" t="str">
            <v>Bilan</v>
          </cell>
          <cell r="V125" t="str">
            <v>Équipements Informatique</v>
          </cell>
          <cell r="W125" t="str">
            <v>$</v>
          </cell>
          <cell r="X125">
            <v>0</v>
          </cell>
        </row>
        <row r="126">
          <cell r="C126">
            <v>119393.66</v>
          </cell>
          <cell r="O126">
            <v>0</v>
          </cell>
          <cell r="U126" t="str">
            <v>Bilan</v>
          </cell>
          <cell r="V126" t="str">
            <v>Enseigne</v>
          </cell>
          <cell r="W126" t="str">
            <v>$</v>
          </cell>
          <cell r="X126">
            <v>0</v>
          </cell>
        </row>
        <row r="127">
          <cell r="C127">
            <v>-119948.65</v>
          </cell>
          <cell r="O127">
            <v>-185</v>
          </cell>
          <cell r="U127" t="str">
            <v>Bilan</v>
          </cell>
          <cell r="V127" t="str">
            <v>Enseigne</v>
          </cell>
          <cell r="W127" t="str">
            <v>$</v>
          </cell>
          <cell r="X127">
            <v>0</v>
          </cell>
        </row>
        <row r="128">
          <cell r="C128">
            <v>1623600</v>
          </cell>
          <cell r="O128">
            <v>0</v>
          </cell>
          <cell r="U128" t="str">
            <v>Bilan</v>
          </cell>
          <cell r="V128" t="str">
            <v>Avances à Recevoir Long Terme</v>
          </cell>
          <cell r="W128" t="str">
            <v>$</v>
          </cell>
          <cell r="X128">
            <v>0</v>
          </cell>
        </row>
        <row r="129">
          <cell r="C129">
            <v>15005.19</v>
          </cell>
          <cell r="O129">
            <v>964.56</v>
          </cell>
          <cell r="U129" t="str">
            <v>Bilan</v>
          </cell>
          <cell r="V129" t="str">
            <v>Recevables Autres</v>
          </cell>
          <cell r="W129" t="str">
            <v>$</v>
          </cell>
          <cell r="X129">
            <v>0</v>
          </cell>
        </row>
        <row r="130">
          <cell r="C130">
            <v>-7036543.5300000003</v>
          </cell>
          <cell r="O130">
            <v>351010.43</v>
          </cell>
          <cell r="U130" t="str">
            <v>Bilan</v>
          </cell>
          <cell r="V130" t="str">
            <v>Effet à Payer Véhicules Neufs</v>
          </cell>
          <cell r="W130" t="str">
            <v>$</v>
          </cell>
          <cell r="X130">
            <v>0</v>
          </cell>
        </row>
        <row r="131">
          <cell r="C131">
            <v>-286517.08</v>
          </cell>
          <cell r="O131">
            <v>-59375.59</v>
          </cell>
          <cell r="U131" t="str">
            <v>Bilan</v>
          </cell>
          <cell r="V131" t="str">
            <v>Effet à Payer Véhicules Usagés</v>
          </cell>
          <cell r="W131" t="str">
            <v>$</v>
          </cell>
          <cell r="X131">
            <v>0</v>
          </cell>
        </row>
        <row r="132">
          <cell r="C132">
            <v>-15810</v>
          </cell>
          <cell r="O132">
            <v>0</v>
          </cell>
          <cell r="U132" t="str">
            <v>Bilan</v>
          </cell>
          <cell r="V132" t="str">
            <v>Portion Court Terme de la Dette Long Terme</v>
          </cell>
          <cell r="W132" t="str">
            <v>$</v>
          </cell>
          <cell r="X132">
            <v>0</v>
          </cell>
        </row>
        <row r="133">
          <cell r="C133">
            <v>-644.22</v>
          </cell>
          <cell r="O133">
            <v>524.55999999999995</v>
          </cell>
          <cell r="U133" t="str">
            <v>Bilan</v>
          </cell>
          <cell r="V133" t="str">
            <v>Taxes de Vente à Payer</v>
          </cell>
          <cell r="W133" t="str">
            <v>$</v>
          </cell>
          <cell r="X133">
            <v>0</v>
          </cell>
        </row>
        <row r="134">
          <cell r="C134">
            <v>-82643.839999999997</v>
          </cell>
          <cell r="O134">
            <v>-14142.53</v>
          </cell>
          <cell r="U134" t="str">
            <v>Bilan</v>
          </cell>
          <cell r="V134" t="str">
            <v>Taxes de Vente à Payer</v>
          </cell>
          <cell r="W134" t="str">
            <v>$</v>
          </cell>
          <cell r="X134">
            <v>0</v>
          </cell>
        </row>
        <row r="135">
          <cell r="C135">
            <v>47216.13</v>
          </cell>
          <cell r="O135">
            <v>6553.17</v>
          </cell>
          <cell r="U135" t="str">
            <v>Bilan</v>
          </cell>
          <cell r="V135" t="str">
            <v>Taxes de Vente à Payer</v>
          </cell>
          <cell r="W135" t="str">
            <v>$</v>
          </cell>
          <cell r="X135">
            <v>0</v>
          </cell>
        </row>
        <row r="136">
          <cell r="C136">
            <v>-319492.3</v>
          </cell>
          <cell r="O136">
            <v>22348.57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279561.25</v>
          </cell>
          <cell r="O137">
            <v>-36969.49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-1659</v>
          </cell>
          <cell r="O138">
            <v>12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-478876.19</v>
          </cell>
          <cell r="O139">
            <v>31261.279999999999</v>
          </cell>
          <cell r="U139" t="str">
            <v>Bilan</v>
          </cell>
          <cell r="V139" t="str">
            <v>Autres Comptes à Payer</v>
          </cell>
          <cell r="W139" t="str">
            <v>$</v>
          </cell>
          <cell r="X139">
            <v>0</v>
          </cell>
        </row>
        <row r="140">
          <cell r="C140">
            <v>-842.5</v>
          </cell>
          <cell r="O140">
            <v>-880</v>
          </cell>
          <cell r="U140" t="str">
            <v>Bilan</v>
          </cell>
          <cell r="V140" t="str">
            <v>Autres Comptes à Payer</v>
          </cell>
          <cell r="W140" t="str">
            <v>$</v>
          </cell>
          <cell r="X140">
            <v>0</v>
          </cell>
        </row>
        <row r="141">
          <cell r="C141">
            <v>-81543.08</v>
          </cell>
          <cell r="O141">
            <v>-4645.87</v>
          </cell>
          <cell r="U141" t="str">
            <v>Bilan</v>
          </cell>
          <cell r="V141" t="str">
            <v>Autres Comptes à Payer</v>
          </cell>
          <cell r="W141" t="str">
            <v>$</v>
          </cell>
          <cell r="X141">
            <v>0</v>
          </cell>
        </row>
        <row r="142">
          <cell r="C142">
            <v>-18434.099999999999</v>
          </cell>
          <cell r="O142">
            <v>13884.38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-86269.39</v>
          </cell>
          <cell r="O143">
            <v>26488.92</v>
          </cell>
          <cell r="U143" t="str">
            <v>Bilan</v>
          </cell>
          <cell r="V143" t="str">
            <v>Comptes à Payer Fournisseurs</v>
          </cell>
          <cell r="W143" t="str">
            <v>$</v>
          </cell>
          <cell r="X143">
            <v>0</v>
          </cell>
        </row>
        <row r="144">
          <cell r="C144">
            <v>-179903.7</v>
          </cell>
          <cell r="O144">
            <v>142195.04999999999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-6441.96</v>
          </cell>
          <cell r="O145">
            <v>-2006.85</v>
          </cell>
          <cell r="U145" t="str">
            <v>Bilan</v>
          </cell>
          <cell r="V145" t="str">
            <v>Autres Courus</v>
          </cell>
          <cell r="W145" t="str">
            <v>$</v>
          </cell>
          <cell r="X145">
            <v>0</v>
          </cell>
        </row>
        <row r="146">
          <cell r="C146">
            <v>-70.34</v>
          </cell>
          <cell r="O146">
            <v>-35.01</v>
          </cell>
          <cell r="U146" t="str">
            <v>Bilan</v>
          </cell>
          <cell r="V146" t="str">
            <v>Autres Courus</v>
          </cell>
          <cell r="W146" t="str">
            <v>$</v>
          </cell>
          <cell r="X146">
            <v>0</v>
          </cell>
        </row>
        <row r="147">
          <cell r="C147">
            <v>-10400</v>
          </cell>
          <cell r="O147">
            <v>-3100</v>
          </cell>
          <cell r="U147" t="str">
            <v>Bilan</v>
          </cell>
          <cell r="V147" t="str">
            <v>Autres Courus</v>
          </cell>
          <cell r="W147" t="str">
            <v>$</v>
          </cell>
          <cell r="X147">
            <v>0</v>
          </cell>
        </row>
        <row r="148">
          <cell r="C148">
            <v>5951.65</v>
          </cell>
          <cell r="O148">
            <v>-1659.33</v>
          </cell>
          <cell r="U148" t="str">
            <v>Bilan</v>
          </cell>
          <cell r="V148" t="str">
            <v>DAS à Payer</v>
          </cell>
          <cell r="W148" t="str">
            <v>$</v>
          </cell>
          <cell r="X148">
            <v>0</v>
          </cell>
        </row>
        <row r="149">
          <cell r="C149">
            <v>38.1</v>
          </cell>
          <cell r="O149">
            <v>130.51</v>
          </cell>
          <cell r="U149" t="str">
            <v>Bilan</v>
          </cell>
          <cell r="V149" t="str">
            <v>DAS à Payer</v>
          </cell>
          <cell r="W149" t="str">
            <v>$</v>
          </cell>
          <cell r="X149">
            <v>0</v>
          </cell>
        </row>
        <row r="150">
          <cell r="C150">
            <v>-28470.6</v>
          </cell>
          <cell r="O150">
            <v>-3967.02</v>
          </cell>
          <cell r="U150" t="str">
            <v>Bilan</v>
          </cell>
          <cell r="V150" t="str">
            <v>DAS à Payer</v>
          </cell>
          <cell r="W150" t="str">
            <v>$</v>
          </cell>
          <cell r="X150">
            <v>0</v>
          </cell>
        </row>
        <row r="151">
          <cell r="C151">
            <v>-523.6</v>
          </cell>
          <cell r="O151">
            <v>-78.459999999999994</v>
          </cell>
          <cell r="U151" t="str">
            <v>Bilan</v>
          </cell>
          <cell r="V151" t="str">
            <v>DAS à Payer</v>
          </cell>
          <cell r="W151" t="str">
            <v>$</v>
          </cell>
          <cell r="X151">
            <v>0</v>
          </cell>
        </row>
        <row r="152">
          <cell r="C152">
            <v>-851.5</v>
          </cell>
          <cell r="O152">
            <v>598</v>
          </cell>
          <cell r="U152" t="str">
            <v>Bilan</v>
          </cell>
          <cell r="V152" t="str">
            <v>DAS à Payer</v>
          </cell>
          <cell r="W152" t="str">
            <v>$</v>
          </cell>
          <cell r="X152">
            <v>0</v>
          </cell>
        </row>
        <row r="153">
          <cell r="C153">
            <v>-5450</v>
          </cell>
          <cell r="O153">
            <v>3010</v>
          </cell>
          <cell r="U153" t="str">
            <v>Bilan</v>
          </cell>
          <cell r="V153" t="str">
            <v>Dépôts de Client</v>
          </cell>
          <cell r="W153" t="str">
            <v>$</v>
          </cell>
          <cell r="X153">
            <v>0</v>
          </cell>
        </row>
        <row r="154">
          <cell r="C154">
            <v>-26500.78</v>
          </cell>
          <cell r="O154">
            <v>-6897.27</v>
          </cell>
          <cell r="U154" t="str">
            <v>Bilan</v>
          </cell>
          <cell r="V154" t="str">
            <v>Salaires à Payer</v>
          </cell>
          <cell r="W154" t="str">
            <v>$</v>
          </cell>
          <cell r="X154">
            <v>0</v>
          </cell>
        </row>
        <row r="155">
          <cell r="C155">
            <v>-171003.73</v>
          </cell>
          <cell r="O155">
            <v>917.16</v>
          </cell>
          <cell r="U155" t="str">
            <v>Bilan</v>
          </cell>
          <cell r="V155" t="str">
            <v>Salaires à Payer</v>
          </cell>
          <cell r="W155" t="str">
            <v>$</v>
          </cell>
          <cell r="X155">
            <v>0</v>
          </cell>
        </row>
        <row r="156">
          <cell r="C156">
            <v>-17557.46</v>
          </cell>
          <cell r="O156">
            <v>-2485.8000000000002</v>
          </cell>
          <cell r="U156" t="str">
            <v>Bilan</v>
          </cell>
          <cell r="V156" t="str">
            <v>Salaires à Payer</v>
          </cell>
          <cell r="W156" t="str">
            <v>$</v>
          </cell>
          <cell r="X156">
            <v>0</v>
          </cell>
        </row>
        <row r="157">
          <cell r="C157">
            <v>-196323.1</v>
          </cell>
          <cell r="O157">
            <v>-12893.91</v>
          </cell>
          <cell r="U157" t="str">
            <v>Bilan</v>
          </cell>
          <cell r="V157" t="str">
            <v>Salaires à Payer</v>
          </cell>
          <cell r="W157" t="str">
            <v>$</v>
          </cell>
          <cell r="X157">
            <v>0</v>
          </cell>
        </row>
        <row r="158">
          <cell r="C158">
            <v>-9869.92</v>
          </cell>
          <cell r="O158">
            <v>2742.64</v>
          </cell>
          <cell r="U158" t="str">
            <v>Bilan</v>
          </cell>
          <cell r="V158" t="str">
            <v>Salaires à Payer</v>
          </cell>
          <cell r="W158" t="str">
            <v>$</v>
          </cell>
          <cell r="X158">
            <v>0</v>
          </cell>
        </row>
        <row r="159">
          <cell r="C159">
            <v>-24206.25</v>
          </cell>
          <cell r="O159">
            <v>1317.5</v>
          </cell>
          <cell r="U159" t="str">
            <v>Bilan</v>
          </cell>
          <cell r="V159" t="str">
            <v>Dette à Long Terme</v>
          </cell>
          <cell r="W159" t="str">
            <v>$</v>
          </cell>
          <cell r="X159">
            <v>0</v>
          </cell>
        </row>
        <row r="160">
          <cell r="C160">
            <v>-19603.39</v>
          </cell>
          <cell r="O160">
            <v>480.79</v>
          </cell>
          <cell r="U160" t="str">
            <v>Bilan</v>
          </cell>
          <cell r="V160" t="str">
            <v>Autres Courus</v>
          </cell>
          <cell r="W160" t="str">
            <v>$</v>
          </cell>
          <cell r="X160">
            <v>0</v>
          </cell>
        </row>
        <row r="161">
          <cell r="C161">
            <v>-2350000</v>
          </cell>
          <cell r="O161">
            <v>0</v>
          </cell>
          <cell r="U161" t="str">
            <v>Bilan</v>
          </cell>
          <cell r="V161" t="str">
            <v>Capital Actions</v>
          </cell>
          <cell r="W161" t="str">
            <v>$</v>
          </cell>
          <cell r="X161">
            <v>0</v>
          </cell>
        </row>
        <row r="162">
          <cell r="C162">
            <v>-1723617</v>
          </cell>
          <cell r="O162">
            <v>0</v>
          </cell>
          <cell r="U162" t="str">
            <v>Bilan</v>
          </cell>
          <cell r="V162" t="str">
            <v>Apport</v>
          </cell>
          <cell r="W162" t="str">
            <v>$</v>
          </cell>
          <cell r="X162">
            <v>0</v>
          </cell>
        </row>
        <row r="163">
          <cell r="C163">
            <v>-347547.5</v>
          </cell>
          <cell r="O163">
            <v>0</v>
          </cell>
          <cell r="U163" t="str">
            <v>Bilan</v>
          </cell>
          <cell r="V163" t="str">
            <v>Capital Actions</v>
          </cell>
          <cell r="W163">
            <v>0</v>
          </cell>
          <cell r="X163">
            <v>0</v>
          </cell>
        </row>
        <row r="164">
          <cell r="C164">
            <v>-973229.33</v>
          </cell>
          <cell r="O164">
            <v>0</v>
          </cell>
          <cell r="U164" t="str">
            <v>Bilan</v>
          </cell>
          <cell r="V164" t="str">
            <v>Bénéfices non répartis</v>
          </cell>
          <cell r="W164" t="str">
            <v>$</v>
          </cell>
          <cell r="X164">
            <v>0</v>
          </cell>
        </row>
        <row r="165">
          <cell r="C165">
            <v>-404329.99</v>
          </cell>
          <cell r="O165">
            <v>-402306.25</v>
          </cell>
          <cell r="U165" t="str">
            <v>Véhicules neufs</v>
          </cell>
          <cell r="V165" t="str">
            <v>Rachat bail</v>
          </cell>
          <cell r="W165" t="str">
            <v>$</v>
          </cell>
          <cell r="X165" t="str">
            <v>Oui</v>
          </cell>
        </row>
        <row r="166">
          <cell r="O166">
            <v>-19</v>
          </cell>
          <cell r="U166" t="str">
            <v>Véhicules neufs</v>
          </cell>
          <cell r="V166" t="str">
            <v>Rachat bail</v>
          </cell>
          <cell r="W166" t="str">
            <v>NB</v>
          </cell>
          <cell r="X166">
            <v>0</v>
          </cell>
        </row>
        <row r="167">
          <cell r="C167">
            <v>-497394.93</v>
          </cell>
          <cell r="O167">
            <v>-271412.77</v>
          </cell>
          <cell r="U167" t="str">
            <v>Véhicules neufs</v>
          </cell>
          <cell r="V167" t="str">
            <v>Autos détail</v>
          </cell>
          <cell r="W167" t="str">
            <v>$</v>
          </cell>
          <cell r="X167" t="str">
            <v>Oui</v>
          </cell>
        </row>
        <row r="168">
          <cell r="O168">
            <v>-10</v>
          </cell>
          <cell r="U168" t="str">
            <v>Véhicules neufs</v>
          </cell>
          <cell r="V168" t="str">
            <v>Autos détail</v>
          </cell>
          <cell r="W168" t="str">
            <v>NB</v>
          </cell>
          <cell r="X168">
            <v>0</v>
          </cell>
        </row>
        <row r="169">
          <cell r="C169">
            <v>-504994.3</v>
          </cell>
          <cell r="O169">
            <v>-271854.95</v>
          </cell>
          <cell r="U169" t="str">
            <v>Véhicules neufs</v>
          </cell>
          <cell r="V169" t="str">
            <v>Autos détail</v>
          </cell>
          <cell r="W169" t="str">
            <v>$</v>
          </cell>
          <cell r="X169" t="str">
            <v>Oui</v>
          </cell>
        </row>
        <row r="170">
          <cell r="O170">
            <v>-10</v>
          </cell>
          <cell r="U170" t="str">
            <v>Véhicules neufs</v>
          </cell>
          <cell r="V170" t="str">
            <v>Autos détail</v>
          </cell>
          <cell r="W170" t="str">
            <v>NB</v>
          </cell>
          <cell r="X170">
            <v>0</v>
          </cell>
        </row>
        <row r="171">
          <cell r="C171">
            <v>-1006367.88</v>
          </cell>
          <cell r="O171">
            <v>-772540.37</v>
          </cell>
          <cell r="U171" t="str">
            <v>Véhicules neufs</v>
          </cell>
          <cell r="V171" t="str">
            <v>Camions détail</v>
          </cell>
          <cell r="W171" t="str">
            <v>$</v>
          </cell>
          <cell r="X171" t="str">
            <v>Oui</v>
          </cell>
        </row>
        <row r="172">
          <cell r="O172">
            <v>-15</v>
          </cell>
          <cell r="U172" t="str">
            <v>Véhicules neufs</v>
          </cell>
          <cell r="V172" t="str">
            <v>Camions détail</v>
          </cell>
          <cell r="W172" t="str">
            <v>NB</v>
          </cell>
          <cell r="X172">
            <v>0</v>
          </cell>
        </row>
        <row r="173">
          <cell r="C173">
            <v>-89185.12</v>
          </cell>
          <cell r="O173">
            <v>-44689.74</v>
          </cell>
          <cell r="U173" t="str">
            <v>Véhicules neufs</v>
          </cell>
          <cell r="V173" t="str">
            <v>Camions détail</v>
          </cell>
          <cell r="W173" t="str">
            <v>$</v>
          </cell>
          <cell r="X173" t="str">
            <v>oui</v>
          </cell>
        </row>
        <row r="174">
          <cell r="O174">
            <v>-1</v>
          </cell>
          <cell r="U174" t="str">
            <v>Véhicules neufs</v>
          </cell>
          <cell r="V174" t="str">
            <v>Camions détail</v>
          </cell>
          <cell r="W174" t="str">
            <v>NB</v>
          </cell>
          <cell r="X174">
            <v>0</v>
          </cell>
        </row>
        <row r="175">
          <cell r="C175">
            <v>-303938.53999999998</v>
          </cell>
          <cell r="O175">
            <v>-152115.45000000001</v>
          </cell>
          <cell r="U175" t="str">
            <v>Véhicules neufs</v>
          </cell>
          <cell r="V175" t="str">
            <v>Autos détail</v>
          </cell>
          <cell r="W175" t="str">
            <v>$</v>
          </cell>
          <cell r="X175" t="str">
            <v>Oui</v>
          </cell>
        </row>
        <row r="176">
          <cell r="O176">
            <v>-4</v>
          </cell>
          <cell r="U176" t="str">
            <v>Véhicules neufs</v>
          </cell>
          <cell r="V176" t="str">
            <v>Autos détail</v>
          </cell>
          <cell r="W176" t="str">
            <v>NB</v>
          </cell>
          <cell r="X176">
            <v>0</v>
          </cell>
        </row>
        <row r="177">
          <cell r="C177">
            <v>-1961599.54</v>
          </cell>
          <cell r="O177">
            <v>-954518.86</v>
          </cell>
          <cell r="U177" t="str">
            <v>Véhicules neufs</v>
          </cell>
          <cell r="V177" t="str">
            <v>Camions détail</v>
          </cell>
          <cell r="W177" t="str">
            <v>$</v>
          </cell>
          <cell r="X177" t="str">
            <v>Oui</v>
          </cell>
        </row>
        <row r="178">
          <cell r="O178">
            <v>-25</v>
          </cell>
          <cell r="U178" t="str">
            <v>Véhicules neufs</v>
          </cell>
          <cell r="V178" t="str">
            <v>Camions détail</v>
          </cell>
          <cell r="W178" t="str">
            <v>NB</v>
          </cell>
          <cell r="X178">
            <v>0</v>
          </cell>
        </row>
        <row r="179">
          <cell r="C179">
            <v>-354962.21</v>
          </cell>
          <cell r="O179">
            <v>0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O180">
            <v>0</v>
          </cell>
          <cell r="U180" t="str">
            <v>Véhicules neufs</v>
          </cell>
          <cell r="V180" t="str">
            <v>Autos détail</v>
          </cell>
          <cell r="W180" t="str">
            <v>NB</v>
          </cell>
          <cell r="X180">
            <v>0</v>
          </cell>
        </row>
        <row r="181">
          <cell r="C181">
            <v>-258815</v>
          </cell>
          <cell r="O181">
            <v>-210965</v>
          </cell>
          <cell r="U181" t="str">
            <v>Véhicules neufs</v>
          </cell>
          <cell r="V181" t="str">
            <v>Flottes</v>
          </cell>
          <cell r="W181" t="str">
            <v>$</v>
          </cell>
          <cell r="X181" t="str">
            <v>Oui</v>
          </cell>
        </row>
        <row r="182">
          <cell r="O182">
            <v>-5</v>
          </cell>
          <cell r="U182" t="str">
            <v>Véhicules neufs</v>
          </cell>
          <cell r="V182" t="str">
            <v>Flottes</v>
          </cell>
          <cell r="W182" t="str">
            <v>NB</v>
          </cell>
          <cell r="X182">
            <v>0</v>
          </cell>
        </row>
        <row r="183">
          <cell r="C183">
            <v>-776183.78</v>
          </cell>
          <cell r="O183">
            <v>-104994.44</v>
          </cell>
          <cell r="U183" t="str">
            <v>Véhicules neufs</v>
          </cell>
          <cell r="V183" t="str">
            <v>Ex-Démos et courtoisies</v>
          </cell>
          <cell r="W183" t="str">
            <v>$</v>
          </cell>
          <cell r="X183" t="str">
            <v>Oui</v>
          </cell>
        </row>
        <row r="184">
          <cell r="O184">
            <v>-3</v>
          </cell>
          <cell r="U184" t="str">
            <v>Véhicules neufs</v>
          </cell>
          <cell r="V184" t="str">
            <v>Ex-Démos et courtoisies</v>
          </cell>
          <cell r="W184" t="str">
            <v>NB</v>
          </cell>
          <cell r="X184">
            <v>0</v>
          </cell>
        </row>
        <row r="185">
          <cell r="C185">
            <v>-1811335.53</v>
          </cell>
          <cell r="O185">
            <v>-821179.66</v>
          </cell>
          <cell r="U185" t="str">
            <v>Véhicules usagés</v>
          </cell>
          <cell r="V185" t="str">
            <v>Certifié</v>
          </cell>
          <cell r="W185" t="str">
            <v>$</v>
          </cell>
          <cell r="X185" t="str">
            <v>Oui</v>
          </cell>
        </row>
        <row r="186">
          <cell r="O186">
            <v>-39</v>
          </cell>
          <cell r="U186" t="str">
            <v>Véhicules usagés</v>
          </cell>
          <cell r="V186" t="str">
            <v>Certifié</v>
          </cell>
          <cell r="W186" t="str">
            <v>NB</v>
          </cell>
          <cell r="X186">
            <v>0</v>
          </cell>
        </row>
        <row r="187">
          <cell r="C187">
            <v>-28930</v>
          </cell>
          <cell r="O187">
            <v>-47084</v>
          </cell>
          <cell r="U187" t="str">
            <v>Véhicules usagés</v>
          </cell>
          <cell r="V187" t="str">
            <v>Non Certifié</v>
          </cell>
          <cell r="W187" t="str">
            <v>$</v>
          </cell>
          <cell r="X187" t="str">
            <v>Oui</v>
          </cell>
        </row>
        <row r="188">
          <cell r="O188">
            <v>-2</v>
          </cell>
          <cell r="U188" t="str">
            <v>Véhicules usagés</v>
          </cell>
          <cell r="V188" t="str">
            <v>Non Certifié</v>
          </cell>
          <cell r="W188" t="str">
            <v>NB</v>
          </cell>
          <cell r="X188">
            <v>0</v>
          </cell>
        </row>
        <row r="189">
          <cell r="C189">
            <v>-1104201</v>
          </cell>
          <cell r="O189">
            <v>-278365</v>
          </cell>
          <cell r="U189" t="str">
            <v>Véhicules usagés</v>
          </cell>
          <cell r="V189" t="str">
            <v>Ventes au Gros</v>
          </cell>
          <cell r="W189" t="str">
            <v>$</v>
          </cell>
          <cell r="X189" t="str">
            <v>Oui</v>
          </cell>
        </row>
        <row r="190">
          <cell r="O190">
            <v>-25</v>
          </cell>
          <cell r="U190" t="str">
            <v>Véhicules usagés</v>
          </cell>
          <cell r="V190" t="str">
            <v>Ventes au Gros</v>
          </cell>
          <cell r="W190" t="str">
            <v>NB</v>
          </cell>
          <cell r="X190">
            <v>0</v>
          </cell>
        </row>
        <row r="191">
          <cell r="C191">
            <v>-192930.68</v>
          </cell>
          <cell r="O191">
            <v>-172359.38</v>
          </cell>
          <cell r="U191" t="str">
            <v>Service</v>
          </cell>
          <cell r="V191" t="str">
            <v>M/O Client</v>
          </cell>
          <cell r="W191" t="str">
            <v>$</v>
          </cell>
          <cell r="X191" t="str">
            <v>Oui</v>
          </cell>
        </row>
        <row r="192">
          <cell r="O192">
            <v>-820</v>
          </cell>
          <cell r="U192" t="str">
            <v>Service</v>
          </cell>
          <cell r="V192" t="str">
            <v>M/O Client</v>
          </cell>
          <cell r="W192" t="str">
            <v>NB</v>
          </cell>
          <cell r="X192">
            <v>0</v>
          </cell>
        </row>
        <row r="193">
          <cell r="C193">
            <v>-782.28</v>
          </cell>
          <cell r="O193">
            <v>-836.33</v>
          </cell>
          <cell r="U193" t="str">
            <v>Service</v>
          </cell>
          <cell r="V193" t="str">
            <v>M/O Esthétique</v>
          </cell>
          <cell r="W193" t="str">
            <v>$</v>
          </cell>
          <cell r="X193" t="str">
            <v>Oui</v>
          </cell>
        </row>
        <row r="194">
          <cell r="C194">
            <v>-159136.26999999999</v>
          </cell>
          <cell r="O194">
            <v>-56115.18</v>
          </cell>
          <cell r="U194" t="str">
            <v>Service</v>
          </cell>
          <cell r="V194" t="str">
            <v>M/O Garantie</v>
          </cell>
          <cell r="W194" t="str">
            <v>$</v>
          </cell>
          <cell r="X194" t="str">
            <v>Oui</v>
          </cell>
        </row>
        <row r="195">
          <cell r="O195">
            <v>-230</v>
          </cell>
          <cell r="U195" t="str">
            <v>Service</v>
          </cell>
          <cell r="V195" t="str">
            <v>M/O Garantie</v>
          </cell>
          <cell r="W195" t="str">
            <v>NB</v>
          </cell>
          <cell r="X195">
            <v>0</v>
          </cell>
        </row>
        <row r="196">
          <cell r="C196">
            <v>-151971.85</v>
          </cell>
          <cell r="O196">
            <v>-61590.31</v>
          </cell>
          <cell r="U196" t="str">
            <v>Service</v>
          </cell>
          <cell r="V196" t="str">
            <v>M/O Interne</v>
          </cell>
          <cell r="W196" t="str">
            <v>$</v>
          </cell>
          <cell r="X196" t="str">
            <v>Oui</v>
          </cell>
        </row>
        <row r="197">
          <cell r="O197">
            <v>-317</v>
          </cell>
          <cell r="U197" t="str">
            <v>Service</v>
          </cell>
          <cell r="V197" t="str">
            <v>M/O Interne</v>
          </cell>
          <cell r="W197" t="str">
            <v>NB</v>
          </cell>
          <cell r="X197">
            <v>0</v>
          </cell>
        </row>
        <row r="198">
          <cell r="C198">
            <v>-39259.22</v>
          </cell>
          <cell r="O198">
            <v>-22741.31</v>
          </cell>
          <cell r="U198" t="str">
            <v>Pièces</v>
          </cell>
          <cell r="V198" t="str">
            <v>Huiles et Graisse</v>
          </cell>
          <cell r="W198" t="str">
            <v>$</v>
          </cell>
          <cell r="X198" t="str">
            <v>Oui</v>
          </cell>
        </row>
        <row r="199">
          <cell r="O199">
            <v>-410</v>
          </cell>
          <cell r="U199" t="str">
            <v>Pièces</v>
          </cell>
          <cell r="V199" t="str">
            <v>Huiles et Graisse</v>
          </cell>
          <cell r="W199" t="str">
            <v>NB</v>
          </cell>
          <cell r="X199">
            <v>0</v>
          </cell>
        </row>
        <row r="200">
          <cell r="C200">
            <v>-3184.02</v>
          </cell>
          <cell r="O200">
            <v>-3894.45</v>
          </cell>
          <cell r="U200" t="str">
            <v>Service</v>
          </cell>
          <cell r="V200" t="str">
            <v>Sous-traitement</v>
          </cell>
          <cell r="W200" t="str">
            <v>$</v>
          </cell>
          <cell r="X200" t="str">
            <v>Oui</v>
          </cell>
        </row>
        <row r="201">
          <cell r="O201">
            <v>-20</v>
          </cell>
          <cell r="U201" t="str">
            <v>Service</v>
          </cell>
          <cell r="V201" t="str">
            <v>Sous-traitement</v>
          </cell>
          <cell r="W201" t="str">
            <v>NB</v>
          </cell>
          <cell r="X201">
            <v>0</v>
          </cell>
        </row>
        <row r="202">
          <cell r="C202">
            <v>-4474.6000000000004</v>
          </cell>
          <cell r="O202">
            <v>-2380</v>
          </cell>
          <cell r="U202" t="str">
            <v>Service</v>
          </cell>
          <cell r="V202" t="str">
            <v>Sous-traitement</v>
          </cell>
          <cell r="W202" t="str">
            <v>$</v>
          </cell>
          <cell r="X202" t="str">
            <v>Oui</v>
          </cell>
        </row>
        <row r="203">
          <cell r="O203">
            <v>-4</v>
          </cell>
          <cell r="U203" t="str">
            <v>Service</v>
          </cell>
          <cell r="V203" t="str">
            <v>Sous-traitement</v>
          </cell>
          <cell r="W203" t="str">
            <v>NB</v>
          </cell>
          <cell r="X203">
            <v>0</v>
          </cell>
        </row>
        <row r="204">
          <cell r="C204">
            <v>-42636.57</v>
          </cell>
          <cell r="O204">
            <v>-26466.79</v>
          </cell>
          <cell r="U204" t="str">
            <v>Service</v>
          </cell>
          <cell r="V204" t="str">
            <v>Sous-traitement</v>
          </cell>
          <cell r="W204" t="str">
            <v>$</v>
          </cell>
          <cell r="X204" t="str">
            <v>Oui</v>
          </cell>
        </row>
        <row r="205">
          <cell r="O205">
            <v>-110</v>
          </cell>
          <cell r="U205" t="str">
            <v>Service</v>
          </cell>
          <cell r="V205" t="str">
            <v>Sous-traitement</v>
          </cell>
          <cell r="W205" t="str">
            <v>NB</v>
          </cell>
          <cell r="X205">
            <v>0</v>
          </cell>
        </row>
        <row r="206">
          <cell r="C206">
            <v>-87724.93</v>
          </cell>
          <cell r="O206">
            <v>-30109.03</v>
          </cell>
          <cell r="U206" t="str">
            <v>Carrosserie</v>
          </cell>
          <cell r="V206" t="str">
            <v>M/O Sous-traitement</v>
          </cell>
          <cell r="W206" t="str">
            <v>$</v>
          </cell>
          <cell r="X206" t="str">
            <v>Oui</v>
          </cell>
        </row>
        <row r="207">
          <cell r="O207">
            <v>-23</v>
          </cell>
          <cell r="U207" t="str">
            <v>Carrosserie</v>
          </cell>
          <cell r="V207" t="str">
            <v>M/O Sous-traitement</v>
          </cell>
          <cell r="W207" t="str">
            <v>NB</v>
          </cell>
          <cell r="X207">
            <v>0</v>
          </cell>
        </row>
        <row r="208">
          <cell r="C208">
            <v>-181060.97</v>
          </cell>
          <cell r="O208">
            <v>-61634.52</v>
          </cell>
          <cell r="U208" t="str">
            <v>Carrosserie</v>
          </cell>
          <cell r="V208" t="str">
            <v>M/O Sous-traitement</v>
          </cell>
          <cell r="W208" t="str">
            <v>$</v>
          </cell>
          <cell r="X208" t="str">
            <v>Oui</v>
          </cell>
        </row>
        <row r="209">
          <cell r="O209">
            <v>-28</v>
          </cell>
          <cell r="U209" t="str">
            <v>Carrosserie</v>
          </cell>
          <cell r="V209" t="str">
            <v>M/O Sous-traitement</v>
          </cell>
          <cell r="W209" t="str">
            <v>NB</v>
          </cell>
          <cell r="X209">
            <v>0</v>
          </cell>
        </row>
        <row r="210">
          <cell r="C210">
            <v>-10507.16</v>
          </cell>
          <cell r="O210">
            <v>-5524.95</v>
          </cell>
          <cell r="U210" t="str">
            <v>Carrosserie</v>
          </cell>
          <cell r="V210" t="str">
            <v>M/O Sous-traitement</v>
          </cell>
          <cell r="W210" t="str">
            <v>$</v>
          </cell>
          <cell r="X210" t="str">
            <v>Oui</v>
          </cell>
        </row>
        <row r="211">
          <cell r="O211">
            <v>-17</v>
          </cell>
          <cell r="U211" t="str">
            <v>Carrosserie</v>
          </cell>
          <cell r="V211" t="str">
            <v>M/O Sous-traitement</v>
          </cell>
          <cell r="W211" t="str">
            <v>NB</v>
          </cell>
          <cell r="X211">
            <v>0</v>
          </cell>
        </row>
        <row r="212">
          <cell r="C212">
            <v>-135517.09</v>
          </cell>
          <cell r="O212">
            <v>-70732.87</v>
          </cell>
          <cell r="U212" t="str">
            <v>Pièces</v>
          </cell>
          <cell r="V212" t="str">
            <v>Pièces Ro Clients</v>
          </cell>
          <cell r="W212" t="str">
            <v>$</v>
          </cell>
          <cell r="X212" t="str">
            <v>Oui</v>
          </cell>
        </row>
        <row r="213">
          <cell r="O213">
            <v>-756</v>
          </cell>
          <cell r="U213" t="str">
            <v>Pièces</v>
          </cell>
          <cell r="V213" t="str">
            <v>Pièces Ro Clients</v>
          </cell>
          <cell r="W213" t="str">
            <v>NB</v>
          </cell>
          <cell r="X213">
            <v>0</v>
          </cell>
        </row>
        <row r="214">
          <cell r="C214">
            <v>-901.99</v>
          </cell>
          <cell r="O214">
            <v>-1268.1500000000001</v>
          </cell>
          <cell r="U214" t="str">
            <v>Service</v>
          </cell>
          <cell r="V214" t="str">
            <v>M/O Client</v>
          </cell>
          <cell r="W214" t="str">
            <v>$</v>
          </cell>
          <cell r="X214" t="str">
            <v>Oui</v>
          </cell>
        </row>
        <row r="215">
          <cell r="C215">
            <v>-222788.75</v>
          </cell>
          <cell r="O215">
            <v>-50295.94</v>
          </cell>
          <cell r="U215" t="str">
            <v>Pièces</v>
          </cell>
          <cell r="V215" t="str">
            <v>P/A Garantie</v>
          </cell>
          <cell r="W215" t="str">
            <v>$</v>
          </cell>
          <cell r="X215" t="str">
            <v>Oui</v>
          </cell>
        </row>
        <row r="216">
          <cell r="O216">
            <v>-126</v>
          </cell>
          <cell r="U216" t="str">
            <v>Pièces</v>
          </cell>
          <cell r="V216" t="str">
            <v>P/A Garantie</v>
          </cell>
          <cell r="W216" t="str">
            <v>NB</v>
          </cell>
          <cell r="X216">
            <v>0</v>
          </cell>
        </row>
        <row r="217">
          <cell r="C217">
            <v>-103756.47</v>
          </cell>
          <cell r="O217">
            <v>-62580.26</v>
          </cell>
          <cell r="U217" t="str">
            <v>Pièces</v>
          </cell>
          <cell r="V217" t="str">
            <v>Ventes Internes</v>
          </cell>
          <cell r="W217" t="str">
            <v>$</v>
          </cell>
          <cell r="X217" t="str">
            <v>Oui</v>
          </cell>
        </row>
        <row r="218">
          <cell r="O218">
            <v>-315</v>
          </cell>
          <cell r="U218" t="str">
            <v>Pièces</v>
          </cell>
          <cell r="V218" t="str">
            <v>Ventes Internes</v>
          </cell>
          <cell r="W218" t="str">
            <v>NB</v>
          </cell>
          <cell r="X218">
            <v>0</v>
          </cell>
        </row>
        <row r="219">
          <cell r="C219">
            <v>-1698.53</v>
          </cell>
          <cell r="O219">
            <v>-719.21</v>
          </cell>
          <cell r="U219" t="str">
            <v>Service</v>
          </cell>
          <cell r="V219" t="str">
            <v>M/O Interne</v>
          </cell>
          <cell r="W219" t="str">
            <v>$</v>
          </cell>
          <cell r="X219" t="str">
            <v>Oui</v>
          </cell>
        </row>
        <row r="220">
          <cell r="C220">
            <v>-11860.19</v>
          </cell>
          <cell r="O220">
            <v>-6091.13</v>
          </cell>
          <cell r="U220" t="str">
            <v>Pièces</v>
          </cell>
          <cell r="V220" t="str">
            <v>Pièces Ro Clients</v>
          </cell>
          <cell r="W220" t="str">
            <v>$</v>
          </cell>
          <cell r="X220" t="str">
            <v>Oui</v>
          </cell>
        </row>
        <row r="221">
          <cell r="O221">
            <v>-125</v>
          </cell>
          <cell r="U221" t="str">
            <v>Pièces</v>
          </cell>
          <cell r="V221" t="str">
            <v>Pièces Ro Clients</v>
          </cell>
          <cell r="W221" t="str">
            <v>NB</v>
          </cell>
          <cell r="X221">
            <v>0</v>
          </cell>
        </row>
        <row r="222">
          <cell r="C222">
            <v>-20040.3</v>
          </cell>
          <cell r="O222">
            <v>-9309.35</v>
          </cell>
          <cell r="U222" t="str">
            <v>Pièces</v>
          </cell>
          <cell r="V222" t="str">
            <v>Pièces Ro Carrosserie</v>
          </cell>
          <cell r="W222" t="str">
            <v>$</v>
          </cell>
          <cell r="X222" t="str">
            <v>Oui</v>
          </cell>
        </row>
        <row r="223">
          <cell r="O223">
            <v>-14</v>
          </cell>
          <cell r="U223" t="str">
            <v>Pièces</v>
          </cell>
          <cell r="V223" t="str">
            <v>Pièces Ro Carrosserie</v>
          </cell>
          <cell r="W223" t="str">
            <v>NB</v>
          </cell>
          <cell r="X223">
            <v>0</v>
          </cell>
        </row>
        <row r="224">
          <cell r="C224">
            <v>-114105.2</v>
          </cell>
          <cell r="O224">
            <v>-46509.94</v>
          </cell>
          <cell r="U224" t="str">
            <v>Pièces</v>
          </cell>
          <cell r="V224" t="str">
            <v>Pièces Ro Carrosserie</v>
          </cell>
          <cell r="W224" t="str">
            <v>$</v>
          </cell>
          <cell r="X224" t="str">
            <v>Oui</v>
          </cell>
        </row>
        <row r="225">
          <cell r="O225">
            <v>-22</v>
          </cell>
          <cell r="U225" t="str">
            <v>Pièces</v>
          </cell>
          <cell r="V225" t="str">
            <v>Pièces Ro Carrosserie</v>
          </cell>
          <cell r="W225" t="str">
            <v>NB</v>
          </cell>
          <cell r="X225">
            <v>0</v>
          </cell>
        </row>
        <row r="226">
          <cell r="C226">
            <v>-1204.19</v>
          </cell>
          <cell r="O226">
            <v>-669.13</v>
          </cell>
          <cell r="U226" t="str">
            <v>Pièces</v>
          </cell>
          <cell r="V226" t="str">
            <v>Pièces Ro Carrosserie</v>
          </cell>
          <cell r="W226" t="str">
            <v>$</v>
          </cell>
          <cell r="X226" t="str">
            <v>Oui</v>
          </cell>
        </row>
        <row r="227">
          <cell r="O227">
            <v>-5</v>
          </cell>
          <cell r="U227" t="str">
            <v>Pièces</v>
          </cell>
          <cell r="V227" t="str">
            <v>Pièces Ro Carrosserie</v>
          </cell>
          <cell r="W227" t="str">
            <v>NB</v>
          </cell>
          <cell r="X227">
            <v>0</v>
          </cell>
        </row>
        <row r="228">
          <cell r="C228">
            <v>-33771.980000000003</v>
          </cell>
          <cell r="O228">
            <v>-22567.95</v>
          </cell>
          <cell r="U228" t="str">
            <v>Pièces</v>
          </cell>
          <cell r="V228" t="str">
            <v>Ventes Détails</v>
          </cell>
          <cell r="W228" t="str">
            <v>$</v>
          </cell>
          <cell r="X228" t="str">
            <v>Oui</v>
          </cell>
        </row>
        <row r="229">
          <cell r="O229">
            <v>-196</v>
          </cell>
          <cell r="U229" t="str">
            <v>Pièces</v>
          </cell>
          <cell r="V229" t="str">
            <v>Ventes Détails</v>
          </cell>
          <cell r="W229" t="str">
            <v>NB</v>
          </cell>
          <cell r="X229">
            <v>0</v>
          </cell>
        </row>
        <row r="230">
          <cell r="C230">
            <v>-127021.01</v>
          </cell>
          <cell r="O230">
            <v>-33786.17</v>
          </cell>
          <cell r="U230" t="str">
            <v>Pièces</v>
          </cell>
          <cell r="V230" t="str">
            <v>Ventes de Gros</v>
          </cell>
          <cell r="W230" t="str">
            <v>$</v>
          </cell>
          <cell r="X230" t="str">
            <v>Oui</v>
          </cell>
        </row>
        <row r="231">
          <cell r="O231">
            <v>-183</v>
          </cell>
          <cell r="U231" t="str">
            <v>Pièces</v>
          </cell>
          <cell r="V231" t="str">
            <v>Ventes de Gros</v>
          </cell>
          <cell r="W231" t="str">
            <v>NB</v>
          </cell>
          <cell r="X231">
            <v>0</v>
          </cell>
        </row>
        <row r="232">
          <cell r="C232">
            <v>-71167.460000000006</v>
          </cell>
          <cell r="O232">
            <v>-40526.82</v>
          </cell>
          <cell r="U232" t="str">
            <v>Pièces</v>
          </cell>
          <cell r="V232" t="str">
            <v>Ventes Pneus</v>
          </cell>
          <cell r="W232" t="str">
            <v>$</v>
          </cell>
          <cell r="X232" t="str">
            <v>Oui</v>
          </cell>
        </row>
        <row r="233">
          <cell r="O233">
            <v>-63</v>
          </cell>
          <cell r="U233" t="str">
            <v>Pièces</v>
          </cell>
          <cell r="V233" t="str">
            <v>Ventes Pneus</v>
          </cell>
          <cell r="W233" t="str">
            <v>NB</v>
          </cell>
          <cell r="X233">
            <v>0</v>
          </cell>
        </row>
        <row r="234">
          <cell r="C234">
            <v>-154.94999999999999</v>
          </cell>
          <cell r="O234">
            <v>-399.8</v>
          </cell>
          <cell r="U234" t="str">
            <v>Pièces</v>
          </cell>
          <cell r="V234" t="str">
            <v>Ventes Pneus</v>
          </cell>
          <cell r="W234" t="str">
            <v>$</v>
          </cell>
          <cell r="X234" t="str">
            <v>Oui</v>
          </cell>
        </row>
        <row r="235">
          <cell r="C235">
            <v>395559.22</v>
          </cell>
          <cell r="O235">
            <v>391919.28</v>
          </cell>
          <cell r="U235" t="str">
            <v>Véhicules neufs</v>
          </cell>
          <cell r="V235" t="str">
            <v>Rachat bail</v>
          </cell>
          <cell r="W235" t="str">
            <v>$</v>
          </cell>
          <cell r="X235">
            <v>0</v>
          </cell>
        </row>
        <row r="236">
          <cell r="C236">
            <v>476248.49</v>
          </cell>
          <cell r="O236">
            <v>260919.25</v>
          </cell>
          <cell r="U236" t="str">
            <v>Véhicules neufs</v>
          </cell>
          <cell r="V236" t="str">
            <v>Autos détail</v>
          </cell>
          <cell r="W236" t="str">
            <v>$</v>
          </cell>
          <cell r="X236">
            <v>0</v>
          </cell>
        </row>
        <row r="237">
          <cell r="C237">
            <v>486126.2</v>
          </cell>
          <cell r="O237">
            <v>260732.74</v>
          </cell>
          <cell r="U237" t="str">
            <v>Véhicules neufs</v>
          </cell>
          <cell r="V237" t="str">
            <v>Autos détail</v>
          </cell>
          <cell r="W237" t="str">
            <v>$</v>
          </cell>
          <cell r="X237">
            <v>0</v>
          </cell>
        </row>
        <row r="238">
          <cell r="C238">
            <v>-200</v>
          </cell>
          <cell r="O238">
            <v>15156.52</v>
          </cell>
          <cell r="U238" t="str">
            <v>Véhicules neufs</v>
          </cell>
          <cell r="V238" t="str">
            <v>Autos détail</v>
          </cell>
          <cell r="W238" t="str">
            <v>$</v>
          </cell>
          <cell r="X238">
            <v>0</v>
          </cell>
        </row>
        <row r="239">
          <cell r="C239">
            <v>955732.07</v>
          </cell>
          <cell r="O239">
            <v>725638.55</v>
          </cell>
          <cell r="U239" t="str">
            <v>Véhicules neufs</v>
          </cell>
          <cell r="V239" t="str">
            <v>Camions détail</v>
          </cell>
          <cell r="W239" t="str">
            <v>$</v>
          </cell>
          <cell r="X239">
            <v>0</v>
          </cell>
        </row>
        <row r="240">
          <cell r="C240">
            <v>83616.67</v>
          </cell>
          <cell r="O240">
            <v>43103.69</v>
          </cell>
          <cell r="U240" t="str">
            <v>Véhicules neufs</v>
          </cell>
          <cell r="V240" t="str">
            <v>Camions détail</v>
          </cell>
          <cell r="W240" t="str">
            <v>$</v>
          </cell>
          <cell r="X240">
            <v>0</v>
          </cell>
        </row>
        <row r="241">
          <cell r="C241">
            <v>286860.24</v>
          </cell>
          <cell r="O241">
            <v>147190.54999999999</v>
          </cell>
          <cell r="U241" t="str">
            <v>Véhicules neufs</v>
          </cell>
          <cell r="V241" t="str">
            <v>Autos détail</v>
          </cell>
          <cell r="W241" t="str">
            <v>$</v>
          </cell>
          <cell r="X241">
            <v>0</v>
          </cell>
        </row>
        <row r="242">
          <cell r="C242">
            <v>1873658.14</v>
          </cell>
          <cell r="O242">
            <v>914122.17</v>
          </cell>
          <cell r="U242" t="str">
            <v>Véhicules neufs</v>
          </cell>
          <cell r="V242" t="str">
            <v>Camions détail</v>
          </cell>
          <cell r="W242" t="str">
            <v>$</v>
          </cell>
          <cell r="X242">
            <v>0</v>
          </cell>
        </row>
        <row r="243">
          <cell r="C243">
            <v>351563.35</v>
          </cell>
          <cell r="O243">
            <v>0</v>
          </cell>
          <cell r="U243" t="str">
            <v>Véhicules neufs</v>
          </cell>
          <cell r="V243" t="str">
            <v>Autos détail</v>
          </cell>
          <cell r="W243" t="str">
            <v>$</v>
          </cell>
          <cell r="X243">
            <v>0</v>
          </cell>
        </row>
        <row r="244">
          <cell r="C244">
            <v>250748.75</v>
          </cell>
          <cell r="O244">
            <v>198964.42</v>
          </cell>
          <cell r="U244" t="str">
            <v>Véhicules neufs</v>
          </cell>
          <cell r="V244" t="str">
            <v>Flottes</v>
          </cell>
          <cell r="W244" t="str">
            <v>$</v>
          </cell>
          <cell r="X244">
            <v>0</v>
          </cell>
        </row>
        <row r="245">
          <cell r="C245">
            <v>757245.27</v>
          </cell>
          <cell r="O245">
            <v>101869.41</v>
          </cell>
          <cell r="U245" t="str">
            <v>Véhicules neufs</v>
          </cell>
          <cell r="V245" t="str">
            <v>Ex-Démos et courtoisies</v>
          </cell>
          <cell r="W245" t="str">
            <v>$</v>
          </cell>
          <cell r="X245">
            <v>0</v>
          </cell>
        </row>
        <row r="246">
          <cell r="C246">
            <v>1573785.66</v>
          </cell>
          <cell r="O246">
            <v>702808.38</v>
          </cell>
          <cell r="U246" t="str">
            <v>Véhicules usagés</v>
          </cell>
          <cell r="V246" t="str">
            <v>Certifié</v>
          </cell>
          <cell r="W246" t="str">
            <v>$</v>
          </cell>
          <cell r="X246">
            <v>0</v>
          </cell>
        </row>
        <row r="247">
          <cell r="C247">
            <v>161233.87</v>
          </cell>
          <cell r="O247">
            <v>78665.55</v>
          </cell>
          <cell r="U247" t="str">
            <v>Véhicules usagés</v>
          </cell>
          <cell r="V247" t="str">
            <v>Certifié</v>
          </cell>
          <cell r="W247" t="str">
            <v>$</v>
          </cell>
          <cell r="X247">
            <v>0</v>
          </cell>
        </row>
        <row r="248">
          <cell r="C248">
            <v>0</v>
          </cell>
          <cell r="O248">
            <v>615</v>
          </cell>
          <cell r="U248" t="str">
            <v>Véhicules usagés</v>
          </cell>
          <cell r="V248" t="str">
            <v>Non Certifié</v>
          </cell>
          <cell r="W248" t="str">
            <v>$</v>
          </cell>
          <cell r="X248">
            <v>0</v>
          </cell>
        </row>
        <row r="249">
          <cell r="C249">
            <v>0</v>
          </cell>
          <cell r="O249">
            <v>659.42</v>
          </cell>
          <cell r="U249" t="str">
            <v>Véhicules usagés</v>
          </cell>
          <cell r="V249" t="str">
            <v>Non Certifié</v>
          </cell>
          <cell r="W249" t="str">
            <v>$</v>
          </cell>
          <cell r="X249">
            <v>0</v>
          </cell>
        </row>
        <row r="250">
          <cell r="C250">
            <v>28215</v>
          </cell>
          <cell r="O250">
            <v>42280</v>
          </cell>
          <cell r="U250" t="str">
            <v>Véhicules usagés</v>
          </cell>
          <cell r="V250" t="str">
            <v>Non Certifié</v>
          </cell>
          <cell r="W250" t="str">
            <v>$</v>
          </cell>
          <cell r="X250">
            <v>0</v>
          </cell>
        </row>
        <row r="251">
          <cell r="C251">
            <v>0</v>
          </cell>
          <cell r="O251">
            <v>2018.49</v>
          </cell>
          <cell r="U251" t="str">
            <v>Véhicules usagés</v>
          </cell>
          <cell r="V251" t="str">
            <v>Non Certifié</v>
          </cell>
          <cell r="W251" t="str">
            <v>$</v>
          </cell>
          <cell r="X251">
            <v>0</v>
          </cell>
        </row>
        <row r="252">
          <cell r="C252">
            <v>1096380.97</v>
          </cell>
          <cell r="O252">
            <v>269852.21000000002</v>
          </cell>
          <cell r="U252" t="str">
            <v>Véhicules usagés</v>
          </cell>
          <cell r="V252" t="str">
            <v>Ventes au Gros</v>
          </cell>
          <cell r="W252" t="str">
            <v>$</v>
          </cell>
          <cell r="X252">
            <v>0</v>
          </cell>
        </row>
        <row r="253">
          <cell r="C253">
            <v>44589.27</v>
          </cell>
          <cell r="O253">
            <v>43803.35</v>
          </cell>
          <cell r="U253" t="str">
            <v>Service</v>
          </cell>
          <cell r="V253" t="str">
            <v>M/O Client</v>
          </cell>
          <cell r="W253" t="str">
            <v>$</v>
          </cell>
          <cell r="X253">
            <v>0</v>
          </cell>
        </row>
        <row r="254">
          <cell r="C254">
            <v>49.95</v>
          </cell>
          <cell r="O254">
            <v>149.63</v>
          </cell>
          <cell r="U254" t="str">
            <v>Service</v>
          </cell>
          <cell r="V254" t="str">
            <v>M/O Esthétique</v>
          </cell>
          <cell r="W254" t="str">
            <v>$</v>
          </cell>
          <cell r="X254">
            <v>0</v>
          </cell>
        </row>
        <row r="255">
          <cell r="C255">
            <v>46910.06</v>
          </cell>
          <cell r="O255">
            <v>17209</v>
          </cell>
          <cell r="U255" t="str">
            <v>Service</v>
          </cell>
          <cell r="V255" t="str">
            <v>M/O Garantie</v>
          </cell>
          <cell r="W255" t="str">
            <v>$</v>
          </cell>
          <cell r="X255">
            <v>0</v>
          </cell>
        </row>
        <row r="256">
          <cell r="C256">
            <v>40146.129999999997</v>
          </cell>
          <cell r="O256">
            <v>16728.099999999999</v>
          </cell>
          <cell r="U256" t="str">
            <v>Service</v>
          </cell>
          <cell r="V256" t="str">
            <v>M/O Interne</v>
          </cell>
          <cell r="W256" t="str">
            <v>$</v>
          </cell>
          <cell r="X256">
            <v>0</v>
          </cell>
        </row>
        <row r="257">
          <cell r="C257">
            <v>5948.81</v>
          </cell>
          <cell r="O257">
            <v>5050.3</v>
          </cell>
          <cell r="U257" t="str">
            <v>Service</v>
          </cell>
          <cell r="V257" t="str">
            <v>Ajustement M/O</v>
          </cell>
          <cell r="W257" t="str">
            <v>$</v>
          </cell>
          <cell r="X257">
            <v>0</v>
          </cell>
        </row>
        <row r="258">
          <cell r="C258">
            <v>28014.2</v>
          </cell>
          <cell r="O258">
            <v>16114.46</v>
          </cell>
          <cell r="U258" t="str">
            <v>Pièces</v>
          </cell>
          <cell r="V258" t="str">
            <v>Huiles et Graisse</v>
          </cell>
          <cell r="W258" t="str">
            <v>$</v>
          </cell>
          <cell r="X258">
            <v>0</v>
          </cell>
        </row>
        <row r="259">
          <cell r="C259">
            <v>2616</v>
          </cell>
          <cell r="O259">
            <v>3105</v>
          </cell>
          <cell r="U259" t="str">
            <v>Service</v>
          </cell>
          <cell r="V259" t="str">
            <v>Sous-traitement</v>
          </cell>
          <cell r="W259" t="str">
            <v>$</v>
          </cell>
          <cell r="X259">
            <v>0</v>
          </cell>
        </row>
        <row r="260">
          <cell r="C260">
            <v>4515.3599999999997</v>
          </cell>
          <cell r="O260">
            <v>3011.05</v>
          </cell>
          <cell r="U260" t="str">
            <v>Service</v>
          </cell>
          <cell r="V260" t="str">
            <v>Sous-traitement</v>
          </cell>
          <cell r="W260" t="str">
            <v>$</v>
          </cell>
          <cell r="X260">
            <v>0</v>
          </cell>
        </row>
        <row r="261">
          <cell r="C261">
            <v>32366.84</v>
          </cell>
          <cell r="O261">
            <v>19471.8</v>
          </cell>
          <cell r="U261" t="str">
            <v>Service</v>
          </cell>
          <cell r="V261" t="str">
            <v>Sous-traitement</v>
          </cell>
          <cell r="W261" t="str">
            <v>$</v>
          </cell>
          <cell r="X261">
            <v>0</v>
          </cell>
        </row>
        <row r="262">
          <cell r="C262">
            <v>32779.1</v>
          </cell>
          <cell r="O262">
            <v>12824.62</v>
          </cell>
          <cell r="U262" t="str">
            <v>Carrosserie</v>
          </cell>
          <cell r="V262" t="str">
            <v>M/O Sous-traitement</v>
          </cell>
          <cell r="W262" t="str">
            <v>$</v>
          </cell>
          <cell r="X262">
            <v>0</v>
          </cell>
        </row>
        <row r="263">
          <cell r="C263">
            <v>180885.97</v>
          </cell>
          <cell r="O263">
            <v>61634.52</v>
          </cell>
          <cell r="U263" t="str">
            <v>Carrosserie</v>
          </cell>
          <cell r="V263" t="str">
            <v>M/O Sous-traitement</v>
          </cell>
          <cell r="W263" t="str">
            <v>$</v>
          </cell>
          <cell r="X263">
            <v>0</v>
          </cell>
        </row>
        <row r="264">
          <cell r="C264">
            <v>7886.1</v>
          </cell>
          <cell r="O264">
            <v>3567.39</v>
          </cell>
          <cell r="U264" t="str">
            <v>Carrosserie</v>
          </cell>
          <cell r="V264" t="str">
            <v>M/O Sous-traitement</v>
          </cell>
          <cell r="W264" t="str">
            <v>$</v>
          </cell>
          <cell r="X264">
            <v>0</v>
          </cell>
        </row>
        <row r="265">
          <cell r="C265">
            <v>87354.94</v>
          </cell>
          <cell r="O265">
            <v>43730.239999999998</v>
          </cell>
          <cell r="U265" t="str">
            <v>Pièces</v>
          </cell>
          <cell r="V265" t="str">
            <v>Pièces Ro Clients</v>
          </cell>
          <cell r="W265" t="str">
            <v>$</v>
          </cell>
          <cell r="X265">
            <v>0</v>
          </cell>
        </row>
        <row r="266">
          <cell r="C266">
            <v>610.66</v>
          </cell>
          <cell r="O266">
            <v>857.49</v>
          </cell>
          <cell r="U266" t="str">
            <v>Service</v>
          </cell>
          <cell r="V266" t="str">
            <v>M/O Client</v>
          </cell>
          <cell r="W266" t="str">
            <v>$</v>
          </cell>
          <cell r="X266">
            <v>0</v>
          </cell>
        </row>
        <row r="267">
          <cell r="C267">
            <v>169011.58</v>
          </cell>
          <cell r="O267">
            <v>38637.660000000003</v>
          </cell>
          <cell r="U267" t="str">
            <v>Pièces</v>
          </cell>
          <cell r="V267" t="str">
            <v>P/A Garantie</v>
          </cell>
          <cell r="W267" t="str">
            <v>$</v>
          </cell>
          <cell r="X267">
            <v>0</v>
          </cell>
        </row>
        <row r="268">
          <cell r="C268">
            <v>68451.38</v>
          </cell>
          <cell r="O268">
            <v>43027.94</v>
          </cell>
          <cell r="U268" t="str">
            <v>Pièces</v>
          </cell>
          <cell r="V268" t="str">
            <v>Ventes Internes</v>
          </cell>
          <cell r="W268" t="str">
            <v>$</v>
          </cell>
          <cell r="X268">
            <v>0</v>
          </cell>
        </row>
        <row r="269">
          <cell r="C269">
            <v>1262.6199999999999</v>
          </cell>
          <cell r="O269">
            <v>536.88</v>
          </cell>
          <cell r="U269" t="str">
            <v>Service</v>
          </cell>
          <cell r="V269" t="str">
            <v>M/O Interne</v>
          </cell>
          <cell r="W269" t="str">
            <v>$</v>
          </cell>
          <cell r="X269">
            <v>0</v>
          </cell>
        </row>
        <row r="270">
          <cell r="C270">
            <v>8900.7800000000007</v>
          </cell>
          <cell r="O270">
            <v>4626.3599999999997</v>
          </cell>
          <cell r="U270" t="str">
            <v>Pièces</v>
          </cell>
          <cell r="V270" t="str">
            <v>Pièces Ro Clients</v>
          </cell>
          <cell r="W270" t="str">
            <v>$</v>
          </cell>
          <cell r="X270">
            <v>0</v>
          </cell>
        </row>
        <row r="271">
          <cell r="C271">
            <v>13467.14</v>
          </cell>
          <cell r="O271">
            <v>6566.55</v>
          </cell>
          <cell r="U271" t="str">
            <v>Pièces</v>
          </cell>
          <cell r="V271" t="str">
            <v>Pièces Ro Carrosserie</v>
          </cell>
          <cell r="W271" t="str">
            <v>$</v>
          </cell>
          <cell r="X271">
            <v>0</v>
          </cell>
        </row>
        <row r="272">
          <cell r="C272">
            <v>87772.87</v>
          </cell>
          <cell r="O272">
            <v>35776.82</v>
          </cell>
          <cell r="U272" t="str">
            <v>Pièces</v>
          </cell>
          <cell r="V272" t="str">
            <v>Pièces Ro Carrosserie</v>
          </cell>
          <cell r="W272" t="str">
            <v>$</v>
          </cell>
          <cell r="X272">
            <v>0</v>
          </cell>
        </row>
        <row r="273">
          <cell r="C273">
            <v>788.39</v>
          </cell>
          <cell r="O273">
            <v>406.67</v>
          </cell>
          <cell r="U273" t="str">
            <v>Pièces</v>
          </cell>
          <cell r="V273" t="str">
            <v>Pièces Ro Carrosserie</v>
          </cell>
          <cell r="W273" t="str">
            <v>$</v>
          </cell>
          <cell r="X273">
            <v>0</v>
          </cell>
        </row>
        <row r="274">
          <cell r="C274">
            <v>23323.64</v>
          </cell>
          <cell r="O274">
            <v>17124.46</v>
          </cell>
          <cell r="U274" t="str">
            <v>Pièces</v>
          </cell>
          <cell r="V274" t="str">
            <v>Ventes Détails</v>
          </cell>
          <cell r="W274" t="str">
            <v>$</v>
          </cell>
          <cell r="X274">
            <v>0</v>
          </cell>
        </row>
        <row r="275">
          <cell r="C275">
            <v>104565.1</v>
          </cell>
          <cell r="O275">
            <v>27078.39</v>
          </cell>
          <cell r="U275" t="str">
            <v>Pièces</v>
          </cell>
          <cell r="V275" t="str">
            <v>Ventes de Gros</v>
          </cell>
          <cell r="W275" t="str">
            <v>$</v>
          </cell>
          <cell r="X275">
            <v>0</v>
          </cell>
        </row>
        <row r="276">
          <cell r="C276">
            <v>57863.91</v>
          </cell>
          <cell r="O276">
            <v>33614.81</v>
          </cell>
          <cell r="U276" t="str">
            <v>Pièces</v>
          </cell>
          <cell r="V276" t="str">
            <v>Ventes Pneus</v>
          </cell>
          <cell r="W276" t="str">
            <v>$</v>
          </cell>
          <cell r="X276">
            <v>0</v>
          </cell>
        </row>
        <row r="277">
          <cell r="C277">
            <v>123.54</v>
          </cell>
          <cell r="O277">
            <v>279.8</v>
          </cell>
          <cell r="U277" t="str">
            <v>Pièces</v>
          </cell>
          <cell r="V277" t="str">
            <v>Ventes Pneus</v>
          </cell>
          <cell r="W277" t="str">
            <v>$</v>
          </cell>
          <cell r="X277">
            <v>0</v>
          </cell>
        </row>
        <row r="278">
          <cell r="C278">
            <v>-62.76</v>
          </cell>
          <cell r="O278">
            <v>-672.45</v>
          </cell>
          <cell r="U278" t="str">
            <v>Pièces</v>
          </cell>
          <cell r="V278" t="str">
            <v>Escomptes</v>
          </cell>
          <cell r="W278" t="str">
            <v>$</v>
          </cell>
          <cell r="X278">
            <v>0</v>
          </cell>
        </row>
        <row r="279">
          <cell r="C279">
            <v>89617.98</v>
          </cell>
          <cell r="O279">
            <v>41435.94</v>
          </cell>
          <cell r="U279" t="str">
            <v>Véhicules neufs</v>
          </cell>
          <cell r="V279" t="str">
            <v>Comm. vendeurs</v>
          </cell>
          <cell r="W279" t="str">
            <v>$</v>
          </cell>
          <cell r="X279">
            <v>0</v>
          </cell>
        </row>
        <row r="280">
          <cell r="C280">
            <v>30221.94</v>
          </cell>
          <cell r="O280">
            <v>18933.52</v>
          </cell>
          <cell r="U280" t="str">
            <v>Véhicules neufs</v>
          </cell>
          <cell r="V280" t="str">
            <v>Comm. F&amp;I</v>
          </cell>
          <cell r="W280" t="str">
            <v>$</v>
          </cell>
          <cell r="X280">
            <v>0</v>
          </cell>
        </row>
        <row r="281">
          <cell r="C281">
            <v>487.59</v>
          </cell>
          <cell r="O281">
            <v>728.8</v>
          </cell>
          <cell r="U281" t="str">
            <v>Véhicules neufs</v>
          </cell>
          <cell r="V281" t="str">
            <v>Service gratuit 1</v>
          </cell>
          <cell r="W281" t="str">
            <v>$</v>
          </cell>
          <cell r="X281">
            <v>0</v>
          </cell>
        </row>
        <row r="282">
          <cell r="C282">
            <v>1281.5</v>
          </cell>
          <cell r="O282">
            <v>938.13</v>
          </cell>
          <cell r="U282" t="str">
            <v>Véhicules neufs</v>
          </cell>
          <cell r="V282" t="str">
            <v>Entretien stock</v>
          </cell>
          <cell r="W282" t="str">
            <v>$</v>
          </cell>
          <cell r="X282">
            <v>0</v>
          </cell>
        </row>
        <row r="283">
          <cell r="C283">
            <v>36691.300000000003</v>
          </cell>
          <cell r="O283">
            <v>15432.64</v>
          </cell>
          <cell r="U283" t="str">
            <v>Véhicules neufs</v>
          </cell>
          <cell r="V283" t="str">
            <v>Intérêt de gros</v>
          </cell>
          <cell r="W283" t="str">
            <v>$</v>
          </cell>
          <cell r="X283">
            <v>0</v>
          </cell>
        </row>
        <row r="284">
          <cell r="C284">
            <v>22204.78</v>
          </cell>
          <cell r="O284">
            <v>12663.29</v>
          </cell>
          <cell r="U284" t="str">
            <v>Véhicules neufs</v>
          </cell>
          <cell r="V284" t="str">
            <v>Frais de livraison</v>
          </cell>
          <cell r="W284" t="str">
            <v>$</v>
          </cell>
          <cell r="X284">
            <v>0</v>
          </cell>
        </row>
        <row r="285">
          <cell r="C285">
            <v>38928.94</v>
          </cell>
          <cell r="O285">
            <v>19005.73</v>
          </cell>
          <cell r="U285" t="str">
            <v>Véhicules neufs</v>
          </cell>
          <cell r="V285" t="str">
            <v>Publicité 1</v>
          </cell>
          <cell r="W285" t="str">
            <v>$</v>
          </cell>
          <cell r="X285">
            <v>0</v>
          </cell>
        </row>
        <row r="286">
          <cell r="C286">
            <v>-14900</v>
          </cell>
          <cell r="O286">
            <v>-6800</v>
          </cell>
          <cell r="U286" t="str">
            <v>Véhicules neufs</v>
          </cell>
          <cell r="V286" t="str">
            <v>Publicité 1</v>
          </cell>
          <cell r="W286" t="str">
            <v>$</v>
          </cell>
          <cell r="X286">
            <v>0</v>
          </cell>
        </row>
        <row r="287">
          <cell r="C287">
            <v>2799.99</v>
          </cell>
          <cell r="O287">
            <v>933.33</v>
          </cell>
          <cell r="U287" t="str">
            <v>Véhicules neufs</v>
          </cell>
          <cell r="V287" t="str">
            <v>Salaires propriétaire</v>
          </cell>
          <cell r="W287" t="str">
            <v>$</v>
          </cell>
          <cell r="X287">
            <v>0</v>
          </cell>
        </row>
        <row r="288">
          <cell r="C288">
            <v>60808.84</v>
          </cell>
          <cell r="O288">
            <v>23208.79</v>
          </cell>
          <cell r="U288" t="str">
            <v>Véhicules neufs</v>
          </cell>
          <cell r="V288" t="str">
            <v>Salaires cadres</v>
          </cell>
          <cell r="W288" t="str">
            <v>$</v>
          </cell>
          <cell r="X288">
            <v>0</v>
          </cell>
        </row>
        <row r="289">
          <cell r="C289">
            <v>22061.19</v>
          </cell>
          <cell r="O289">
            <v>9482.66</v>
          </cell>
          <cell r="U289" t="str">
            <v>Véhicules neufs</v>
          </cell>
          <cell r="V289" t="str">
            <v>Salaires commis</v>
          </cell>
          <cell r="W289" t="str">
            <v>$</v>
          </cell>
          <cell r="X289">
            <v>0</v>
          </cell>
        </row>
        <row r="290">
          <cell r="C290">
            <v>18679.11</v>
          </cell>
          <cell r="O290">
            <v>9954.6200000000008</v>
          </cell>
          <cell r="U290" t="str">
            <v>Véhicules neufs</v>
          </cell>
          <cell r="V290" t="str">
            <v>Salaires autres</v>
          </cell>
          <cell r="W290" t="str">
            <v>$</v>
          </cell>
          <cell r="X290">
            <v>0</v>
          </cell>
        </row>
        <row r="291">
          <cell r="C291">
            <v>27937.68</v>
          </cell>
          <cell r="O291">
            <v>13664.22</v>
          </cell>
          <cell r="U291" t="str">
            <v>Véhicules neufs</v>
          </cell>
          <cell r="V291" t="str">
            <v>Salaires en absences</v>
          </cell>
          <cell r="W291" t="str">
            <v>$</v>
          </cell>
          <cell r="X291">
            <v>0</v>
          </cell>
        </row>
        <row r="292">
          <cell r="C292">
            <v>13578.76</v>
          </cell>
          <cell r="O292">
            <v>1761.05</v>
          </cell>
          <cell r="U292" t="str">
            <v>Véhicules neufs</v>
          </cell>
          <cell r="V292" t="str">
            <v>Csst</v>
          </cell>
          <cell r="W292" t="str">
            <v>$</v>
          </cell>
          <cell r="X292">
            <v>0</v>
          </cell>
        </row>
        <row r="293">
          <cell r="C293">
            <v>27472.54</v>
          </cell>
          <cell r="O293">
            <v>10566.27</v>
          </cell>
          <cell r="U293" t="str">
            <v>Véhicules neufs</v>
          </cell>
          <cell r="V293" t="str">
            <v>Déduction à la source</v>
          </cell>
          <cell r="W293" t="str">
            <v>$</v>
          </cell>
          <cell r="X293">
            <v>0</v>
          </cell>
        </row>
        <row r="294">
          <cell r="C294">
            <v>19688.650000000001</v>
          </cell>
          <cell r="O294">
            <v>7572.49</v>
          </cell>
          <cell r="U294" t="str">
            <v>Véhicules neufs</v>
          </cell>
          <cell r="V294" t="str">
            <v>Bénéfices marginaux</v>
          </cell>
          <cell r="W294" t="str">
            <v>$</v>
          </cell>
          <cell r="X294">
            <v>0</v>
          </cell>
        </row>
        <row r="295">
          <cell r="C295">
            <v>0</v>
          </cell>
          <cell r="O295">
            <v>477.01</v>
          </cell>
          <cell r="U295" t="str">
            <v>Véhicules neufs</v>
          </cell>
          <cell r="V295" t="str">
            <v>Fournitures autres</v>
          </cell>
          <cell r="W295" t="str">
            <v>$</v>
          </cell>
          <cell r="X295">
            <v>0</v>
          </cell>
        </row>
        <row r="296">
          <cell r="C296">
            <v>1569.99</v>
          </cell>
          <cell r="O296">
            <v>523.33000000000004</v>
          </cell>
          <cell r="U296" t="str">
            <v>Véhicules neufs</v>
          </cell>
          <cell r="V296" t="str">
            <v>Formation</v>
          </cell>
          <cell r="W296" t="str">
            <v>$</v>
          </cell>
          <cell r="X296">
            <v>0</v>
          </cell>
        </row>
        <row r="297">
          <cell r="C297">
            <v>16182.8</v>
          </cell>
          <cell r="O297">
            <v>5494.87</v>
          </cell>
          <cell r="U297" t="str">
            <v>Véhicules neufs</v>
          </cell>
          <cell r="V297" t="str">
            <v>Frais véhicules de cie</v>
          </cell>
          <cell r="W297" t="str">
            <v>$</v>
          </cell>
          <cell r="X297">
            <v>0</v>
          </cell>
        </row>
        <row r="298">
          <cell r="C298">
            <v>280.31</v>
          </cell>
          <cell r="O298">
            <v>134.19</v>
          </cell>
          <cell r="U298" t="str">
            <v>Véhicules neufs</v>
          </cell>
          <cell r="V298" t="str">
            <v>Frais postaux</v>
          </cell>
          <cell r="W298" t="str">
            <v>$</v>
          </cell>
          <cell r="X298">
            <v>0</v>
          </cell>
        </row>
        <row r="299">
          <cell r="C299">
            <v>17512.37</v>
          </cell>
          <cell r="O299">
            <v>4538.32</v>
          </cell>
          <cell r="U299" t="str">
            <v>Véhicules neufs</v>
          </cell>
          <cell r="V299" t="str">
            <v>Informatique</v>
          </cell>
          <cell r="W299" t="str">
            <v>$</v>
          </cell>
          <cell r="X299">
            <v>0</v>
          </cell>
        </row>
        <row r="300">
          <cell r="C300">
            <v>1424.5</v>
          </cell>
          <cell r="O300">
            <v>548.67999999999995</v>
          </cell>
          <cell r="U300" t="str">
            <v>Véhicules neufs</v>
          </cell>
          <cell r="V300" t="str">
            <v>Papeterie</v>
          </cell>
          <cell r="W300" t="str">
            <v>$</v>
          </cell>
          <cell r="X300">
            <v>0</v>
          </cell>
        </row>
        <row r="301">
          <cell r="C301">
            <v>1156.99</v>
          </cell>
          <cell r="O301">
            <v>130.22</v>
          </cell>
          <cell r="U301" t="str">
            <v>Véhicules neufs</v>
          </cell>
          <cell r="V301" t="str">
            <v>Téléphone</v>
          </cell>
          <cell r="W301" t="str">
            <v>$</v>
          </cell>
          <cell r="X301">
            <v>0</v>
          </cell>
        </row>
        <row r="302">
          <cell r="C302">
            <v>4079.84</v>
          </cell>
          <cell r="O302">
            <v>264.06</v>
          </cell>
          <cell r="U302" t="str">
            <v>Véhicules neufs</v>
          </cell>
          <cell r="V302" t="str">
            <v>Divers</v>
          </cell>
          <cell r="W302" t="str">
            <v>$</v>
          </cell>
          <cell r="X302">
            <v>0</v>
          </cell>
        </row>
        <row r="303">
          <cell r="C303">
            <v>758.41</v>
          </cell>
          <cell r="O303">
            <v>209.82</v>
          </cell>
          <cell r="U303" t="str">
            <v>Véhicules neufs</v>
          </cell>
          <cell r="V303" t="str">
            <v>Frais de déplacement</v>
          </cell>
          <cell r="W303" t="str">
            <v>$</v>
          </cell>
          <cell r="X303">
            <v>0</v>
          </cell>
        </row>
        <row r="304">
          <cell r="C304">
            <v>21531.87</v>
          </cell>
          <cell r="O304">
            <v>8488.9599999999991</v>
          </cell>
          <cell r="U304" t="str">
            <v>Véhicules neufs</v>
          </cell>
          <cell r="V304" t="str">
            <v>Services extérieurs</v>
          </cell>
          <cell r="W304" t="str">
            <v>$</v>
          </cell>
          <cell r="X304">
            <v>0</v>
          </cell>
        </row>
        <row r="305">
          <cell r="C305">
            <v>8800.32</v>
          </cell>
          <cell r="O305">
            <v>2933.44</v>
          </cell>
          <cell r="U305" t="str">
            <v>Véhicules neufs</v>
          </cell>
          <cell r="V305" t="str">
            <v>Amortissement</v>
          </cell>
          <cell r="W305" t="str">
            <v>$</v>
          </cell>
          <cell r="X305">
            <v>0</v>
          </cell>
        </row>
        <row r="306">
          <cell r="C306">
            <v>2975.45</v>
          </cell>
          <cell r="O306">
            <v>236.41</v>
          </cell>
          <cell r="U306" t="str">
            <v>Véhicules neufs</v>
          </cell>
          <cell r="V306" t="str">
            <v>Chauffage, éclairage</v>
          </cell>
          <cell r="W306" t="str">
            <v>$</v>
          </cell>
          <cell r="X306">
            <v>0</v>
          </cell>
        </row>
        <row r="307">
          <cell r="C307">
            <v>24960</v>
          </cell>
          <cell r="O307">
            <v>8320</v>
          </cell>
          <cell r="U307" t="str">
            <v>Véhicules neufs</v>
          </cell>
          <cell r="V307" t="str">
            <v>Loyer</v>
          </cell>
          <cell r="W307" t="str">
            <v>$</v>
          </cell>
          <cell r="X307">
            <v>0</v>
          </cell>
        </row>
        <row r="308">
          <cell r="C308">
            <v>3559.8</v>
          </cell>
          <cell r="O308">
            <v>1186.5999999999999</v>
          </cell>
          <cell r="U308" t="str">
            <v>Véhicules neufs</v>
          </cell>
          <cell r="V308" t="str">
            <v>Assurances</v>
          </cell>
          <cell r="W308" t="str">
            <v>$</v>
          </cell>
          <cell r="X308">
            <v>0</v>
          </cell>
        </row>
        <row r="309">
          <cell r="C309">
            <v>4617.6000000000004</v>
          </cell>
          <cell r="O309">
            <v>1539.2</v>
          </cell>
          <cell r="U309" t="str">
            <v>Véhicules neufs</v>
          </cell>
          <cell r="V309" t="str">
            <v>Taxes foncières</v>
          </cell>
          <cell r="W309" t="str">
            <v>$</v>
          </cell>
          <cell r="X309">
            <v>0</v>
          </cell>
        </row>
        <row r="310">
          <cell r="C310">
            <v>3072</v>
          </cell>
          <cell r="O310">
            <v>1024</v>
          </cell>
          <cell r="U310" t="str">
            <v>Véhicules neufs</v>
          </cell>
          <cell r="V310" t="str">
            <v>Taxes d`affaires</v>
          </cell>
          <cell r="W310" t="str">
            <v>$</v>
          </cell>
          <cell r="X310">
            <v>0</v>
          </cell>
        </row>
        <row r="311">
          <cell r="C311">
            <v>5968.41</v>
          </cell>
          <cell r="O311">
            <v>2268.2199999999998</v>
          </cell>
          <cell r="U311" t="str">
            <v>Véhicules neufs</v>
          </cell>
          <cell r="V311" t="str">
            <v>Honoraires</v>
          </cell>
          <cell r="W311" t="str">
            <v>$</v>
          </cell>
          <cell r="X311">
            <v>0</v>
          </cell>
        </row>
        <row r="312">
          <cell r="C312">
            <v>38960.17</v>
          </cell>
          <cell r="O312">
            <v>17678.689999999999</v>
          </cell>
          <cell r="U312" t="str">
            <v>Véhicules usagés</v>
          </cell>
          <cell r="V312" t="str">
            <v>Comm. vendeurs</v>
          </cell>
          <cell r="W312" t="str">
            <v>$</v>
          </cell>
          <cell r="X312">
            <v>0</v>
          </cell>
        </row>
        <row r="313">
          <cell r="C313">
            <v>43432.88</v>
          </cell>
          <cell r="O313">
            <v>20298.43</v>
          </cell>
          <cell r="U313" t="str">
            <v>Véhicules usagés</v>
          </cell>
          <cell r="V313" t="str">
            <v>Comm. F&amp;I</v>
          </cell>
          <cell r="W313" t="str">
            <v>$</v>
          </cell>
          <cell r="X313">
            <v>0</v>
          </cell>
        </row>
        <row r="314">
          <cell r="C314">
            <v>2535.9299999999998</v>
          </cell>
          <cell r="O314">
            <v>-1260.3900000000001</v>
          </cell>
          <cell r="U314" t="str">
            <v>Véhicules usagés</v>
          </cell>
          <cell r="V314" t="str">
            <v>Service gratuit 1</v>
          </cell>
          <cell r="W314" t="str">
            <v>$</v>
          </cell>
          <cell r="X314">
            <v>0</v>
          </cell>
        </row>
        <row r="315">
          <cell r="C315">
            <v>7405.5</v>
          </cell>
          <cell r="O315">
            <v>5809.04</v>
          </cell>
          <cell r="U315" t="str">
            <v>Véhicules usagés</v>
          </cell>
          <cell r="V315" t="str">
            <v>Entretien stock</v>
          </cell>
          <cell r="W315" t="str">
            <v>$</v>
          </cell>
          <cell r="X315">
            <v>0</v>
          </cell>
        </row>
        <row r="316">
          <cell r="C316">
            <v>1789.05</v>
          </cell>
          <cell r="O316">
            <v>571.04999999999995</v>
          </cell>
          <cell r="U316" t="str">
            <v>Véhicules usagés</v>
          </cell>
          <cell r="V316" t="str">
            <v>Intérêt de gros</v>
          </cell>
          <cell r="W316" t="str">
            <v>$</v>
          </cell>
          <cell r="X316">
            <v>0</v>
          </cell>
        </row>
        <row r="317">
          <cell r="C317">
            <v>4661.42</v>
          </cell>
          <cell r="O317">
            <v>4043.67</v>
          </cell>
          <cell r="U317" t="str">
            <v>Véhicules usagés</v>
          </cell>
          <cell r="V317" t="str">
            <v>Frais de livraison</v>
          </cell>
          <cell r="W317" t="str">
            <v>$</v>
          </cell>
          <cell r="X317">
            <v>0</v>
          </cell>
        </row>
        <row r="318">
          <cell r="C318">
            <v>22698</v>
          </cell>
          <cell r="O318">
            <v>8446.75</v>
          </cell>
          <cell r="U318" t="str">
            <v>Véhicules usagés</v>
          </cell>
          <cell r="V318" t="str">
            <v>Publicité 1</v>
          </cell>
          <cell r="W318" t="str">
            <v>$</v>
          </cell>
          <cell r="X318">
            <v>0</v>
          </cell>
        </row>
        <row r="319">
          <cell r="C319">
            <v>-8600</v>
          </cell>
          <cell r="O319">
            <v>-4000</v>
          </cell>
          <cell r="U319" t="str">
            <v>Véhicules usagés</v>
          </cell>
          <cell r="V319" t="str">
            <v>Publicité 1</v>
          </cell>
          <cell r="W319" t="str">
            <v>$</v>
          </cell>
          <cell r="X319">
            <v>0</v>
          </cell>
        </row>
        <row r="320">
          <cell r="C320">
            <v>1050</v>
          </cell>
          <cell r="O320">
            <v>350</v>
          </cell>
          <cell r="U320" t="str">
            <v>Véhicules usagés</v>
          </cell>
          <cell r="V320" t="str">
            <v>Salaires propriétaire</v>
          </cell>
          <cell r="W320" t="str">
            <v>$</v>
          </cell>
          <cell r="X320">
            <v>0</v>
          </cell>
        </row>
        <row r="321">
          <cell r="C321">
            <v>32846.269999999997</v>
          </cell>
          <cell r="O321">
            <v>9456.66</v>
          </cell>
          <cell r="U321" t="str">
            <v>Véhicules usagés</v>
          </cell>
          <cell r="V321" t="str">
            <v>Salaires cadres</v>
          </cell>
          <cell r="W321" t="str">
            <v>$</v>
          </cell>
          <cell r="X321">
            <v>0</v>
          </cell>
        </row>
        <row r="322">
          <cell r="C322">
            <v>5756.45</v>
          </cell>
          <cell r="O322">
            <v>2107.2600000000002</v>
          </cell>
          <cell r="U322" t="str">
            <v>Véhicules usagés</v>
          </cell>
          <cell r="V322" t="str">
            <v>Salaires commis</v>
          </cell>
          <cell r="W322" t="str">
            <v>$</v>
          </cell>
          <cell r="X322">
            <v>0</v>
          </cell>
        </row>
        <row r="323">
          <cell r="C323">
            <v>18871.830000000002</v>
          </cell>
          <cell r="O323">
            <v>7267.67</v>
          </cell>
          <cell r="U323" t="str">
            <v>Véhicules usagés</v>
          </cell>
          <cell r="V323" t="str">
            <v>Salaires autres</v>
          </cell>
          <cell r="W323" t="str">
            <v>$</v>
          </cell>
          <cell r="X323">
            <v>0</v>
          </cell>
        </row>
        <row r="324">
          <cell r="C324">
            <v>10585.99</v>
          </cell>
          <cell r="O324">
            <v>2021.69</v>
          </cell>
          <cell r="U324" t="str">
            <v>Véhicules usagés</v>
          </cell>
          <cell r="V324" t="str">
            <v>Salaires en absences</v>
          </cell>
          <cell r="W324" t="str">
            <v>$</v>
          </cell>
          <cell r="X324">
            <v>0</v>
          </cell>
        </row>
        <row r="325">
          <cell r="C325">
            <v>1934.7</v>
          </cell>
          <cell r="O325">
            <v>975.82</v>
          </cell>
          <cell r="U325" t="str">
            <v>Véhicules usagés</v>
          </cell>
          <cell r="V325" t="str">
            <v>Csst</v>
          </cell>
          <cell r="W325" t="str">
            <v>$</v>
          </cell>
          <cell r="X325">
            <v>0</v>
          </cell>
        </row>
        <row r="326">
          <cell r="C326">
            <v>11608.21</v>
          </cell>
          <cell r="O326">
            <v>5854.93</v>
          </cell>
          <cell r="U326" t="str">
            <v>Véhicules usagés</v>
          </cell>
          <cell r="V326" t="str">
            <v>Déduction à la source</v>
          </cell>
          <cell r="W326" t="str">
            <v>$</v>
          </cell>
          <cell r="X326">
            <v>0</v>
          </cell>
        </row>
        <row r="327">
          <cell r="C327">
            <v>8319.2199999999993</v>
          </cell>
          <cell r="O327">
            <v>4196.03</v>
          </cell>
          <cell r="U327" t="str">
            <v>Véhicules usagés</v>
          </cell>
          <cell r="V327" t="str">
            <v>Bénéfices marginaux</v>
          </cell>
          <cell r="W327" t="str">
            <v>$</v>
          </cell>
          <cell r="X327">
            <v>0</v>
          </cell>
        </row>
        <row r="328">
          <cell r="C328">
            <v>0</v>
          </cell>
          <cell r="O328">
            <v>413.76</v>
          </cell>
          <cell r="U328" t="str">
            <v>Véhicules usagés</v>
          </cell>
          <cell r="V328" t="str">
            <v>Fournitures autres</v>
          </cell>
          <cell r="W328" t="str">
            <v>$</v>
          </cell>
          <cell r="X328">
            <v>0</v>
          </cell>
        </row>
        <row r="329">
          <cell r="C329">
            <v>31.86</v>
          </cell>
          <cell r="O329">
            <v>10.62</v>
          </cell>
          <cell r="U329" t="str">
            <v>Véhicules usagés</v>
          </cell>
          <cell r="V329" t="str">
            <v>Formation</v>
          </cell>
          <cell r="W329" t="str">
            <v>$</v>
          </cell>
          <cell r="X329">
            <v>0</v>
          </cell>
        </row>
        <row r="330">
          <cell r="C330">
            <v>-1133.23</v>
          </cell>
          <cell r="O330">
            <v>-369.12</v>
          </cell>
          <cell r="U330" t="str">
            <v>Véhicules usagés</v>
          </cell>
          <cell r="V330" t="str">
            <v>Frais véhicules de cie</v>
          </cell>
          <cell r="W330" t="str">
            <v>$</v>
          </cell>
          <cell r="X330">
            <v>0</v>
          </cell>
        </row>
        <row r="331">
          <cell r="C331">
            <v>158.05000000000001</v>
          </cell>
          <cell r="O331">
            <v>79.42</v>
          </cell>
          <cell r="U331" t="str">
            <v>Véhicules usagés</v>
          </cell>
          <cell r="V331" t="str">
            <v>Frais postaux</v>
          </cell>
          <cell r="W331" t="str">
            <v>$</v>
          </cell>
          <cell r="X331">
            <v>0</v>
          </cell>
        </row>
        <row r="332">
          <cell r="C332">
            <v>6093.1</v>
          </cell>
          <cell r="O332">
            <v>1493</v>
          </cell>
          <cell r="U332" t="str">
            <v>Véhicules usagés</v>
          </cell>
          <cell r="V332" t="str">
            <v>Informatique</v>
          </cell>
          <cell r="W332" t="str">
            <v>$</v>
          </cell>
          <cell r="X332">
            <v>0</v>
          </cell>
        </row>
        <row r="333">
          <cell r="C333">
            <v>428.64</v>
          </cell>
          <cell r="O333">
            <v>597.44000000000005</v>
          </cell>
          <cell r="U333" t="str">
            <v>Véhicules usagés</v>
          </cell>
          <cell r="V333" t="str">
            <v>Papeterie</v>
          </cell>
          <cell r="W333" t="str">
            <v>$</v>
          </cell>
          <cell r="X333">
            <v>0</v>
          </cell>
        </row>
        <row r="334">
          <cell r="C334">
            <v>338.01</v>
          </cell>
          <cell r="O334">
            <v>48.83</v>
          </cell>
          <cell r="U334" t="str">
            <v>Véhicules usagés</v>
          </cell>
          <cell r="V334" t="str">
            <v>Téléphone</v>
          </cell>
          <cell r="W334" t="str">
            <v>$</v>
          </cell>
          <cell r="X334">
            <v>0</v>
          </cell>
        </row>
        <row r="335">
          <cell r="C335">
            <v>953.86</v>
          </cell>
          <cell r="O335">
            <v>99.03</v>
          </cell>
          <cell r="U335" t="str">
            <v>Véhicules usagés</v>
          </cell>
          <cell r="V335" t="str">
            <v>Divers</v>
          </cell>
          <cell r="W335" t="str">
            <v>$</v>
          </cell>
          <cell r="X335">
            <v>0</v>
          </cell>
        </row>
        <row r="336">
          <cell r="C336">
            <v>270.81</v>
          </cell>
          <cell r="O336">
            <v>78.69</v>
          </cell>
          <cell r="U336" t="str">
            <v>Véhicules usagés</v>
          </cell>
          <cell r="V336" t="str">
            <v>Frais de déplacement</v>
          </cell>
          <cell r="W336" t="str">
            <v>$</v>
          </cell>
          <cell r="X336">
            <v>0</v>
          </cell>
        </row>
        <row r="337">
          <cell r="C337">
            <v>2531.08</v>
          </cell>
          <cell r="O337">
            <v>1698.7</v>
          </cell>
          <cell r="U337" t="str">
            <v>Véhicules usagés</v>
          </cell>
          <cell r="V337" t="str">
            <v>Services extérieurs</v>
          </cell>
          <cell r="W337" t="str">
            <v>$</v>
          </cell>
          <cell r="X337">
            <v>0</v>
          </cell>
        </row>
        <row r="338">
          <cell r="C338">
            <v>3300.12</v>
          </cell>
          <cell r="O338">
            <v>1100.04</v>
          </cell>
          <cell r="U338" t="str">
            <v>Véhicules usagés</v>
          </cell>
          <cell r="V338" t="str">
            <v>Amortissement</v>
          </cell>
          <cell r="W338" t="str">
            <v>$</v>
          </cell>
          <cell r="X338">
            <v>0</v>
          </cell>
        </row>
        <row r="339">
          <cell r="C339">
            <v>1115.81</v>
          </cell>
          <cell r="O339">
            <v>88.65</v>
          </cell>
          <cell r="U339" t="str">
            <v>Véhicules usagés</v>
          </cell>
          <cell r="V339" t="str">
            <v>Chauffage, éclairage</v>
          </cell>
          <cell r="W339" t="str">
            <v>$</v>
          </cell>
          <cell r="X339">
            <v>0</v>
          </cell>
        </row>
        <row r="340">
          <cell r="C340">
            <v>9360</v>
          </cell>
          <cell r="O340">
            <v>3120</v>
          </cell>
          <cell r="U340" t="str">
            <v>Véhicules usagés</v>
          </cell>
          <cell r="V340" t="str">
            <v>Loyer</v>
          </cell>
          <cell r="W340" t="str">
            <v>$</v>
          </cell>
          <cell r="X340">
            <v>0</v>
          </cell>
        </row>
        <row r="341">
          <cell r="C341">
            <v>1334.91</v>
          </cell>
          <cell r="O341">
            <v>444.97</v>
          </cell>
          <cell r="U341" t="str">
            <v>Véhicules usagés</v>
          </cell>
          <cell r="V341" t="str">
            <v>Assurances</v>
          </cell>
          <cell r="W341" t="str">
            <v>$</v>
          </cell>
          <cell r="X341">
            <v>0</v>
          </cell>
        </row>
        <row r="342">
          <cell r="C342">
            <v>1731.6</v>
          </cell>
          <cell r="O342">
            <v>577.20000000000005</v>
          </cell>
          <cell r="U342" t="str">
            <v>Véhicules usagés</v>
          </cell>
          <cell r="V342" t="str">
            <v>Taxes foncières</v>
          </cell>
          <cell r="W342" t="str">
            <v>$</v>
          </cell>
          <cell r="X342">
            <v>0</v>
          </cell>
        </row>
        <row r="343">
          <cell r="C343">
            <v>1152</v>
          </cell>
          <cell r="O343">
            <v>384</v>
          </cell>
          <cell r="U343" t="str">
            <v>Véhicules usagés</v>
          </cell>
          <cell r="V343" t="str">
            <v>Taxes d`affaires</v>
          </cell>
          <cell r="W343" t="str">
            <v>$</v>
          </cell>
          <cell r="X343">
            <v>0</v>
          </cell>
        </row>
        <row r="344">
          <cell r="C344">
            <v>2238.1799999999998</v>
          </cell>
          <cell r="O344">
            <v>850.59</v>
          </cell>
          <cell r="U344" t="str">
            <v>Véhicules usagés</v>
          </cell>
          <cell r="V344" t="str">
            <v>Honoraires</v>
          </cell>
          <cell r="W344" t="str">
            <v>$</v>
          </cell>
          <cell r="X344">
            <v>0</v>
          </cell>
        </row>
        <row r="345">
          <cell r="C345">
            <v>7598.87</v>
          </cell>
          <cell r="O345">
            <v>2153.2199999999998</v>
          </cell>
          <cell r="U345" t="str">
            <v>Service</v>
          </cell>
          <cell r="V345" t="str">
            <v>Service gratuit 2</v>
          </cell>
          <cell r="W345" t="str">
            <v>$</v>
          </cell>
          <cell r="X345">
            <v>0</v>
          </cell>
        </row>
        <row r="346">
          <cell r="C346">
            <v>130.83000000000001</v>
          </cell>
          <cell r="O346">
            <v>163.04</v>
          </cell>
          <cell r="U346" t="str">
            <v>Service</v>
          </cell>
          <cell r="V346" t="str">
            <v>Service gratuit 2</v>
          </cell>
          <cell r="W346" t="str">
            <v>$</v>
          </cell>
          <cell r="X346">
            <v>0</v>
          </cell>
        </row>
        <row r="347">
          <cell r="C347">
            <v>19698.7</v>
          </cell>
          <cell r="O347">
            <v>4627.6899999999996</v>
          </cell>
          <cell r="U347" t="str">
            <v>Service</v>
          </cell>
          <cell r="V347" t="str">
            <v>Publicité 2</v>
          </cell>
          <cell r="W347" t="str">
            <v>$</v>
          </cell>
          <cell r="X347">
            <v>0</v>
          </cell>
        </row>
        <row r="348">
          <cell r="C348">
            <v>2100</v>
          </cell>
          <cell r="O348">
            <v>700</v>
          </cell>
          <cell r="U348" t="str">
            <v>Service</v>
          </cell>
          <cell r="V348" t="str">
            <v>Salaires propriétaire</v>
          </cell>
          <cell r="W348" t="str">
            <v>$</v>
          </cell>
          <cell r="X348">
            <v>0</v>
          </cell>
        </row>
        <row r="349">
          <cell r="C349">
            <v>35050.300000000003</v>
          </cell>
          <cell r="O349">
            <v>13949.35</v>
          </cell>
          <cell r="U349" t="str">
            <v>Service</v>
          </cell>
          <cell r="V349" t="str">
            <v>Salaires cadres</v>
          </cell>
          <cell r="W349" t="str">
            <v>$</v>
          </cell>
          <cell r="X349">
            <v>0</v>
          </cell>
        </row>
        <row r="350">
          <cell r="C350">
            <v>22871.25</v>
          </cell>
          <cell r="O350">
            <v>9390.7199999999993</v>
          </cell>
          <cell r="U350" t="str">
            <v>Service</v>
          </cell>
          <cell r="V350" t="str">
            <v>Salaires commis</v>
          </cell>
          <cell r="W350" t="str">
            <v>$</v>
          </cell>
          <cell r="X350">
            <v>0</v>
          </cell>
        </row>
        <row r="351">
          <cell r="C351">
            <v>39479.11</v>
          </cell>
          <cell r="O351">
            <v>12448.5</v>
          </cell>
          <cell r="U351" t="str">
            <v>Service</v>
          </cell>
          <cell r="V351" t="str">
            <v>Salaires autres</v>
          </cell>
          <cell r="W351" t="str">
            <v>$</v>
          </cell>
          <cell r="X351">
            <v>0</v>
          </cell>
        </row>
        <row r="352">
          <cell r="C352">
            <v>61268.35</v>
          </cell>
          <cell r="O352">
            <v>27320.02</v>
          </cell>
          <cell r="U352" t="str">
            <v>Service</v>
          </cell>
          <cell r="V352" t="str">
            <v>Salaires spécialistes</v>
          </cell>
          <cell r="W352" t="str">
            <v>$</v>
          </cell>
          <cell r="X352">
            <v>0</v>
          </cell>
        </row>
        <row r="353">
          <cell r="C353">
            <v>39845.760000000002</v>
          </cell>
          <cell r="O353">
            <v>16193.12</v>
          </cell>
          <cell r="U353" t="str">
            <v>Service</v>
          </cell>
          <cell r="V353" t="str">
            <v>Salaires en absences</v>
          </cell>
          <cell r="W353" t="str">
            <v>$</v>
          </cell>
          <cell r="X353">
            <v>0</v>
          </cell>
        </row>
        <row r="354">
          <cell r="C354">
            <v>6832.71</v>
          </cell>
          <cell r="O354">
            <v>3345.12</v>
          </cell>
          <cell r="U354" t="str">
            <v>Service</v>
          </cell>
          <cell r="V354" t="str">
            <v>Csst</v>
          </cell>
          <cell r="W354" t="str">
            <v>$</v>
          </cell>
          <cell r="X354">
            <v>0</v>
          </cell>
        </row>
        <row r="355">
          <cell r="C355">
            <v>40996.26</v>
          </cell>
          <cell r="O355">
            <v>20070.72</v>
          </cell>
          <cell r="U355" t="str">
            <v>Service</v>
          </cell>
          <cell r="V355" t="str">
            <v>Déduction à la source</v>
          </cell>
          <cell r="W355" t="str">
            <v>$</v>
          </cell>
          <cell r="X355">
            <v>0</v>
          </cell>
        </row>
        <row r="356">
          <cell r="C356">
            <v>656.55</v>
          </cell>
          <cell r="O356">
            <v>269.82</v>
          </cell>
          <cell r="U356" t="str">
            <v>Service</v>
          </cell>
          <cell r="V356" t="str">
            <v>Bénéfices marginaux</v>
          </cell>
          <cell r="W356" t="str">
            <v>$</v>
          </cell>
          <cell r="X356">
            <v>0</v>
          </cell>
        </row>
        <row r="357">
          <cell r="C357">
            <v>28724.1</v>
          </cell>
          <cell r="O357">
            <v>14114.19</v>
          </cell>
          <cell r="U357" t="str">
            <v>Service</v>
          </cell>
          <cell r="V357" t="str">
            <v>Bénéfices marginaux</v>
          </cell>
          <cell r="W357" t="str">
            <v>$</v>
          </cell>
          <cell r="X357">
            <v>0</v>
          </cell>
        </row>
        <row r="358">
          <cell r="C358">
            <v>0</v>
          </cell>
          <cell r="O358">
            <v>494.4</v>
          </cell>
          <cell r="U358" t="str">
            <v>Service</v>
          </cell>
          <cell r="V358" t="str">
            <v>Service gratuit 2</v>
          </cell>
          <cell r="W358" t="str">
            <v>$</v>
          </cell>
          <cell r="X358">
            <v>0</v>
          </cell>
        </row>
        <row r="359">
          <cell r="C359">
            <v>3920.87</v>
          </cell>
          <cell r="O359">
            <v>66.86</v>
          </cell>
          <cell r="U359" t="str">
            <v>Service</v>
          </cell>
          <cell r="V359" t="str">
            <v>Fournitures autres</v>
          </cell>
          <cell r="W359" t="str">
            <v>$</v>
          </cell>
          <cell r="X359">
            <v>0</v>
          </cell>
        </row>
        <row r="360">
          <cell r="C360">
            <v>2081.04</v>
          </cell>
          <cell r="O360">
            <v>626.04</v>
          </cell>
          <cell r="U360" t="str">
            <v>Service</v>
          </cell>
          <cell r="V360" t="str">
            <v>Uniformes</v>
          </cell>
          <cell r="W360" t="str">
            <v>$</v>
          </cell>
          <cell r="X360">
            <v>0</v>
          </cell>
        </row>
        <row r="361">
          <cell r="C361">
            <v>3290.7</v>
          </cell>
          <cell r="O361">
            <v>1383.26</v>
          </cell>
          <cell r="U361" t="str">
            <v>Service</v>
          </cell>
          <cell r="V361" t="str">
            <v>Formation</v>
          </cell>
          <cell r="W361" t="str">
            <v>$</v>
          </cell>
          <cell r="X361">
            <v>0</v>
          </cell>
        </row>
        <row r="362">
          <cell r="C362">
            <v>42376.99</v>
          </cell>
          <cell r="O362">
            <v>11098.56</v>
          </cell>
          <cell r="U362" t="str">
            <v>Service</v>
          </cell>
          <cell r="V362" t="str">
            <v>Frais véhicules de cie</v>
          </cell>
          <cell r="W362" t="str">
            <v>$</v>
          </cell>
          <cell r="X362">
            <v>0</v>
          </cell>
        </row>
        <row r="363">
          <cell r="C363">
            <v>221.72</v>
          </cell>
          <cell r="O363">
            <v>100.66</v>
          </cell>
          <cell r="U363" t="str">
            <v>Service</v>
          </cell>
          <cell r="V363" t="str">
            <v>Frais postaux</v>
          </cell>
          <cell r="W363" t="str">
            <v>$</v>
          </cell>
          <cell r="X363">
            <v>0</v>
          </cell>
        </row>
        <row r="364">
          <cell r="C364">
            <v>11915.23</v>
          </cell>
          <cell r="O364">
            <v>3459.65</v>
          </cell>
          <cell r="U364" t="str">
            <v>Service</v>
          </cell>
          <cell r="V364" t="str">
            <v>Informatique</v>
          </cell>
          <cell r="W364" t="str">
            <v>$</v>
          </cell>
          <cell r="X364">
            <v>0</v>
          </cell>
        </row>
        <row r="365">
          <cell r="C365">
            <v>857.28</v>
          </cell>
          <cell r="O365">
            <v>483.27</v>
          </cell>
          <cell r="U365" t="str">
            <v>Service</v>
          </cell>
          <cell r="V365" t="str">
            <v>Papeterie</v>
          </cell>
          <cell r="W365" t="str">
            <v>$</v>
          </cell>
          <cell r="X365">
            <v>0</v>
          </cell>
        </row>
        <row r="366">
          <cell r="C366">
            <v>971.83</v>
          </cell>
          <cell r="O366">
            <v>169.59</v>
          </cell>
          <cell r="U366" t="str">
            <v>Service</v>
          </cell>
          <cell r="V366" t="str">
            <v>Téléphone</v>
          </cell>
          <cell r="W366" t="str">
            <v>$</v>
          </cell>
          <cell r="X366">
            <v>0</v>
          </cell>
        </row>
        <row r="367">
          <cell r="C367">
            <v>1907.75</v>
          </cell>
          <cell r="O367">
            <v>198.05</v>
          </cell>
          <cell r="U367" t="str">
            <v>Service</v>
          </cell>
          <cell r="V367" t="str">
            <v>Divers</v>
          </cell>
          <cell r="W367" t="str">
            <v>$</v>
          </cell>
          <cell r="X367">
            <v>0</v>
          </cell>
        </row>
        <row r="368">
          <cell r="C368">
            <v>541.6</v>
          </cell>
          <cell r="O368">
            <v>157.36000000000001</v>
          </cell>
          <cell r="U368" t="str">
            <v>Service</v>
          </cell>
          <cell r="V368" t="str">
            <v>Frais de déplacement</v>
          </cell>
          <cell r="W368" t="str">
            <v>$</v>
          </cell>
          <cell r="X368">
            <v>0</v>
          </cell>
        </row>
        <row r="369">
          <cell r="C369">
            <v>5062.21</v>
          </cell>
          <cell r="O369">
            <v>3397.38</v>
          </cell>
          <cell r="U369" t="str">
            <v>Service</v>
          </cell>
          <cell r="V369" t="str">
            <v>Services extérieurs</v>
          </cell>
          <cell r="W369" t="str">
            <v>$</v>
          </cell>
          <cell r="X369">
            <v>0</v>
          </cell>
        </row>
        <row r="370">
          <cell r="C370">
            <v>6600.24</v>
          </cell>
          <cell r="O370">
            <v>2200.08</v>
          </cell>
          <cell r="U370" t="str">
            <v>Service</v>
          </cell>
          <cell r="V370" t="str">
            <v>Amortissement</v>
          </cell>
          <cell r="W370" t="str">
            <v>$</v>
          </cell>
          <cell r="X370">
            <v>0</v>
          </cell>
        </row>
        <row r="371">
          <cell r="C371">
            <v>3032.12</v>
          </cell>
          <cell r="O371">
            <v>518.51</v>
          </cell>
          <cell r="U371" t="str">
            <v>Service</v>
          </cell>
          <cell r="V371" t="str">
            <v>Réparation équipement</v>
          </cell>
          <cell r="W371" t="str">
            <v>$</v>
          </cell>
          <cell r="X371">
            <v>0</v>
          </cell>
        </row>
        <row r="372">
          <cell r="C372">
            <v>2231.6</v>
          </cell>
          <cell r="O372">
            <v>177.31</v>
          </cell>
          <cell r="U372" t="str">
            <v>Service</v>
          </cell>
          <cell r="V372" t="str">
            <v>Chauffage, éclairage</v>
          </cell>
          <cell r="W372" t="str">
            <v>$</v>
          </cell>
          <cell r="X372">
            <v>0</v>
          </cell>
        </row>
        <row r="373">
          <cell r="C373">
            <v>18720</v>
          </cell>
          <cell r="O373">
            <v>6240</v>
          </cell>
          <cell r="U373" t="str">
            <v>Service</v>
          </cell>
          <cell r="V373" t="str">
            <v>Loyer</v>
          </cell>
          <cell r="W373" t="str">
            <v>$</v>
          </cell>
          <cell r="X373">
            <v>0</v>
          </cell>
        </row>
        <row r="374">
          <cell r="C374">
            <v>2669.85</v>
          </cell>
          <cell r="O374">
            <v>889.95</v>
          </cell>
          <cell r="U374" t="str">
            <v>Service</v>
          </cell>
          <cell r="V374" t="str">
            <v>Assurances</v>
          </cell>
          <cell r="W374" t="str">
            <v>$</v>
          </cell>
          <cell r="X374">
            <v>0</v>
          </cell>
        </row>
        <row r="375">
          <cell r="C375">
            <v>3463.2</v>
          </cell>
          <cell r="O375">
            <v>1154.4000000000001</v>
          </cell>
          <cell r="U375" t="str">
            <v>Service</v>
          </cell>
          <cell r="V375" t="str">
            <v>Taxes foncières</v>
          </cell>
          <cell r="W375" t="str">
            <v>$</v>
          </cell>
          <cell r="X375">
            <v>0</v>
          </cell>
        </row>
        <row r="376">
          <cell r="C376">
            <v>2304</v>
          </cell>
          <cell r="O376">
            <v>768</v>
          </cell>
          <cell r="U376" t="str">
            <v>Service</v>
          </cell>
          <cell r="V376" t="str">
            <v>Taxes d`affaires</v>
          </cell>
          <cell r="W376" t="str">
            <v>$</v>
          </cell>
          <cell r="X376">
            <v>0</v>
          </cell>
        </row>
        <row r="377">
          <cell r="C377">
            <v>4476.3</v>
          </cell>
          <cell r="O377">
            <v>1701.16</v>
          </cell>
          <cell r="U377" t="str">
            <v>Service</v>
          </cell>
          <cell r="V377" t="str">
            <v>Honoraires</v>
          </cell>
          <cell r="W377" t="str">
            <v>$</v>
          </cell>
          <cell r="X377">
            <v>0</v>
          </cell>
        </row>
        <row r="378">
          <cell r="C378">
            <v>-151.66999999999999</v>
          </cell>
          <cell r="O378">
            <v>207</v>
          </cell>
          <cell r="U378" t="str">
            <v>Carrosserie</v>
          </cell>
          <cell r="V378" t="str">
            <v>Service gratuit 2</v>
          </cell>
          <cell r="W378" t="str">
            <v>$</v>
          </cell>
          <cell r="X378">
            <v>0</v>
          </cell>
        </row>
        <row r="379">
          <cell r="C379">
            <v>100.24</v>
          </cell>
          <cell r="O379">
            <v>0.13</v>
          </cell>
          <cell r="U379" t="str">
            <v>Carrosserie</v>
          </cell>
          <cell r="V379" t="str">
            <v>Publicité 2</v>
          </cell>
          <cell r="W379" t="str">
            <v>$</v>
          </cell>
          <cell r="X379">
            <v>0</v>
          </cell>
        </row>
        <row r="380">
          <cell r="C380">
            <v>612.51</v>
          </cell>
          <cell r="O380">
            <v>204.17</v>
          </cell>
          <cell r="U380" t="str">
            <v>Carrosserie</v>
          </cell>
          <cell r="V380" t="str">
            <v>Salaires propriétaire</v>
          </cell>
          <cell r="W380" t="str">
            <v>$</v>
          </cell>
          <cell r="X380">
            <v>0</v>
          </cell>
        </row>
        <row r="381">
          <cell r="C381">
            <v>2427.36</v>
          </cell>
          <cell r="O381">
            <v>809.12</v>
          </cell>
          <cell r="U381" t="str">
            <v>Carrosserie</v>
          </cell>
          <cell r="V381" t="str">
            <v>Salaires cadres</v>
          </cell>
          <cell r="W381" t="str">
            <v>$</v>
          </cell>
          <cell r="X381">
            <v>0</v>
          </cell>
        </row>
        <row r="382">
          <cell r="C382">
            <v>2137.8200000000002</v>
          </cell>
          <cell r="O382">
            <v>526.82000000000005</v>
          </cell>
          <cell r="U382" t="str">
            <v>Carrosserie</v>
          </cell>
          <cell r="V382" t="str">
            <v>Salaires commis</v>
          </cell>
          <cell r="W382" t="str">
            <v>$</v>
          </cell>
          <cell r="X382">
            <v>0</v>
          </cell>
        </row>
        <row r="383">
          <cell r="C383">
            <v>11164.26</v>
          </cell>
          <cell r="O383">
            <v>3668.29</v>
          </cell>
          <cell r="U383" t="str">
            <v>Carrosserie</v>
          </cell>
          <cell r="V383" t="str">
            <v>Salaires autres</v>
          </cell>
          <cell r="W383" t="str">
            <v>$</v>
          </cell>
          <cell r="X383">
            <v>0</v>
          </cell>
        </row>
        <row r="384">
          <cell r="C384">
            <v>8342.39</v>
          </cell>
          <cell r="O384">
            <v>2938.51</v>
          </cell>
          <cell r="U384" t="str">
            <v>Carrosserie</v>
          </cell>
          <cell r="V384" t="str">
            <v>Salaires spécialistes</v>
          </cell>
          <cell r="W384" t="str">
            <v>$</v>
          </cell>
          <cell r="X384">
            <v>0</v>
          </cell>
        </row>
        <row r="385">
          <cell r="C385">
            <v>1927.26</v>
          </cell>
          <cell r="O385">
            <v>178.34</v>
          </cell>
          <cell r="U385" t="str">
            <v>Carrosserie</v>
          </cell>
          <cell r="V385" t="str">
            <v>Salaires en absences</v>
          </cell>
          <cell r="W385" t="str">
            <v>$</v>
          </cell>
          <cell r="X385">
            <v>0</v>
          </cell>
        </row>
        <row r="386">
          <cell r="C386">
            <v>485.35</v>
          </cell>
          <cell r="O386">
            <v>149.15</v>
          </cell>
          <cell r="U386" t="str">
            <v>Carrosserie</v>
          </cell>
          <cell r="V386" t="str">
            <v>Csst</v>
          </cell>
          <cell r="W386" t="str">
            <v>$</v>
          </cell>
          <cell r="X386">
            <v>0</v>
          </cell>
        </row>
        <row r="387">
          <cell r="C387">
            <v>2912.1</v>
          </cell>
          <cell r="O387">
            <v>894.88</v>
          </cell>
          <cell r="U387" t="str">
            <v>Carrosserie</v>
          </cell>
          <cell r="V387" t="str">
            <v>Déduction à la source</v>
          </cell>
          <cell r="W387" t="str">
            <v>$</v>
          </cell>
          <cell r="X387">
            <v>0</v>
          </cell>
        </row>
        <row r="388">
          <cell r="C388">
            <v>2087</v>
          </cell>
          <cell r="O388">
            <v>641.33000000000004</v>
          </cell>
          <cell r="U388" t="str">
            <v>Carrosserie</v>
          </cell>
          <cell r="V388" t="str">
            <v>Bénéfices marginaux</v>
          </cell>
          <cell r="W388" t="str">
            <v>$</v>
          </cell>
          <cell r="X388">
            <v>0</v>
          </cell>
        </row>
        <row r="389">
          <cell r="C389">
            <v>0</v>
          </cell>
          <cell r="O389">
            <v>104.35</v>
          </cell>
          <cell r="U389" t="str">
            <v>Carrosserie</v>
          </cell>
          <cell r="V389" t="str">
            <v>Fournitures autres</v>
          </cell>
          <cell r="W389" t="str">
            <v>$</v>
          </cell>
          <cell r="X389">
            <v>0</v>
          </cell>
        </row>
        <row r="390">
          <cell r="C390">
            <v>18.600000000000001</v>
          </cell>
          <cell r="O390">
            <v>6.2</v>
          </cell>
          <cell r="U390" t="str">
            <v>Carrosserie</v>
          </cell>
          <cell r="V390" t="str">
            <v>Formation</v>
          </cell>
          <cell r="W390" t="str">
            <v>$</v>
          </cell>
          <cell r="X390">
            <v>0</v>
          </cell>
        </row>
        <row r="391">
          <cell r="C391">
            <v>2181.4499999999998</v>
          </cell>
          <cell r="O391">
            <v>903.46</v>
          </cell>
          <cell r="U391" t="str">
            <v>Carrosserie</v>
          </cell>
          <cell r="V391" t="str">
            <v>Frais véhicules de cie</v>
          </cell>
          <cell r="W391" t="str">
            <v>$</v>
          </cell>
          <cell r="X391">
            <v>0</v>
          </cell>
        </row>
        <row r="392">
          <cell r="C392">
            <v>61.35</v>
          </cell>
          <cell r="O392">
            <v>29.36</v>
          </cell>
          <cell r="U392" t="str">
            <v>Carrosserie</v>
          </cell>
          <cell r="V392" t="str">
            <v>Frais postaux</v>
          </cell>
          <cell r="W392" t="str">
            <v>$</v>
          </cell>
          <cell r="X392">
            <v>0</v>
          </cell>
        </row>
        <row r="393">
          <cell r="C393">
            <v>4113.1000000000004</v>
          </cell>
          <cell r="O393">
            <v>1247.3699999999999</v>
          </cell>
          <cell r="U393" t="str">
            <v>Carrosserie</v>
          </cell>
          <cell r="V393" t="str">
            <v>Informatique</v>
          </cell>
          <cell r="W393" t="str">
            <v>$</v>
          </cell>
          <cell r="X393">
            <v>0</v>
          </cell>
        </row>
        <row r="394">
          <cell r="C394">
            <v>250.07</v>
          </cell>
          <cell r="O394">
            <v>107.49</v>
          </cell>
          <cell r="U394" t="str">
            <v>Carrosserie</v>
          </cell>
          <cell r="V394" t="str">
            <v>Papeterie</v>
          </cell>
          <cell r="W394" t="str">
            <v>$</v>
          </cell>
          <cell r="X394">
            <v>0</v>
          </cell>
        </row>
        <row r="395">
          <cell r="C395">
            <v>367.06</v>
          </cell>
          <cell r="O395">
            <v>28.49</v>
          </cell>
          <cell r="U395" t="str">
            <v>Carrosserie</v>
          </cell>
          <cell r="V395" t="str">
            <v>Téléphone</v>
          </cell>
          <cell r="W395" t="str">
            <v>$</v>
          </cell>
          <cell r="X395">
            <v>0</v>
          </cell>
        </row>
        <row r="396">
          <cell r="C396">
            <v>556.41</v>
          </cell>
          <cell r="O396">
            <v>57.76</v>
          </cell>
          <cell r="U396" t="str">
            <v>Carrosserie</v>
          </cell>
          <cell r="V396" t="str">
            <v>Divers</v>
          </cell>
          <cell r="W396" t="str">
            <v>$</v>
          </cell>
          <cell r="X396">
            <v>0</v>
          </cell>
        </row>
        <row r="397">
          <cell r="C397">
            <v>157.97999999999999</v>
          </cell>
          <cell r="O397">
            <v>45.9</v>
          </cell>
          <cell r="U397" t="str">
            <v>Carrosserie</v>
          </cell>
          <cell r="V397" t="str">
            <v>Frais de déplacement</v>
          </cell>
          <cell r="W397" t="str">
            <v>$</v>
          </cell>
          <cell r="X397">
            <v>0</v>
          </cell>
        </row>
        <row r="398">
          <cell r="C398">
            <v>1050.8</v>
          </cell>
          <cell r="O398">
            <v>906.75</v>
          </cell>
          <cell r="U398" t="str">
            <v>Carrosserie</v>
          </cell>
          <cell r="V398" t="str">
            <v>Services extérieurs</v>
          </cell>
          <cell r="W398" t="str">
            <v>$</v>
          </cell>
          <cell r="X398">
            <v>0</v>
          </cell>
        </row>
        <row r="399">
          <cell r="C399">
            <v>1925.07</v>
          </cell>
          <cell r="O399">
            <v>641.69000000000005</v>
          </cell>
          <cell r="U399" t="str">
            <v>Carrosserie</v>
          </cell>
          <cell r="V399" t="str">
            <v>Amortissement</v>
          </cell>
          <cell r="W399" t="str">
            <v>$</v>
          </cell>
          <cell r="X399">
            <v>0</v>
          </cell>
        </row>
        <row r="400">
          <cell r="C400">
            <v>650.87</v>
          </cell>
          <cell r="O400">
            <v>51.71</v>
          </cell>
          <cell r="U400" t="str">
            <v>Carrosserie</v>
          </cell>
          <cell r="V400" t="str">
            <v>Chauffage, éclairage</v>
          </cell>
          <cell r="W400" t="str">
            <v>$</v>
          </cell>
          <cell r="X400">
            <v>0</v>
          </cell>
        </row>
        <row r="401">
          <cell r="C401">
            <v>5460</v>
          </cell>
          <cell r="O401">
            <v>1820</v>
          </cell>
          <cell r="U401" t="str">
            <v>Carrosserie</v>
          </cell>
          <cell r="V401" t="str">
            <v>Loyer</v>
          </cell>
          <cell r="W401" t="str">
            <v>$</v>
          </cell>
          <cell r="X401">
            <v>0</v>
          </cell>
        </row>
        <row r="402">
          <cell r="C402">
            <v>778.71</v>
          </cell>
          <cell r="O402">
            <v>259.57</v>
          </cell>
          <cell r="U402" t="str">
            <v>Carrosserie</v>
          </cell>
          <cell r="V402" t="str">
            <v>Assurances</v>
          </cell>
          <cell r="W402" t="str">
            <v>$</v>
          </cell>
          <cell r="X402">
            <v>0</v>
          </cell>
        </row>
        <row r="403">
          <cell r="C403">
            <v>1010.1</v>
          </cell>
          <cell r="O403">
            <v>336.7</v>
          </cell>
          <cell r="U403" t="str">
            <v>Carrosserie</v>
          </cell>
          <cell r="V403" t="str">
            <v>Taxes foncières</v>
          </cell>
          <cell r="W403" t="str">
            <v>$</v>
          </cell>
          <cell r="X403">
            <v>0</v>
          </cell>
        </row>
        <row r="404">
          <cell r="C404">
            <v>672</v>
          </cell>
          <cell r="O404">
            <v>224</v>
          </cell>
          <cell r="U404" t="str">
            <v>Carrosserie</v>
          </cell>
          <cell r="V404" t="str">
            <v>Taxes d`affaires</v>
          </cell>
          <cell r="W404" t="str">
            <v>$</v>
          </cell>
          <cell r="X404">
            <v>0</v>
          </cell>
        </row>
        <row r="405">
          <cell r="C405">
            <v>1305.5999999999999</v>
          </cell>
          <cell r="O405">
            <v>496.18</v>
          </cell>
          <cell r="U405" t="str">
            <v>Carrosserie</v>
          </cell>
          <cell r="V405" t="str">
            <v>Honoraires</v>
          </cell>
          <cell r="W405" t="str">
            <v>$</v>
          </cell>
          <cell r="X405">
            <v>0</v>
          </cell>
        </row>
        <row r="406">
          <cell r="C406">
            <v>246.23</v>
          </cell>
          <cell r="O406">
            <v>100</v>
          </cell>
          <cell r="U406" t="str">
            <v>Pièces</v>
          </cell>
          <cell r="V406" t="str">
            <v>Service gratuit 2</v>
          </cell>
          <cell r="W406" t="str">
            <v>$</v>
          </cell>
          <cell r="X406">
            <v>0</v>
          </cell>
        </row>
        <row r="407">
          <cell r="C407">
            <v>15905.63</v>
          </cell>
          <cell r="O407">
            <v>-801.71</v>
          </cell>
          <cell r="U407" t="str">
            <v>Pièces</v>
          </cell>
          <cell r="V407" t="str">
            <v>Publicité 2</v>
          </cell>
          <cell r="W407" t="str">
            <v>$</v>
          </cell>
          <cell r="X407">
            <v>0</v>
          </cell>
        </row>
        <row r="408">
          <cell r="C408">
            <v>2187.5100000000002</v>
          </cell>
          <cell r="O408">
            <v>729.17</v>
          </cell>
          <cell r="U408" t="str">
            <v>Pièces</v>
          </cell>
          <cell r="V408" t="str">
            <v>Salaires propriétaire</v>
          </cell>
          <cell r="W408" t="str">
            <v>$</v>
          </cell>
          <cell r="X408">
            <v>0</v>
          </cell>
        </row>
        <row r="409">
          <cell r="C409">
            <v>18719</v>
          </cell>
          <cell r="O409">
            <v>5310.49</v>
          </cell>
          <cell r="U409" t="str">
            <v>Pièces</v>
          </cell>
          <cell r="V409" t="str">
            <v>Salaires cadres</v>
          </cell>
          <cell r="W409" t="str">
            <v>$</v>
          </cell>
          <cell r="X409">
            <v>0</v>
          </cell>
        </row>
        <row r="410">
          <cell r="C410">
            <v>11687.6</v>
          </cell>
          <cell r="O410">
            <v>4214.5</v>
          </cell>
          <cell r="U410" t="str">
            <v>Pièces</v>
          </cell>
          <cell r="V410" t="str">
            <v>Salaires commis</v>
          </cell>
          <cell r="W410" t="str">
            <v>$</v>
          </cell>
          <cell r="X410">
            <v>0</v>
          </cell>
        </row>
        <row r="411">
          <cell r="C411">
            <v>57320.12</v>
          </cell>
          <cell r="O411">
            <v>20961.07</v>
          </cell>
          <cell r="U411" t="str">
            <v>Pièces</v>
          </cell>
          <cell r="V411" t="str">
            <v>Salaires autres</v>
          </cell>
          <cell r="W411" t="str">
            <v>$</v>
          </cell>
          <cell r="X411">
            <v>0</v>
          </cell>
        </row>
        <row r="412">
          <cell r="C412">
            <v>9056.9500000000007</v>
          </cell>
          <cell r="O412">
            <v>2604.2199999999998</v>
          </cell>
          <cell r="U412" t="str">
            <v>Pièces</v>
          </cell>
          <cell r="V412" t="str">
            <v>Salaires en absences</v>
          </cell>
          <cell r="W412" t="str">
            <v>$</v>
          </cell>
          <cell r="X412">
            <v>0</v>
          </cell>
        </row>
        <row r="413">
          <cell r="C413">
            <v>-10216.879999999999</v>
          </cell>
          <cell r="O413">
            <v>-4299.72</v>
          </cell>
          <cell r="U413" t="str">
            <v>Pièces</v>
          </cell>
          <cell r="V413" t="str">
            <v>Csst</v>
          </cell>
          <cell r="W413" t="str">
            <v>$</v>
          </cell>
          <cell r="X413">
            <v>0</v>
          </cell>
        </row>
        <row r="414">
          <cell r="C414">
            <v>24090.33</v>
          </cell>
          <cell r="O414">
            <v>8329.09</v>
          </cell>
          <cell r="U414" t="str">
            <v>Pièces</v>
          </cell>
          <cell r="V414" t="str">
            <v>Csst</v>
          </cell>
          <cell r="W414" t="str">
            <v>$</v>
          </cell>
          <cell r="X414">
            <v>0</v>
          </cell>
        </row>
        <row r="415">
          <cell r="C415">
            <v>115.87</v>
          </cell>
          <cell r="O415">
            <v>47.62</v>
          </cell>
          <cell r="U415" t="str">
            <v>Pièces</v>
          </cell>
          <cell r="V415" t="str">
            <v>Déduction à la source</v>
          </cell>
          <cell r="W415" t="str">
            <v>$</v>
          </cell>
          <cell r="X415">
            <v>0</v>
          </cell>
        </row>
        <row r="416">
          <cell r="C416">
            <v>7624.96</v>
          </cell>
          <cell r="O416">
            <v>2504.44</v>
          </cell>
          <cell r="U416" t="str">
            <v>Pièces</v>
          </cell>
          <cell r="V416" t="str">
            <v>Bénéfices marginaux</v>
          </cell>
          <cell r="W416" t="str">
            <v>$</v>
          </cell>
          <cell r="X416">
            <v>0</v>
          </cell>
        </row>
        <row r="417">
          <cell r="C417">
            <v>164.65</v>
          </cell>
          <cell r="O417">
            <v>805.11</v>
          </cell>
          <cell r="U417" t="str">
            <v>Pièces</v>
          </cell>
          <cell r="V417" t="str">
            <v>Fournitures autres</v>
          </cell>
          <cell r="W417" t="str">
            <v>$</v>
          </cell>
          <cell r="X417">
            <v>0</v>
          </cell>
        </row>
        <row r="418">
          <cell r="C418">
            <v>66.42</v>
          </cell>
          <cell r="O418">
            <v>22.14</v>
          </cell>
          <cell r="U418" t="str">
            <v>Pièces</v>
          </cell>
          <cell r="V418" t="str">
            <v>Formation</v>
          </cell>
          <cell r="W418" t="str">
            <v>$</v>
          </cell>
          <cell r="X418">
            <v>0</v>
          </cell>
        </row>
        <row r="419">
          <cell r="C419">
            <v>842.2</v>
          </cell>
          <cell r="O419">
            <v>260.42</v>
          </cell>
          <cell r="U419" t="str">
            <v>Pièces</v>
          </cell>
          <cell r="V419" t="str">
            <v>Frais véhicules de cie</v>
          </cell>
          <cell r="W419" t="str">
            <v>$</v>
          </cell>
          <cell r="X419">
            <v>0</v>
          </cell>
        </row>
        <row r="420">
          <cell r="C420">
            <v>58.74</v>
          </cell>
          <cell r="O420">
            <v>-1.74</v>
          </cell>
          <cell r="U420" t="str">
            <v>Pièces</v>
          </cell>
          <cell r="V420" t="str">
            <v>Frais postaux</v>
          </cell>
          <cell r="W420" t="str">
            <v>$</v>
          </cell>
          <cell r="X420">
            <v>0</v>
          </cell>
        </row>
        <row r="421">
          <cell r="C421">
            <v>11470.04</v>
          </cell>
          <cell r="O421">
            <v>3274.73</v>
          </cell>
          <cell r="U421" t="str">
            <v>Pièces</v>
          </cell>
          <cell r="V421" t="str">
            <v>Informatique</v>
          </cell>
          <cell r="W421" t="str">
            <v>$</v>
          </cell>
          <cell r="X421">
            <v>0</v>
          </cell>
        </row>
        <row r="422">
          <cell r="C422">
            <v>1122.56</v>
          </cell>
          <cell r="O422">
            <v>383.79</v>
          </cell>
          <cell r="U422" t="str">
            <v>Pièces</v>
          </cell>
          <cell r="V422" t="str">
            <v>Papeterie</v>
          </cell>
          <cell r="W422" t="str">
            <v>$</v>
          </cell>
          <cell r="X422">
            <v>0</v>
          </cell>
        </row>
        <row r="423">
          <cell r="C423">
            <v>704.21</v>
          </cell>
          <cell r="O423">
            <v>101.74</v>
          </cell>
          <cell r="U423" t="str">
            <v>Pièces</v>
          </cell>
          <cell r="V423" t="str">
            <v>Téléphone</v>
          </cell>
          <cell r="W423" t="str">
            <v>$</v>
          </cell>
          <cell r="X423">
            <v>0</v>
          </cell>
        </row>
        <row r="424">
          <cell r="C424">
            <v>1987.23</v>
          </cell>
          <cell r="O424">
            <v>206.28</v>
          </cell>
          <cell r="U424" t="str">
            <v>Pièces</v>
          </cell>
          <cell r="V424" t="str">
            <v>Divers</v>
          </cell>
          <cell r="W424" t="str">
            <v>$</v>
          </cell>
          <cell r="X424">
            <v>0</v>
          </cell>
        </row>
        <row r="425">
          <cell r="C425">
            <v>564.14</v>
          </cell>
          <cell r="O425">
            <v>163.91</v>
          </cell>
          <cell r="U425" t="str">
            <v>Pièces</v>
          </cell>
          <cell r="V425" t="str">
            <v>Frais de déplacement</v>
          </cell>
          <cell r="W425" t="str">
            <v>$</v>
          </cell>
          <cell r="X425">
            <v>0</v>
          </cell>
        </row>
        <row r="426">
          <cell r="C426">
            <v>17242.099999999999</v>
          </cell>
          <cell r="O426">
            <v>7116.18</v>
          </cell>
          <cell r="U426" t="str">
            <v>Pièces</v>
          </cell>
          <cell r="V426" t="str">
            <v>Services extérieurs</v>
          </cell>
          <cell r="W426" t="str">
            <v>$</v>
          </cell>
          <cell r="X426">
            <v>0</v>
          </cell>
        </row>
        <row r="427">
          <cell r="C427">
            <v>6875.25</v>
          </cell>
          <cell r="O427">
            <v>2291.75</v>
          </cell>
          <cell r="U427" t="str">
            <v>Pièces</v>
          </cell>
          <cell r="V427" t="str">
            <v>Amortissement</v>
          </cell>
          <cell r="W427" t="str">
            <v>$</v>
          </cell>
          <cell r="X427">
            <v>0</v>
          </cell>
        </row>
        <row r="428">
          <cell r="C428">
            <v>2324.63</v>
          </cell>
          <cell r="O428">
            <v>184.7</v>
          </cell>
          <cell r="U428" t="str">
            <v>Pièces</v>
          </cell>
          <cell r="V428" t="str">
            <v>Chauffage, éclairage</v>
          </cell>
          <cell r="W428" t="str">
            <v>$</v>
          </cell>
          <cell r="X428">
            <v>0</v>
          </cell>
        </row>
        <row r="429">
          <cell r="C429">
            <v>19500</v>
          </cell>
          <cell r="O429">
            <v>6500</v>
          </cell>
          <cell r="U429" t="str">
            <v>Pièces</v>
          </cell>
          <cell r="V429" t="str">
            <v>Loyer</v>
          </cell>
          <cell r="W429" t="str">
            <v>$</v>
          </cell>
          <cell r="X429">
            <v>0</v>
          </cell>
        </row>
        <row r="430">
          <cell r="C430">
            <v>2781.06</v>
          </cell>
          <cell r="O430">
            <v>927.02</v>
          </cell>
          <cell r="U430" t="str">
            <v>Pièces</v>
          </cell>
          <cell r="V430" t="str">
            <v>Assurances</v>
          </cell>
          <cell r="W430" t="str">
            <v>$</v>
          </cell>
          <cell r="X430">
            <v>0</v>
          </cell>
        </row>
        <row r="431">
          <cell r="C431">
            <v>3607.5</v>
          </cell>
          <cell r="O431">
            <v>1202.5</v>
          </cell>
          <cell r="U431" t="str">
            <v>Pièces</v>
          </cell>
          <cell r="V431" t="str">
            <v>Taxes foncières</v>
          </cell>
          <cell r="W431" t="str">
            <v>$</v>
          </cell>
          <cell r="X431">
            <v>0</v>
          </cell>
        </row>
        <row r="432">
          <cell r="C432">
            <v>2400</v>
          </cell>
          <cell r="O432">
            <v>800</v>
          </cell>
          <cell r="U432" t="str">
            <v>Pièces</v>
          </cell>
          <cell r="V432" t="str">
            <v>Taxes d`affaires</v>
          </cell>
          <cell r="W432" t="str">
            <v>$</v>
          </cell>
          <cell r="X432">
            <v>0</v>
          </cell>
        </row>
        <row r="433">
          <cell r="C433">
            <v>4662.8</v>
          </cell>
          <cell r="O433">
            <v>1772.02</v>
          </cell>
          <cell r="U433" t="str">
            <v>Pièces</v>
          </cell>
          <cell r="V433" t="str">
            <v>Honoraires</v>
          </cell>
          <cell r="W433" t="str">
            <v>$</v>
          </cell>
          <cell r="X433">
            <v>0</v>
          </cell>
        </row>
        <row r="434">
          <cell r="C434">
            <v>-229570</v>
          </cell>
          <cell r="O434">
            <v>-64999</v>
          </cell>
          <cell r="U434" t="str">
            <v>Véhicules neufs</v>
          </cell>
          <cell r="V434" t="str">
            <v>Holdbacks</v>
          </cell>
          <cell r="W434" t="str">
            <v>$</v>
          </cell>
          <cell r="X434">
            <v>0</v>
          </cell>
        </row>
        <row r="435">
          <cell r="C435">
            <v>-12323.31</v>
          </cell>
          <cell r="O435">
            <v>-9375.93</v>
          </cell>
          <cell r="U435" t="str">
            <v>Pièces</v>
          </cell>
          <cell r="V435" t="str">
            <v>Escomptes</v>
          </cell>
          <cell r="W435" t="str">
            <v>$</v>
          </cell>
          <cell r="X435">
            <v>0</v>
          </cell>
        </row>
        <row r="436">
          <cell r="C436">
            <v>-65776.52</v>
          </cell>
          <cell r="O436">
            <v>0</v>
          </cell>
          <cell r="U436" t="str">
            <v>Véhicules neufs</v>
          </cell>
          <cell r="V436" t="str">
            <v>Programme neuf 1</v>
          </cell>
          <cell r="W436" t="str">
            <v>$</v>
          </cell>
          <cell r="X436">
            <v>0</v>
          </cell>
        </row>
        <row r="437">
          <cell r="C437">
            <v>1085.02</v>
          </cell>
          <cell r="O437">
            <v>-6390.5</v>
          </cell>
          <cell r="U437" t="str">
            <v>Véhicules neufs</v>
          </cell>
          <cell r="V437" t="str">
            <v>Rev. Finances</v>
          </cell>
          <cell r="W437" t="str">
            <v>$</v>
          </cell>
          <cell r="X437">
            <v>0</v>
          </cell>
        </row>
        <row r="438">
          <cell r="C438">
            <v>-44130.95</v>
          </cell>
          <cell r="O438">
            <v>-21420.33</v>
          </cell>
          <cell r="U438" t="str">
            <v>Véhicules usagés</v>
          </cell>
          <cell r="V438" t="str">
            <v>Rev. Finances</v>
          </cell>
          <cell r="W438" t="str">
            <v>$</v>
          </cell>
          <cell r="X438">
            <v>0</v>
          </cell>
        </row>
        <row r="439">
          <cell r="C439">
            <v>-3835.78</v>
          </cell>
          <cell r="O439">
            <v>-982.71</v>
          </cell>
          <cell r="U439" t="str">
            <v>Véhicules neufs</v>
          </cell>
          <cell r="V439" t="str">
            <v>Rev. Autres</v>
          </cell>
          <cell r="W439" t="str">
            <v>$</v>
          </cell>
          <cell r="X439">
            <v>0</v>
          </cell>
        </row>
        <row r="440">
          <cell r="C440">
            <v>-4747.49</v>
          </cell>
          <cell r="O440">
            <v>-202.38</v>
          </cell>
          <cell r="U440" t="str">
            <v>Véhicules usagés</v>
          </cell>
          <cell r="V440" t="str">
            <v>Rev. Autres</v>
          </cell>
          <cell r="W440" t="str">
            <v>$</v>
          </cell>
          <cell r="X440">
            <v>0</v>
          </cell>
        </row>
        <row r="441">
          <cell r="C441">
            <v>-18442</v>
          </cell>
          <cell r="O441">
            <v>-5612</v>
          </cell>
          <cell r="U441" t="str">
            <v>Véhicules neufs</v>
          </cell>
          <cell r="V441" t="str">
            <v>Rev. Protections</v>
          </cell>
          <cell r="W441" t="str">
            <v>$</v>
          </cell>
          <cell r="X441">
            <v>0</v>
          </cell>
        </row>
        <row r="442">
          <cell r="C442">
            <v>-81734.17</v>
          </cell>
          <cell r="O442">
            <v>-46310.28</v>
          </cell>
          <cell r="U442" t="str">
            <v>Véhicules neufs</v>
          </cell>
          <cell r="V442" t="str">
            <v>Rev. Protections</v>
          </cell>
          <cell r="W442" t="str">
            <v>$</v>
          </cell>
          <cell r="X442">
            <v>0</v>
          </cell>
        </row>
        <row r="443">
          <cell r="C443">
            <v>-62774</v>
          </cell>
          <cell r="O443">
            <v>-25445.919999999998</v>
          </cell>
          <cell r="U443" t="str">
            <v>Véhicules usagés</v>
          </cell>
          <cell r="V443" t="str">
            <v>Rev. Protections</v>
          </cell>
          <cell r="W443" t="str">
            <v>$</v>
          </cell>
          <cell r="X443">
            <v>0</v>
          </cell>
        </row>
        <row r="444">
          <cell r="C444">
            <v>-32610.93</v>
          </cell>
          <cell r="O444">
            <v>-14813.7</v>
          </cell>
          <cell r="U444" t="str">
            <v>Véhicules usagés</v>
          </cell>
          <cell r="V444" t="str">
            <v>Rev. Protections</v>
          </cell>
          <cell r="W444" t="str">
            <v>$</v>
          </cell>
          <cell r="X444">
            <v>0</v>
          </cell>
        </row>
        <row r="445">
          <cell r="C445">
            <v>-72714.7</v>
          </cell>
          <cell r="O445">
            <v>-32672</v>
          </cell>
          <cell r="U445" t="str">
            <v>Véhicules neufs</v>
          </cell>
          <cell r="V445" t="str">
            <v>Frais administration</v>
          </cell>
          <cell r="W445" t="str">
            <v>$</v>
          </cell>
          <cell r="X445">
            <v>0</v>
          </cell>
        </row>
        <row r="446">
          <cell r="C446">
            <v>-138908.82</v>
          </cell>
          <cell r="O446">
            <v>-11744.24</v>
          </cell>
          <cell r="U446" t="str">
            <v>TOTAL  DES  REVENUS  ET  DÉPENSES</v>
          </cell>
          <cell r="V446" t="str">
            <v>Revenus autres</v>
          </cell>
          <cell r="W446" t="str">
            <v>$</v>
          </cell>
          <cell r="X446">
            <v>0</v>
          </cell>
        </row>
        <row r="447">
          <cell r="C447">
            <v>1195.02</v>
          </cell>
          <cell r="O447">
            <v>398.34</v>
          </cell>
          <cell r="U447" t="str">
            <v>TOTAL  DES  REVENUS  ET  DÉPENSES</v>
          </cell>
          <cell r="V447" t="str">
            <v>Intérêts sur prêt</v>
          </cell>
          <cell r="W447" t="str">
            <v>$</v>
          </cell>
          <cell r="X447">
            <v>0</v>
          </cell>
        </row>
        <row r="448">
          <cell r="C448">
            <v>-3716.23</v>
          </cell>
          <cell r="O448">
            <v>-2045.53</v>
          </cell>
          <cell r="U448" t="str">
            <v>TOTAL  DES  REVENUS  ET  DÉPENSES</v>
          </cell>
          <cell r="V448" t="str">
            <v>Intérêts sur marge</v>
          </cell>
          <cell r="W448" t="str">
            <v>$</v>
          </cell>
          <cell r="X448">
            <v>0</v>
          </cell>
        </row>
        <row r="449">
          <cell r="C449">
            <v>516.75</v>
          </cell>
          <cell r="O449">
            <v>172.25</v>
          </cell>
          <cell r="U449" t="str">
            <v>TOTAL  DES  REVENUS  ET  DÉPENSES</v>
          </cell>
          <cell r="V449" t="str">
            <v>Intérêts sur prêt</v>
          </cell>
          <cell r="W449" t="str">
            <v>$</v>
          </cell>
          <cell r="X449">
            <v>0</v>
          </cell>
        </row>
        <row r="450">
          <cell r="C450">
            <v>16245.33</v>
          </cell>
          <cell r="O450">
            <v>9015.2999999999993</v>
          </cell>
          <cell r="U450" t="str">
            <v>Véhicules neufs</v>
          </cell>
          <cell r="V450" t="str">
            <v>Frais bancaires</v>
          </cell>
          <cell r="W450" t="str">
            <v>$</v>
          </cell>
          <cell r="X450">
            <v>0</v>
          </cell>
        </row>
        <row r="451">
          <cell r="O451">
            <v>0</v>
          </cell>
          <cell r="U451" t="e">
            <v>#N/A</v>
          </cell>
          <cell r="V451" t="e">
            <v>#N/A</v>
          </cell>
          <cell r="W451" t="e">
            <v>#N/A</v>
          </cell>
          <cell r="X451" t="e">
            <v>#N/A</v>
          </cell>
        </row>
        <row r="452">
          <cell r="O452">
            <v>0</v>
          </cell>
          <cell r="U452" t="e">
            <v>#N/A</v>
          </cell>
          <cell r="V452" t="e">
            <v>#N/A</v>
          </cell>
          <cell r="W452" t="e">
            <v>#N/A</v>
          </cell>
          <cell r="X452" t="e">
            <v>#N/A</v>
          </cell>
        </row>
        <row r="453">
          <cell r="O453">
            <v>0</v>
          </cell>
          <cell r="U453" t="e">
            <v>#N/A</v>
          </cell>
          <cell r="V453" t="e">
            <v>#N/A</v>
          </cell>
          <cell r="W453" t="e">
            <v>#N/A</v>
          </cell>
          <cell r="X453" t="e">
            <v>#N/A</v>
          </cell>
        </row>
        <row r="454">
          <cell r="O454">
            <v>0</v>
          </cell>
          <cell r="U454" t="e">
            <v>#N/A</v>
          </cell>
          <cell r="V454" t="e">
            <v>#N/A</v>
          </cell>
          <cell r="W454" t="e">
            <v>#N/A</v>
          </cell>
          <cell r="X454" t="e">
            <v>#N/A</v>
          </cell>
        </row>
        <row r="455">
          <cell r="O455">
            <v>0</v>
          </cell>
          <cell r="U455" t="e">
            <v>#N/A</v>
          </cell>
          <cell r="V455" t="e">
            <v>#N/A</v>
          </cell>
          <cell r="W455" t="e">
            <v>#N/A</v>
          </cell>
          <cell r="X455" t="e">
            <v>#N/A</v>
          </cell>
        </row>
        <row r="456">
          <cell r="O456">
            <v>0</v>
          </cell>
          <cell r="U456" t="e">
            <v>#N/A</v>
          </cell>
          <cell r="V456" t="e">
            <v>#N/A</v>
          </cell>
          <cell r="W456" t="e">
            <v>#N/A</v>
          </cell>
          <cell r="X456" t="e">
            <v>#N/A</v>
          </cell>
        </row>
        <row r="457">
          <cell r="O457">
            <v>0</v>
          </cell>
          <cell r="U457" t="e">
            <v>#N/A</v>
          </cell>
          <cell r="V457" t="e">
            <v>#N/A</v>
          </cell>
          <cell r="W457" t="e">
            <v>#N/A</v>
          </cell>
          <cell r="X457" t="e">
            <v>#N/A</v>
          </cell>
        </row>
        <row r="458">
          <cell r="O458">
            <v>0</v>
          </cell>
          <cell r="U458" t="e">
            <v>#N/A</v>
          </cell>
          <cell r="V458" t="e">
            <v>#N/A</v>
          </cell>
          <cell r="W458" t="e">
            <v>#N/A</v>
          </cell>
          <cell r="X458" t="e">
            <v>#N/A</v>
          </cell>
        </row>
        <row r="459">
          <cell r="O459">
            <v>0</v>
          </cell>
          <cell r="U459" t="e">
            <v>#N/A</v>
          </cell>
          <cell r="V459" t="e">
            <v>#N/A</v>
          </cell>
          <cell r="W459" t="e">
            <v>#N/A</v>
          </cell>
          <cell r="X459" t="e">
            <v>#N/A</v>
          </cell>
        </row>
        <row r="460">
          <cell r="O460">
            <v>0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</row>
        <row r="461">
          <cell r="O461">
            <v>0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</row>
        <row r="462">
          <cell r="O462">
            <v>0</v>
          </cell>
          <cell r="U462" t="e">
            <v>#N/A</v>
          </cell>
          <cell r="V462" t="e">
            <v>#N/A</v>
          </cell>
          <cell r="W462" t="e">
            <v>#N/A</v>
          </cell>
          <cell r="X462" t="e">
            <v>#N/A</v>
          </cell>
        </row>
        <row r="463">
          <cell r="O463">
            <v>0</v>
          </cell>
          <cell r="U463" t="e">
            <v>#N/A</v>
          </cell>
          <cell r="V463" t="e">
            <v>#N/A</v>
          </cell>
          <cell r="W463" t="e">
            <v>#N/A</v>
          </cell>
          <cell r="X463" t="e">
            <v>#N/A</v>
          </cell>
        </row>
        <row r="464">
          <cell r="O464">
            <v>0</v>
          </cell>
          <cell r="U464" t="e">
            <v>#N/A</v>
          </cell>
          <cell r="V464" t="e">
            <v>#N/A</v>
          </cell>
          <cell r="W464" t="e">
            <v>#N/A</v>
          </cell>
          <cell r="X464" t="e">
            <v>#N/A</v>
          </cell>
        </row>
        <row r="465">
          <cell r="O465">
            <v>0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</row>
        <row r="466">
          <cell r="O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</row>
        <row r="467">
          <cell r="O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str">
            <v>Intérêts sur prêt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  <cell r="X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  <cell r="X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  <cell r="X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  <cell r="X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  <cell r="X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  <cell r="X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  <cell r="X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  <cell r="X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  <cell r="X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  <cell r="X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  <cell r="X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  <cell r="X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  <cell r="X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  <cell r="X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  <cell r="X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  <cell r="X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  <cell r="X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  <cell r="X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  <cell r="X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  <cell r="X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  <cell r="X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  <cell r="X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  <cell r="X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  <cell r="X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  <cell r="X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  <cell r="X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  <cell r="X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  <cell r="X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  <cell r="X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  <cell r="X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  <cell r="X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  <cell r="X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  <cell r="X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  <cell r="X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  <cell r="X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  <cell r="X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  <cell r="X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  <cell r="X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  <cell r="X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  <cell r="X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  <cell r="X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  <cell r="X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  <cell r="X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  <cell r="X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  <cell r="X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  <cell r="X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  <cell r="X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  <cell r="X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  <cell r="X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  <cell r="X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  <cell r="X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  <cell r="X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  <cell r="X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  <cell r="X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  <cell r="X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  <cell r="X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  <cell r="X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  <cell r="X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  <cell r="X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  <cell r="X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  <cell r="X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  <cell r="X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  <cell r="X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  <cell r="X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  <cell r="X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  <cell r="X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  <cell r="X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  <cell r="X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  <cell r="X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  <cell r="X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  <cell r="X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  <cell r="X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  <cell r="X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  <cell r="X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  <cell r="X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  <cell r="X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  <cell r="X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  <cell r="X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  <cell r="X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  <cell r="X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  <cell r="X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  <cell r="X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  <cell r="X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  <cell r="X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  <cell r="X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  <cell r="X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  <cell r="X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  <cell r="X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  <cell r="X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  <cell r="X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  <cell r="X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  <cell r="X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  <cell r="X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  <cell r="X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  <cell r="X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  <cell r="X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  <cell r="X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  <cell r="X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  <cell r="X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  <cell r="X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  <cell r="X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  <cell r="X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  <cell r="X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  <cell r="X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  <cell r="X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  <cell r="X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  <cell r="X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  <cell r="X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  <cell r="X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  <cell r="X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  <cell r="X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  <cell r="X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  <cell r="X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  <cell r="X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  <cell r="X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  <cell r="X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  <cell r="X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  <cell r="X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  <cell r="X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  <cell r="X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  <cell r="X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  <cell r="X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  <cell r="X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  <cell r="X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  <cell r="X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  <cell r="X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  <cell r="X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  <cell r="X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  <cell r="X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  <cell r="X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  <cell r="X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  <cell r="X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  <cell r="X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  <cell r="X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  <cell r="X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  <cell r="X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  <cell r="X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  <cell r="X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  <cell r="X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  <cell r="X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  <cell r="X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  <cell r="X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  <cell r="X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  <cell r="X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  <cell r="X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  <cell r="X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  <cell r="X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  <cell r="X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  <cell r="X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  <cell r="X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  <cell r="X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  <cell r="X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  <cell r="X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  <cell r="X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  <cell r="X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  <cell r="X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  <cell r="X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  <cell r="X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  <cell r="X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  <cell r="X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  <cell r="X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  <cell r="X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  <cell r="X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  <cell r="X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  <cell r="X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  <cell r="X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  <cell r="X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  <cell r="X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  <cell r="X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  <cell r="X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  <cell r="X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  <cell r="X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  <cell r="X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  <cell r="X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  <cell r="X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  <cell r="X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  <cell r="X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  <cell r="X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  <cell r="X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  <cell r="X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  <cell r="X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  <cell r="X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  <cell r="X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  <cell r="X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  <cell r="X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  <cell r="X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  <cell r="X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  <cell r="X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  <cell r="X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  <cell r="X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  <cell r="X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  <cell r="X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  <cell r="X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  <cell r="X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  <cell r="X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  <cell r="X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  <cell r="X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  <cell r="X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  <cell r="X1054" t="e">
            <v>#N/A</v>
          </cell>
        </row>
      </sheetData>
      <sheetData sheetId="8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102917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3.21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37.14</v>
          </cell>
          <cell r="U7">
            <v>0</v>
          </cell>
          <cell r="V7">
            <v>0</v>
          </cell>
          <cell r="W7" t="str">
            <v>$</v>
          </cell>
          <cell r="X7">
            <v>0</v>
          </cell>
        </row>
        <row r="8">
          <cell r="O8">
            <v>23.76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22.9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26.4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1305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582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404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17448.8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42147.32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37500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16516.41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24886.29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20813.27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14671.81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 t="e">
            <v>#N/A</v>
          </cell>
          <cell r="V27" t="e">
            <v>#N/A</v>
          </cell>
          <cell r="W27" t="e">
            <v>#N/A</v>
          </cell>
          <cell r="X27" t="e">
            <v>#N/A</v>
          </cell>
        </row>
        <row r="28">
          <cell r="O28">
            <v>0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</row>
        <row r="29">
          <cell r="O29">
            <v>0.06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124896.86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0.84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0.39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 t="str">
            <v>$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C71">
            <v>1534966.04</v>
          </cell>
          <cell r="O71">
            <v>-853397.63</v>
          </cell>
          <cell r="U71" t="str">
            <v>Bilan</v>
          </cell>
          <cell r="V71" t="str">
            <v>Encaisse</v>
          </cell>
          <cell r="W71" t="str">
            <v>$</v>
          </cell>
          <cell r="X71">
            <v>0</v>
          </cell>
        </row>
        <row r="72">
          <cell r="C72">
            <v>150</v>
          </cell>
          <cell r="O72">
            <v>0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1664625.77</v>
          </cell>
          <cell r="O73">
            <v>624487.42000000004</v>
          </cell>
          <cell r="U73" t="str">
            <v>Bilan</v>
          </cell>
          <cell r="V73" t="str">
            <v>Recevables Contrats en Transit</v>
          </cell>
          <cell r="W73" t="str">
            <v>$</v>
          </cell>
          <cell r="X73">
            <v>0</v>
          </cell>
        </row>
        <row r="74">
          <cell r="C74">
            <v>35031.21</v>
          </cell>
          <cell r="O74">
            <v>57977.95</v>
          </cell>
          <cell r="U74" t="str">
            <v>Bilan</v>
          </cell>
          <cell r="V74" t="str">
            <v>Recevables Véhicules</v>
          </cell>
          <cell r="W74" t="str">
            <v>$</v>
          </cell>
          <cell r="X74">
            <v>0</v>
          </cell>
        </row>
        <row r="75">
          <cell r="C75">
            <v>-6335.24</v>
          </cell>
          <cell r="O75">
            <v>-44313.36</v>
          </cell>
          <cell r="U75" t="str">
            <v>Bilan</v>
          </cell>
          <cell r="V75" t="str">
            <v>Recevables Véhicules</v>
          </cell>
          <cell r="W75" t="str">
            <v>$</v>
          </cell>
          <cell r="X75">
            <v>0</v>
          </cell>
        </row>
        <row r="76">
          <cell r="C76">
            <v>81723.839999999997</v>
          </cell>
          <cell r="O76">
            <v>-5071.66</v>
          </cell>
          <cell r="U76" t="str">
            <v>Bilan</v>
          </cell>
          <cell r="V76" t="str">
            <v>Recevables Pièces et Service</v>
          </cell>
          <cell r="W76" t="str">
            <v>$</v>
          </cell>
          <cell r="X76">
            <v>0</v>
          </cell>
        </row>
        <row r="77">
          <cell r="C77">
            <v>88466.29</v>
          </cell>
          <cell r="O77">
            <v>-24091.48</v>
          </cell>
          <cell r="U77" t="str">
            <v>Bilan</v>
          </cell>
          <cell r="V77" t="str">
            <v>Recevables Carrosserie</v>
          </cell>
          <cell r="W77" t="str">
            <v>$</v>
          </cell>
          <cell r="X77">
            <v>0</v>
          </cell>
        </row>
        <row r="78">
          <cell r="C78">
            <v>240499</v>
          </cell>
          <cell r="O78">
            <v>157117</v>
          </cell>
          <cell r="U78" t="str">
            <v>Bilan</v>
          </cell>
          <cell r="V78" t="str">
            <v>Recevables Manufacturier</v>
          </cell>
          <cell r="W78" t="str">
            <v>$</v>
          </cell>
          <cell r="X78">
            <v>0</v>
          </cell>
        </row>
        <row r="79">
          <cell r="C79">
            <v>160490.65</v>
          </cell>
          <cell r="O79">
            <v>-73689.7</v>
          </cell>
          <cell r="U79" t="str">
            <v>Bilan</v>
          </cell>
          <cell r="V79" t="str">
            <v>Recevables Garantie Manufacturier</v>
          </cell>
          <cell r="W79" t="str">
            <v>$</v>
          </cell>
          <cell r="X79">
            <v>0</v>
          </cell>
        </row>
        <row r="80">
          <cell r="C80">
            <v>11754.36</v>
          </cell>
          <cell r="O80">
            <v>12591.95</v>
          </cell>
          <cell r="U80" t="str">
            <v>Bilan</v>
          </cell>
          <cell r="V80" t="str">
            <v>recevables Autres</v>
          </cell>
          <cell r="W80" t="str">
            <v>$</v>
          </cell>
          <cell r="X80">
            <v>0</v>
          </cell>
        </row>
        <row r="81">
          <cell r="C81">
            <v>121171.81</v>
          </cell>
          <cell r="O81">
            <v>27498</v>
          </cell>
          <cell r="U81" t="str">
            <v>Bilan</v>
          </cell>
          <cell r="V81" t="str">
            <v>Recevables Manufacturier</v>
          </cell>
          <cell r="W81" t="str">
            <v>$</v>
          </cell>
          <cell r="X81">
            <v>0</v>
          </cell>
        </row>
        <row r="82">
          <cell r="C82">
            <v>1200</v>
          </cell>
          <cell r="O82">
            <v>400</v>
          </cell>
          <cell r="U82" t="str">
            <v>Bilan</v>
          </cell>
          <cell r="V82" t="str">
            <v>recevables Autres</v>
          </cell>
          <cell r="W82" t="str">
            <v>$</v>
          </cell>
          <cell r="X82">
            <v>0</v>
          </cell>
        </row>
        <row r="83">
          <cell r="C83">
            <v>44344.81</v>
          </cell>
          <cell r="O83">
            <v>-44344.81</v>
          </cell>
          <cell r="U83" t="str">
            <v>Bilan</v>
          </cell>
          <cell r="V83" t="str">
            <v>recevables Autres</v>
          </cell>
          <cell r="W83" t="str">
            <v>$</v>
          </cell>
          <cell r="X83">
            <v>0</v>
          </cell>
        </row>
        <row r="84">
          <cell r="C84">
            <v>8867334.5899999999</v>
          </cell>
          <cell r="O84">
            <v>801238.33</v>
          </cell>
          <cell r="U84" t="str">
            <v>Bilan</v>
          </cell>
          <cell r="V84" t="str">
            <v>Inventaire Véhicules Neufs</v>
          </cell>
          <cell r="W84" t="str">
            <v>$</v>
          </cell>
          <cell r="X84">
            <v>0</v>
          </cell>
        </row>
        <row r="85">
          <cell r="O85">
            <v>21</v>
          </cell>
          <cell r="U85" t="str">
            <v>Bilan</v>
          </cell>
          <cell r="V85">
            <v>0</v>
          </cell>
          <cell r="W85" t="str">
            <v>NB</v>
          </cell>
          <cell r="X85">
            <v>0</v>
          </cell>
        </row>
        <row r="86">
          <cell r="C86">
            <v>-13109.97</v>
          </cell>
          <cell r="O86">
            <v>11651.85</v>
          </cell>
          <cell r="U86" t="str">
            <v>Bilan</v>
          </cell>
          <cell r="V86" t="str">
            <v>Inventaire Véhicules Neufs</v>
          </cell>
          <cell r="W86" t="str">
            <v>$</v>
          </cell>
          <cell r="X86">
            <v>0</v>
          </cell>
        </row>
        <row r="87">
          <cell r="C87">
            <v>764.37</v>
          </cell>
          <cell r="O87">
            <v>-895</v>
          </cell>
          <cell r="U87" t="e">
            <v>#N/A</v>
          </cell>
          <cell r="V87" t="e">
            <v>#N/A</v>
          </cell>
          <cell r="W87" t="e">
            <v>#N/A</v>
          </cell>
          <cell r="X87" t="e">
            <v>#N/A</v>
          </cell>
        </row>
        <row r="88">
          <cell r="C88">
            <v>-20922.13</v>
          </cell>
          <cell r="O88">
            <v>-16300</v>
          </cell>
          <cell r="U88" t="str">
            <v>Bilan</v>
          </cell>
          <cell r="V88" t="str">
            <v>Inventaire Véhicules Usagés</v>
          </cell>
          <cell r="W88" t="str">
            <v>$</v>
          </cell>
          <cell r="X88">
            <v>0</v>
          </cell>
        </row>
        <row r="89">
          <cell r="C89">
            <v>1101355.04</v>
          </cell>
          <cell r="O89">
            <v>397069.46</v>
          </cell>
          <cell r="U89" t="str">
            <v>Bilan</v>
          </cell>
          <cell r="V89" t="str">
            <v>Inventaire Véhicules Usagés</v>
          </cell>
          <cell r="W89" t="str">
            <v>$</v>
          </cell>
          <cell r="X89">
            <v>0</v>
          </cell>
        </row>
        <row r="90">
          <cell r="O90">
            <v>20</v>
          </cell>
          <cell r="U90" t="str">
            <v>Bilan</v>
          </cell>
          <cell r="V90">
            <v>0</v>
          </cell>
          <cell r="W90" t="str">
            <v>NB</v>
          </cell>
          <cell r="X90">
            <v>0</v>
          </cell>
        </row>
        <row r="91">
          <cell r="O91">
            <v>1</v>
          </cell>
          <cell r="U91" t="e">
            <v>#N/A</v>
          </cell>
          <cell r="V91" t="e">
            <v>#N/A</v>
          </cell>
          <cell r="W91" t="e">
            <v>#N/A</v>
          </cell>
          <cell r="X91" t="e">
            <v>#N/A</v>
          </cell>
        </row>
        <row r="92">
          <cell r="O92">
            <v>0</v>
          </cell>
          <cell r="U92" t="e">
            <v>#N/A</v>
          </cell>
          <cell r="V92" t="e">
            <v>#N/A</v>
          </cell>
          <cell r="W92" t="e">
            <v>#N/A</v>
          </cell>
          <cell r="X92" t="e">
            <v>#N/A</v>
          </cell>
        </row>
        <row r="93">
          <cell r="C93">
            <v>248557.45</v>
          </cell>
          <cell r="O93">
            <v>-28439.9</v>
          </cell>
          <cell r="U93" t="str">
            <v>Bilan</v>
          </cell>
          <cell r="V93" t="str">
            <v>Inventaire Pièces, Pneus, Huile</v>
          </cell>
          <cell r="W93" t="str">
            <v>$</v>
          </cell>
          <cell r="X93">
            <v>0</v>
          </cell>
        </row>
        <row r="94">
          <cell r="C94">
            <v>30448.79</v>
          </cell>
          <cell r="O94">
            <v>25781.68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13576.65</v>
          </cell>
          <cell r="O95">
            <v>4169.59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5506</v>
          </cell>
          <cell r="O96">
            <v>11381.23</v>
          </cell>
          <cell r="U96" t="str">
            <v>Bilan</v>
          </cell>
          <cell r="V96" t="str">
            <v>Travaux en Cours</v>
          </cell>
          <cell r="W96" t="str">
            <v>$</v>
          </cell>
          <cell r="X96">
            <v>0</v>
          </cell>
        </row>
        <row r="97">
          <cell r="C97">
            <v>-2474.7399999999998</v>
          </cell>
          <cell r="O97">
            <v>-1400.12</v>
          </cell>
          <cell r="U97" t="str">
            <v>Bilan</v>
          </cell>
          <cell r="V97" t="str">
            <v>Sous-Traitance</v>
          </cell>
          <cell r="W97" t="str">
            <v>$</v>
          </cell>
          <cell r="X97">
            <v>0</v>
          </cell>
        </row>
        <row r="98">
          <cell r="C98">
            <v>28576.67</v>
          </cell>
          <cell r="O98">
            <v>-4236.75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44355.78</v>
          </cell>
          <cell r="O99">
            <v>4566.82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22077.37</v>
          </cell>
          <cell r="O100">
            <v>8276.27</v>
          </cell>
          <cell r="U100" t="str">
            <v>Bilan</v>
          </cell>
          <cell r="V100" t="str">
            <v>Frais Payés d'Avance</v>
          </cell>
          <cell r="W100" t="str">
            <v>$</v>
          </cell>
          <cell r="X100">
            <v>0</v>
          </cell>
        </row>
        <row r="101">
          <cell r="C101">
            <v>3094.96</v>
          </cell>
          <cell r="O101">
            <v>5542.79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-4067.81</v>
          </cell>
          <cell r="O102">
            <v>10224.94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1180</v>
          </cell>
          <cell r="O103">
            <v>-204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10949.72</v>
          </cell>
          <cell r="O104">
            <v>2507.67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10996</v>
          </cell>
          <cell r="O105">
            <v>-2310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1539</v>
          </cell>
          <cell r="O106">
            <v>-385</v>
          </cell>
          <cell r="U106" t="e">
            <v>#N/A</v>
          </cell>
          <cell r="V106" t="e">
            <v>#N/A</v>
          </cell>
          <cell r="W106" t="e">
            <v>#N/A</v>
          </cell>
          <cell r="X106" t="e">
            <v>#N/A</v>
          </cell>
        </row>
        <row r="107">
          <cell r="C107">
            <v>-4061.34</v>
          </cell>
          <cell r="O107">
            <v>-2000</v>
          </cell>
          <cell r="U107" t="str">
            <v>Bilan</v>
          </cell>
          <cell r="V107" t="str">
            <v>Autres Courus</v>
          </cell>
          <cell r="W107" t="str">
            <v>$</v>
          </cell>
          <cell r="X107">
            <v>0</v>
          </cell>
        </row>
        <row r="108">
          <cell r="C108">
            <v>1147.5</v>
          </cell>
          <cell r="O108">
            <v>4289.91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1713.95</v>
          </cell>
          <cell r="O109">
            <v>-200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1573.14</v>
          </cell>
          <cell r="O110">
            <v>-732.16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-14652.07</v>
          </cell>
          <cell r="O111">
            <v>672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-17942.3</v>
          </cell>
          <cell r="O112">
            <v>1204.3699999999999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-3914.21</v>
          </cell>
          <cell r="O113">
            <v>14019.33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6999.89</v>
          </cell>
          <cell r="O114">
            <v>-1170</v>
          </cell>
          <cell r="U114" t="str">
            <v>Bilan</v>
          </cell>
          <cell r="V114" t="str">
            <v>Autres Courus</v>
          </cell>
          <cell r="W114" t="str">
            <v>$</v>
          </cell>
          <cell r="X114">
            <v>0</v>
          </cell>
        </row>
        <row r="115">
          <cell r="C115">
            <v>-3501.68</v>
          </cell>
          <cell r="O115">
            <v>-455.23</v>
          </cell>
          <cell r="U115" t="str">
            <v>Bilan</v>
          </cell>
          <cell r="V115" t="str">
            <v>Autres Courus</v>
          </cell>
          <cell r="W115" t="str">
            <v>$</v>
          </cell>
          <cell r="X115">
            <v>0</v>
          </cell>
        </row>
        <row r="116">
          <cell r="C116">
            <v>13098.03</v>
          </cell>
          <cell r="O116">
            <v>-1528.53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9155.6200000000008</v>
          </cell>
          <cell r="O117">
            <v>17705.62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-8775</v>
          </cell>
          <cell r="O118">
            <v>-2925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41.73</v>
          </cell>
          <cell r="O119">
            <v>-650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90214.49</v>
          </cell>
          <cell r="O120">
            <v>19560.560000000001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-6941.68</v>
          </cell>
          <cell r="O121">
            <v>-1783.54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544.98</v>
          </cell>
          <cell r="O122">
            <v>1514.62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1414.02</v>
          </cell>
          <cell r="O123">
            <v>0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133189.21</v>
          </cell>
          <cell r="O124">
            <v>0</v>
          </cell>
          <cell r="U124" t="str">
            <v>Bilan</v>
          </cell>
          <cell r="V124" t="str">
            <v>Améliorations Locatives</v>
          </cell>
          <cell r="W124" t="str">
            <v>$</v>
          </cell>
          <cell r="X124">
            <v>0</v>
          </cell>
        </row>
        <row r="125">
          <cell r="C125">
            <v>-72022.87</v>
          </cell>
          <cell r="O125">
            <v>-1600</v>
          </cell>
          <cell r="U125" t="str">
            <v>Bilan</v>
          </cell>
          <cell r="V125" t="str">
            <v>Améliorations Locatives</v>
          </cell>
          <cell r="W125" t="str">
            <v>$</v>
          </cell>
          <cell r="X125">
            <v>0</v>
          </cell>
        </row>
        <row r="126">
          <cell r="C126">
            <v>867202.23</v>
          </cell>
          <cell r="O126">
            <v>0</v>
          </cell>
          <cell r="U126" t="str">
            <v>Bilan</v>
          </cell>
          <cell r="V126" t="str">
            <v>Équipements Service</v>
          </cell>
          <cell r="W126" t="str">
            <v>$</v>
          </cell>
          <cell r="X126">
            <v>0</v>
          </cell>
        </row>
        <row r="127">
          <cell r="C127">
            <v>-684220.53</v>
          </cell>
          <cell r="O127">
            <v>-3600</v>
          </cell>
          <cell r="U127" t="str">
            <v>Bilan</v>
          </cell>
          <cell r="V127" t="str">
            <v>Équipements Service</v>
          </cell>
          <cell r="W127" t="str">
            <v>$</v>
          </cell>
          <cell r="X127">
            <v>0</v>
          </cell>
        </row>
        <row r="128">
          <cell r="C128">
            <v>47461.59</v>
          </cell>
          <cell r="O128">
            <v>0</v>
          </cell>
          <cell r="U128" t="str">
            <v>Bilan</v>
          </cell>
          <cell r="V128" t="str">
            <v>Équipements Service</v>
          </cell>
          <cell r="W128" t="str">
            <v>$</v>
          </cell>
          <cell r="X128">
            <v>0</v>
          </cell>
        </row>
        <row r="129">
          <cell r="C129">
            <v>-45267.66</v>
          </cell>
          <cell r="O129">
            <v>-250</v>
          </cell>
          <cell r="U129" t="str">
            <v>Bilan</v>
          </cell>
          <cell r="V129" t="str">
            <v>Équipements Service</v>
          </cell>
          <cell r="W129" t="str">
            <v>$</v>
          </cell>
          <cell r="X129">
            <v>0</v>
          </cell>
        </row>
        <row r="130">
          <cell r="C130">
            <v>155280.23000000001</v>
          </cell>
          <cell r="O130">
            <v>0</v>
          </cell>
          <cell r="U130" t="str">
            <v>Bilan</v>
          </cell>
          <cell r="V130" t="str">
            <v>Équipements Téléphonique</v>
          </cell>
          <cell r="W130" t="str">
            <v>$</v>
          </cell>
          <cell r="X130">
            <v>0</v>
          </cell>
        </row>
        <row r="131">
          <cell r="C131">
            <v>-148397.57</v>
          </cell>
          <cell r="O131">
            <v>-520</v>
          </cell>
          <cell r="U131" t="str">
            <v>Bilan</v>
          </cell>
          <cell r="V131" t="str">
            <v>Équipements Téléphonique</v>
          </cell>
          <cell r="W131" t="str">
            <v>$</v>
          </cell>
          <cell r="X131">
            <v>0</v>
          </cell>
        </row>
        <row r="132">
          <cell r="C132">
            <v>431905.06</v>
          </cell>
          <cell r="O132">
            <v>756.48</v>
          </cell>
          <cell r="U132" t="str">
            <v>Bilan</v>
          </cell>
          <cell r="V132" t="str">
            <v>Mobilier</v>
          </cell>
          <cell r="W132" t="str">
            <v>$</v>
          </cell>
          <cell r="X132">
            <v>0</v>
          </cell>
        </row>
        <row r="133">
          <cell r="C133">
            <v>-377158.12</v>
          </cell>
          <cell r="O133">
            <v>-1300</v>
          </cell>
          <cell r="U133" t="str">
            <v>Bilan</v>
          </cell>
          <cell r="V133" t="str">
            <v>Mobilier</v>
          </cell>
          <cell r="W133" t="str">
            <v>$</v>
          </cell>
          <cell r="X133">
            <v>0</v>
          </cell>
        </row>
        <row r="134">
          <cell r="C134">
            <v>3987.88</v>
          </cell>
          <cell r="O134">
            <v>0</v>
          </cell>
          <cell r="U134" t="str">
            <v>Bilan</v>
          </cell>
          <cell r="V134" t="str">
            <v>Équipements Service</v>
          </cell>
          <cell r="W134" t="str">
            <v>$</v>
          </cell>
          <cell r="X134">
            <v>0</v>
          </cell>
        </row>
        <row r="135">
          <cell r="C135">
            <v>-3987.88</v>
          </cell>
          <cell r="O135">
            <v>0</v>
          </cell>
          <cell r="U135" t="str">
            <v>Bilan</v>
          </cell>
          <cell r="V135" t="str">
            <v>Équipements Service</v>
          </cell>
          <cell r="W135" t="str">
            <v>$</v>
          </cell>
          <cell r="X135">
            <v>0</v>
          </cell>
        </row>
        <row r="136">
          <cell r="C136">
            <v>259389.2</v>
          </cell>
          <cell r="O136">
            <v>575.70000000000005</v>
          </cell>
          <cell r="U136" t="str">
            <v>Bilan</v>
          </cell>
          <cell r="V136" t="str">
            <v>Équipements Informatique</v>
          </cell>
          <cell r="W136" t="str">
            <v>$</v>
          </cell>
          <cell r="X136">
            <v>0</v>
          </cell>
        </row>
        <row r="137">
          <cell r="C137">
            <v>-214659.73</v>
          </cell>
          <cell r="O137">
            <v>-1380</v>
          </cell>
          <cell r="U137" t="str">
            <v>Bilan</v>
          </cell>
          <cell r="V137" t="str">
            <v>Équipements Informatique</v>
          </cell>
          <cell r="W137" t="str">
            <v>$</v>
          </cell>
          <cell r="X137">
            <v>0</v>
          </cell>
        </row>
        <row r="138">
          <cell r="C138">
            <v>119393.66</v>
          </cell>
          <cell r="O138">
            <v>0</v>
          </cell>
          <cell r="U138" t="str">
            <v>Bilan</v>
          </cell>
          <cell r="V138" t="str">
            <v>Enseigne</v>
          </cell>
          <cell r="W138" t="str">
            <v>$</v>
          </cell>
          <cell r="X138">
            <v>0</v>
          </cell>
        </row>
        <row r="139">
          <cell r="C139">
            <v>-115160.48</v>
          </cell>
          <cell r="O139">
            <v>-350</v>
          </cell>
          <cell r="U139" t="str">
            <v>Bilan</v>
          </cell>
          <cell r="V139" t="str">
            <v>Enseigne</v>
          </cell>
          <cell r="W139" t="str">
            <v>$</v>
          </cell>
          <cell r="X139">
            <v>0</v>
          </cell>
        </row>
        <row r="140">
          <cell r="C140">
            <v>1623600</v>
          </cell>
          <cell r="O140">
            <v>0</v>
          </cell>
          <cell r="U140" t="str">
            <v>Bilan</v>
          </cell>
          <cell r="V140" t="str">
            <v>Avances à Recevoir Long Terme</v>
          </cell>
          <cell r="W140" t="str">
            <v>$</v>
          </cell>
          <cell r="X140">
            <v>0</v>
          </cell>
        </row>
        <row r="141">
          <cell r="C141">
            <v>15690.28</v>
          </cell>
          <cell r="O141">
            <v>-327.89</v>
          </cell>
          <cell r="U141" t="str">
            <v>Bilan</v>
          </cell>
          <cell r="V141" t="str">
            <v>Recevables Autres</v>
          </cell>
          <cell r="W141" t="str">
            <v>$</v>
          </cell>
          <cell r="X141">
            <v>0</v>
          </cell>
        </row>
        <row r="142">
          <cell r="C142">
            <v>-10626741.74</v>
          </cell>
          <cell r="O142">
            <v>-791935.27</v>
          </cell>
          <cell r="U142" t="str">
            <v>Bilan</v>
          </cell>
          <cell r="V142" t="str">
            <v>Effet à Payer Véhicules Neufs</v>
          </cell>
          <cell r="W142" t="str">
            <v>$</v>
          </cell>
          <cell r="X142">
            <v>0</v>
          </cell>
        </row>
        <row r="143">
          <cell r="C143">
            <v>-313211.68</v>
          </cell>
          <cell r="O143">
            <v>145979.5</v>
          </cell>
          <cell r="U143" t="str">
            <v>Bilan</v>
          </cell>
          <cell r="V143" t="str">
            <v>Effet à Payer Véhicules Usagés</v>
          </cell>
          <cell r="W143" t="str">
            <v>$</v>
          </cell>
          <cell r="X143">
            <v>0</v>
          </cell>
        </row>
        <row r="144">
          <cell r="C144">
            <v>-15810</v>
          </cell>
          <cell r="O144">
            <v>0</v>
          </cell>
          <cell r="U144" t="str">
            <v>Bilan</v>
          </cell>
          <cell r="V144" t="str">
            <v>Portion Court Terme de la Dette Long Terme</v>
          </cell>
          <cell r="W144" t="str">
            <v>$</v>
          </cell>
          <cell r="X144">
            <v>0</v>
          </cell>
        </row>
        <row r="145">
          <cell r="C145">
            <v>-1174.5899999999999</v>
          </cell>
          <cell r="O145">
            <v>-256.77</v>
          </cell>
          <cell r="U145" t="str">
            <v>Bilan</v>
          </cell>
          <cell r="V145" t="str">
            <v>Taxes de Vente à Payer</v>
          </cell>
          <cell r="W145" t="str">
            <v>$</v>
          </cell>
          <cell r="X145">
            <v>0</v>
          </cell>
        </row>
        <row r="146">
          <cell r="C146">
            <v>-68418.42</v>
          </cell>
          <cell r="O146">
            <v>-30674.76</v>
          </cell>
          <cell r="U146" t="str">
            <v>Bilan</v>
          </cell>
          <cell r="V146" t="str">
            <v>Taxes de Vente à Payer</v>
          </cell>
          <cell r="W146" t="str">
            <v>$</v>
          </cell>
          <cell r="X146">
            <v>0</v>
          </cell>
        </row>
        <row r="147">
          <cell r="C147">
            <v>39376.85</v>
          </cell>
          <cell r="O147">
            <v>13669.37</v>
          </cell>
          <cell r="U147" t="str">
            <v>Bilan</v>
          </cell>
          <cell r="V147" t="str">
            <v>Taxes de Vente à Payer</v>
          </cell>
          <cell r="W147" t="str">
            <v>$</v>
          </cell>
          <cell r="X147">
            <v>0</v>
          </cell>
        </row>
        <row r="148">
          <cell r="C148">
            <v>-238703.24</v>
          </cell>
          <cell r="O148">
            <v>-30605.4</v>
          </cell>
          <cell r="U148" t="str">
            <v>Bilan</v>
          </cell>
          <cell r="V148" t="str">
            <v>Taxes de Vente à Payer</v>
          </cell>
          <cell r="W148" t="str">
            <v>$</v>
          </cell>
          <cell r="X148">
            <v>0</v>
          </cell>
        </row>
        <row r="149">
          <cell r="C149">
            <v>210045.99</v>
          </cell>
          <cell r="O149">
            <v>87465.41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-1626</v>
          </cell>
          <cell r="O150">
            <v>9</v>
          </cell>
          <cell r="U150" t="str">
            <v>Bilan</v>
          </cell>
          <cell r="V150" t="str">
            <v>Taxes de Vente à Payer</v>
          </cell>
          <cell r="W150" t="str">
            <v>$</v>
          </cell>
          <cell r="X150">
            <v>0</v>
          </cell>
        </row>
        <row r="151">
          <cell r="C151">
            <v>-92077.79</v>
          </cell>
          <cell r="O151">
            <v>-18187.12</v>
          </cell>
          <cell r="U151" t="str">
            <v>Bilan</v>
          </cell>
          <cell r="V151" t="str">
            <v>Autres Comptes à Payer</v>
          </cell>
          <cell r="W151" t="str">
            <v>$</v>
          </cell>
          <cell r="X151">
            <v>0</v>
          </cell>
        </row>
        <row r="152">
          <cell r="C152">
            <v>-2855</v>
          </cell>
          <cell r="O152">
            <v>-1055</v>
          </cell>
          <cell r="U152" t="str">
            <v>Bilan</v>
          </cell>
          <cell r="V152" t="str">
            <v>Autres Comptes à Payer</v>
          </cell>
          <cell r="W152" t="str">
            <v>$</v>
          </cell>
          <cell r="X152">
            <v>0</v>
          </cell>
        </row>
        <row r="153">
          <cell r="C153">
            <v>-72157.58</v>
          </cell>
          <cell r="O153">
            <v>-19639.900000000001</v>
          </cell>
          <cell r="U153" t="str">
            <v>Bilan</v>
          </cell>
          <cell r="V153" t="str">
            <v>Autres Comptes à Payer</v>
          </cell>
          <cell r="W153" t="str">
            <v>$</v>
          </cell>
          <cell r="X153">
            <v>0</v>
          </cell>
        </row>
        <row r="154">
          <cell r="C154">
            <v>-10788.97</v>
          </cell>
          <cell r="O154">
            <v>-5844.23</v>
          </cell>
          <cell r="U154" t="str">
            <v>Bilan</v>
          </cell>
          <cell r="V154" t="str">
            <v>Autres Comptes à Payer</v>
          </cell>
          <cell r="W154" t="str">
            <v>$</v>
          </cell>
          <cell r="X154">
            <v>0</v>
          </cell>
        </row>
        <row r="155">
          <cell r="C155">
            <v>-114462.54</v>
          </cell>
          <cell r="O155">
            <v>-260188.51</v>
          </cell>
          <cell r="U155" t="str">
            <v>Bilan</v>
          </cell>
          <cell r="V155" t="str">
            <v>Comptes à Payer Fournisseurs</v>
          </cell>
          <cell r="W155" t="str">
            <v>$</v>
          </cell>
          <cell r="X155">
            <v>0</v>
          </cell>
        </row>
        <row r="156">
          <cell r="C156">
            <v>-10598.7</v>
          </cell>
          <cell r="O156">
            <v>-1054.2</v>
          </cell>
          <cell r="U156" t="str">
            <v>Bilan</v>
          </cell>
          <cell r="V156" t="str">
            <v>Autres Comptes à Payer</v>
          </cell>
          <cell r="W156" t="str">
            <v>$</v>
          </cell>
          <cell r="X156">
            <v>0</v>
          </cell>
        </row>
        <row r="157">
          <cell r="C157">
            <v>-7155.53</v>
          </cell>
          <cell r="O157">
            <v>-1913.03</v>
          </cell>
          <cell r="U157" t="str">
            <v>Bilan</v>
          </cell>
          <cell r="V157" t="str">
            <v>Autres Courus</v>
          </cell>
          <cell r="W157" t="str">
            <v>$</v>
          </cell>
          <cell r="X157">
            <v>0</v>
          </cell>
        </row>
        <row r="158">
          <cell r="C158">
            <v>-30.06</v>
          </cell>
          <cell r="O158">
            <v>0</v>
          </cell>
          <cell r="U158" t="str">
            <v>Bilan</v>
          </cell>
          <cell r="V158" t="str">
            <v>Autres Courus</v>
          </cell>
          <cell r="W158" t="str">
            <v>$</v>
          </cell>
          <cell r="X158">
            <v>0</v>
          </cell>
        </row>
        <row r="159">
          <cell r="C159">
            <v>-13300</v>
          </cell>
          <cell r="O159">
            <v>-5150</v>
          </cell>
          <cell r="U159" t="str">
            <v>Bilan</v>
          </cell>
          <cell r="V159" t="str">
            <v>Autres Courus</v>
          </cell>
          <cell r="W159" t="str">
            <v>$</v>
          </cell>
          <cell r="X159">
            <v>0</v>
          </cell>
        </row>
        <row r="160">
          <cell r="C160">
            <v>5516.24</v>
          </cell>
          <cell r="O160">
            <v>1706.81</v>
          </cell>
          <cell r="U160" t="str">
            <v>Bilan</v>
          </cell>
          <cell r="V160" t="str">
            <v>DAS à Payer</v>
          </cell>
          <cell r="W160" t="str">
            <v>$</v>
          </cell>
          <cell r="X160">
            <v>0</v>
          </cell>
        </row>
        <row r="161">
          <cell r="C161">
            <v>3622.88</v>
          </cell>
          <cell r="O161">
            <v>-1285.49</v>
          </cell>
          <cell r="U161" t="str">
            <v>Bilan</v>
          </cell>
          <cell r="V161" t="str">
            <v>DAS à Payer</v>
          </cell>
          <cell r="W161" t="str">
            <v>$</v>
          </cell>
          <cell r="X161">
            <v>0</v>
          </cell>
        </row>
        <row r="162">
          <cell r="C162">
            <v>-20816.11</v>
          </cell>
          <cell r="O162">
            <v>-3876.88</v>
          </cell>
          <cell r="U162" t="str">
            <v>Bilan</v>
          </cell>
          <cell r="V162" t="str">
            <v>DAS à Payer</v>
          </cell>
          <cell r="W162" t="str">
            <v>$</v>
          </cell>
          <cell r="X162">
            <v>0</v>
          </cell>
        </row>
        <row r="163">
          <cell r="C163">
            <v>-785.52</v>
          </cell>
          <cell r="O163">
            <v>-52.98</v>
          </cell>
          <cell r="U163" t="str">
            <v>Bilan</v>
          </cell>
          <cell r="V163" t="str">
            <v>DAS à Payer</v>
          </cell>
          <cell r="W163" t="str">
            <v>$</v>
          </cell>
          <cell r="X163">
            <v>0</v>
          </cell>
        </row>
        <row r="164">
          <cell r="C164">
            <v>-1086</v>
          </cell>
          <cell r="O164">
            <v>781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-13300</v>
          </cell>
          <cell r="O165">
            <v>-16300</v>
          </cell>
          <cell r="U165" t="str">
            <v>Bilan</v>
          </cell>
          <cell r="V165" t="str">
            <v>Dépôts de Client</v>
          </cell>
          <cell r="W165" t="str">
            <v>$</v>
          </cell>
          <cell r="X165">
            <v>0</v>
          </cell>
        </row>
        <row r="166">
          <cell r="C166">
            <v>-9126.4599999999991</v>
          </cell>
          <cell r="O166">
            <v>-3836.26</v>
          </cell>
          <cell r="U166" t="str">
            <v>Bilan</v>
          </cell>
          <cell r="V166" t="str">
            <v>Salaires à Payer</v>
          </cell>
          <cell r="W166" t="str">
            <v>$</v>
          </cell>
          <cell r="X166">
            <v>0</v>
          </cell>
        </row>
        <row r="167">
          <cell r="C167">
            <v>-41505.35</v>
          </cell>
          <cell r="O167">
            <v>-40379.85</v>
          </cell>
          <cell r="U167" t="str">
            <v>Bilan</v>
          </cell>
          <cell r="V167" t="str">
            <v>Salaires à Payer</v>
          </cell>
          <cell r="W167" t="str">
            <v>$</v>
          </cell>
          <cell r="X167">
            <v>0</v>
          </cell>
        </row>
        <row r="168">
          <cell r="C168">
            <v>-3571.32</v>
          </cell>
          <cell r="O168">
            <v>-17220.59</v>
          </cell>
          <cell r="U168" t="str">
            <v>Bilan</v>
          </cell>
          <cell r="V168" t="str">
            <v>Salaires à Payer</v>
          </cell>
          <cell r="W168" t="str">
            <v>$</v>
          </cell>
          <cell r="X168">
            <v>0</v>
          </cell>
        </row>
        <row r="169">
          <cell r="C169">
            <v>-167401.31</v>
          </cell>
          <cell r="O169">
            <v>-3292.23</v>
          </cell>
          <cell r="U169" t="str">
            <v>Bilan</v>
          </cell>
          <cell r="V169" t="str">
            <v>Salaires à Payer</v>
          </cell>
          <cell r="W169" t="str">
            <v>$</v>
          </cell>
          <cell r="X169">
            <v>0</v>
          </cell>
        </row>
        <row r="170">
          <cell r="C170">
            <v>10228.879999999999</v>
          </cell>
          <cell r="O170">
            <v>2068.4699999999998</v>
          </cell>
          <cell r="U170" t="str">
            <v>Bilan</v>
          </cell>
          <cell r="V170" t="str">
            <v>Salaires à Payer</v>
          </cell>
          <cell r="W170" t="str">
            <v>$</v>
          </cell>
          <cell r="X170">
            <v>0</v>
          </cell>
        </row>
        <row r="171">
          <cell r="C171">
            <v>-52409.25</v>
          </cell>
          <cell r="O171">
            <v>1317.5</v>
          </cell>
          <cell r="U171" t="str">
            <v>Bilan</v>
          </cell>
          <cell r="V171" t="str">
            <v>Dette à Long Terme</v>
          </cell>
          <cell r="W171" t="str">
            <v>$</v>
          </cell>
          <cell r="X171">
            <v>0</v>
          </cell>
        </row>
        <row r="172">
          <cell r="C172">
            <v>-21317.34</v>
          </cell>
          <cell r="O172">
            <v>-261.44</v>
          </cell>
          <cell r="U172" t="str">
            <v>Bilan</v>
          </cell>
          <cell r="V172" t="str">
            <v>Autres Courus</v>
          </cell>
          <cell r="W172" t="str">
            <v>$</v>
          </cell>
          <cell r="X172">
            <v>0</v>
          </cell>
        </row>
        <row r="173">
          <cell r="C173">
            <v>-2350000</v>
          </cell>
          <cell r="O173">
            <v>0</v>
          </cell>
          <cell r="U173" t="str">
            <v>Bilan</v>
          </cell>
          <cell r="V173" t="str">
            <v>Capital Actions</v>
          </cell>
          <cell r="W173" t="str">
            <v>$</v>
          </cell>
          <cell r="X173">
            <v>0</v>
          </cell>
        </row>
        <row r="174">
          <cell r="C174">
            <v>-1846000</v>
          </cell>
          <cell r="O174">
            <v>0</v>
          </cell>
          <cell r="U174" t="str">
            <v>Bilan</v>
          </cell>
          <cell r="V174" t="str">
            <v>Apport</v>
          </cell>
          <cell r="W174" t="str">
            <v>$</v>
          </cell>
          <cell r="X174">
            <v>0</v>
          </cell>
        </row>
        <row r="175">
          <cell r="C175">
            <v>-347547.5</v>
          </cell>
          <cell r="O175">
            <v>0</v>
          </cell>
          <cell r="U175" t="str">
            <v>Bilan</v>
          </cell>
          <cell r="V175" t="str">
            <v>Capital Actions</v>
          </cell>
          <cell r="W175">
            <v>0</v>
          </cell>
          <cell r="X175">
            <v>0</v>
          </cell>
        </row>
        <row r="176">
          <cell r="C176">
            <v>-231711.86</v>
          </cell>
          <cell r="O176">
            <v>0</v>
          </cell>
          <cell r="U176" t="str">
            <v>Bilan</v>
          </cell>
          <cell r="V176" t="str">
            <v>Bénéfices non répartis</v>
          </cell>
          <cell r="W176" t="str">
            <v>$</v>
          </cell>
          <cell r="X176">
            <v>0</v>
          </cell>
        </row>
        <row r="177">
          <cell r="C177">
            <v>-185842.16</v>
          </cell>
          <cell r="O177">
            <v>-161379.54</v>
          </cell>
          <cell r="U177" t="str">
            <v>Véhicules neufs</v>
          </cell>
          <cell r="V177" t="str">
            <v>Rachat bail</v>
          </cell>
          <cell r="W177" t="str">
            <v>$</v>
          </cell>
          <cell r="X177" t="str">
            <v>Oui</v>
          </cell>
        </row>
        <row r="178">
          <cell r="O178">
            <v>-11</v>
          </cell>
          <cell r="U178" t="str">
            <v>Véhicules neufs</v>
          </cell>
          <cell r="V178" t="str">
            <v>Rachat bail</v>
          </cell>
          <cell r="W178" t="str">
            <v>NB</v>
          </cell>
          <cell r="X178">
            <v>0</v>
          </cell>
        </row>
        <row r="179">
          <cell r="C179">
            <v>-200992.27</v>
          </cell>
          <cell r="O179">
            <v>-187510.39999999999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O180">
            <v>-7</v>
          </cell>
          <cell r="U180" t="str">
            <v>Véhicules neufs</v>
          </cell>
          <cell r="V180" t="str">
            <v>Autos détail</v>
          </cell>
          <cell r="W180" t="str">
            <v>NB</v>
          </cell>
          <cell r="X180">
            <v>0</v>
          </cell>
        </row>
        <row r="181">
          <cell r="C181">
            <v>0</v>
          </cell>
          <cell r="O181">
            <v>-115489.95</v>
          </cell>
          <cell r="U181" t="str">
            <v>Véhicules neufs</v>
          </cell>
          <cell r="V181" t="str">
            <v>Autos détail</v>
          </cell>
          <cell r="W181" t="str">
            <v>$</v>
          </cell>
          <cell r="X181" t="str">
            <v>Oui</v>
          </cell>
        </row>
        <row r="182">
          <cell r="O182">
            <v>-2</v>
          </cell>
          <cell r="U182" t="str">
            <v>Véhicules neufs</v>
          </cell>
          <cell r="V182" t="str">
            <v>Autos détail</v>
          </cell>
          <cell r="W182" t="str">
            <v>NB</v>
          </cell>
          <cell r="X182">
            <v>0</v>
          </cell>
        </row>
        <row r="183">
          <cell r="C183">
            <v>-599985.47</v>
          </cell>
          <cell r="O183">
            <v>-184136.54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O184">
            <v>-7</v>
          </cell>
          <cell r="U184" t="str">
            <v>Véhicules neufs</v>
          </cell>
          <cell r="V184" t="str">
            <v>Autos détail</v>
          </cell>
          <cell r="W184" t="str">
            <v>NB</v>
          </cell>
          <cell r="X184">
            <v>0</v>
          </cell>
        </row>
        <row r="185">
          <cell r="C185">
            <v>-219523.27</v>
          </cell>
          <cell r="O185">
            <v>-218950.93</v>
          </cell>
          <cell r="U185" t="str">
            <v>Véhicules neufs</v>
          </cell>
          <cell r="V185" t="str">
            <v>Autos détail</v>
          </cell>
          <cell r="W185" t="str">
            <v>$</v>
          </cell>
          <cell r="X185" t="str">
            <v>Oui</v>
          </cell>
        </row>
        <row r="186">
          <cell r="O186">
            <v>-5</v>
          </cell>
          <cell r="U186" t="str">
            <v>Véhicules neufs</v>
          </cell>
          <cell r="V186" t="str">
            <v>Autos détail</v>
          </cell>
          <cell r="W186" t="str">
            <v>NB</v>
          </cell>
          <cell r="X186">
            <v>0</v>
          </cell>
        </row>
        <row r="187">
          <cell r="C187">
            <v>-1150447.17</v>
          </cell>
          <cell r="O187">
            <v>-734915.32</v>
          </cell>
          <cell r="U187" t="str">
            <v>Véhicules neufs</v>
          </cell>
          <cell r="V187" t="str">
            <v>Autos détail</v>
          </cell>
          <cell r="W187" t="str">
            <v>$</v>
          </cell>
          <cell r="X187" t="str">
            <v>Oui</v>
          </cell>
        </row>
        <row r="188">
          <cell r="O188">
            <v>-27</v>
          </cell>
          <cell r="U188" t="str">
            <v>Véhicules neufs</v>
          </cell>
          <cell r="V188" t="str">
            <v>Autos détail</v>
          </cell>
          <cell r="W188" t="str">
            <v>NB</v>
          </cell>
          <cell r="X188">
            <v>0</v>
          </cell>
        </row>
        <row r="189">
          <cell r="C189">
            <v>-474846.08</v>
          </cell>
          <cell r="O189">
            <v>-125152.09</v>
          </cell>
          <cell r="U189" t="str">
            <v>Véhicules neufs</v>
          </cell>
          <cell r="V189" t="str">
            <v>Autos détail</v>
          </cell>
          <cell r="W189" t="str">
            <v>$</v>
          </cell>
          <cell r="X189" t="str">
            <v>Oui</v>
          </cell>
        </row>
        <row r="190">
          <cell r="O190">
            <v>-4</v>
          </cell>
          <cell r="U190" t="str">
            <v>Véhicules neufs</v>
          </cell>
          <cell r="V190" t="str">
            <v>Autos détail</v>
          </cell>
          <cell r="W190" t="str">
            <v>NB</v>
          </cell>
          <cell r="X190">
            <v>0</v>
          </cell>
        </row>
        <row r="191">
          <cell r="C191">
            <v>-37395.17</v>
          </cell>
          <cell r="O191">
            <v>0</v>
          </cell>
          <cell r="U191" t="str">
            <v>Véhicules neufs</v>
          </cell>
          <cell r="V191" t="str">
            <v>Autos détail</v>
          </cell>
          <cell r="W191" t="str">
            <v>$</v>
          </cell>
          <cell r="X191" t="str">
            <v>Oui</v>
          </cell>
        </row>
        <row r="192">
          <cell r="O192">
            <v>0</v>
          </cell>
          <cell r="U192" t="str">
            <v>Véhicules neufs</v>
          </cell>
          <cell r="V192" t="str">
            <v>Autos détail</v>
          </cell>
          <cell r="W192" t="str">
            <v>NB</v>
          </cell>
          <cell r="X192">
            <v>0</v>
          </cell>
        </row>
        <row r="193">
          <cell r="C193">
            <v>-861979.21</v>
          </cell>
          <cell r="O193">
            <v>-293528.08</v>
          </cell>
          <cell r="U193" t="str">
            <v>Véhicules neufs</v>
          </cell>
          <cell r="V193" t="str">
            <v>Camions détail</v>
          </cell>
          <cell r="W193" t="str">
            <v>$</v>
          </cell>
          <cell r="X193" t="str">
            <v>Oui</v>
          </cell>
        </row>
        <row r="194">
          <cell r="O194">
            <v>-6</v>
          </cell>
          <cell r="U194" t="str">
            <v>Véhicules neufs</v>
          </cell>
          <cell r="V194" t="str">
            <v>Camions détail</v>
          </cell>
          <cell r="W194" t="str">
            <v>NB</v>
          </cell>
          <cell r="X194">
            <v>0</v>
          </cell>
        </row>
        <row r="195">
          <cell r="C195">
            <v>-144459.97</v>
          </cell>
          <cell r="O195">
            <v>-76690.03</v>
          </cell>
          <cell r="U195" t="str">
            <v>Véhicules neufs</v>
          </cell>
          <cell r="V195" t="str">
            <v>Autos détail</v>
          </cell>
          <cell r="W195" t="str">
            <v>$</v>
          </cell>
          <cell r="X195" t="str">
            <v>Oui</v>
          </cell>
        </row>
        <row r="196">
          <cell r="O196">
            <v>-2</v>
          </cell>
          <cell r="U196" t="str">
            <v>Véhicules neufs</v>
          </cell>
          <cell r="V196" t="str">
            <v>Autos détail</v>
          </cell>
          <cell r="W196" t="str">
            <v>NB</v>
          </cell>
          <cell r="X196">
            <v>0</v>
          </cell>
        </row>
        <row r="197">
          <cell r="C197">
            <v>-2649878.61</v>
          </cell>
          <cell r="O197">
            <v>-830119.72</v>
          </cell>
          <cell r="U197" t="str">
            <v>Véhicules neufs</v>
          </cell>
          <cell r="V197" t="str">
            <v>Camions détail</v>
          </cell>
          <cell r="W197" t="str">
            <v>$</v>
          </cell>
          <cell r="X197" t="str">
            <v>Oui</v>
          </cell>
        </row>
        <row r="198">
          <cell r="O198">
            <v>-22</v>
          </cell>
          <cell r="U198" t="str">
            <v>Véhicules neufs</v>
          </cell>
          <cell r="V198" t="str">
            <v>Camions détail</v>
          </cell>
          <cell r="W198" t="str">
            <v>NB</v>
          </cell>
          <cell r="X198">
            <v>0</v>
          </cell>
        </row>
        <row r="199">
          <cell r="C199">
            <v>-325377.2</v>
          </cell>
          <cell r="O199">
            <v>-84960</v>
          </cell>
          <cell r="U199" t="str">
            <v>Véhicules neufs</v>
          </cell>
          <cell r="V199" t="str">
            <v>Autos détail</v>
          </cell>
          <cell r="W199" t="str">
            <v>$</v>
          </cell>
          <cell r="X199" t="str">
            <v>Oui</v>
          </cell>
        </row>
        <row r="200">
          <cell r="O200">
            <v>-2</v>
          </cell>
          <cell r="U200" t="str">
            <v>Véhicules neufs</v>
          </cell>
          <cell r="V200" t="str">
            <v>Autos détail</v>
          </cell>
          <cell r="W200" t="str">
            <v>NB</v>
          </cell>
          <cell r="X200">
            <v>0</v>
          </cell>
        </row>
        <row r="201">
          <cell r="C201">
            <v>-1192586.8899999999</v>
          </cell>
          <cell r="O201">
            <v>-507864.53</v>
          </cell>
          <cell r="U201" t="str">
            <v>Véhicules usagés</v>
          </cell>
          <cell r="V201" t="str">
            <v>Non Certifié</v>
          </cell>
          <cell r="W201" t="str">
            <v>$</v>
          </cell>
          <cell r="X201" t="str">
            <v>Oui</v>
          </cell>
        </row>
        <row r="202">
          <cell r="O202">
            <v>-30</v>
          </cell>
          <cell r="U202" t="str">
            <v>Véhicules usagés</v>
          </cell>
          <cell r="V202" t="str">
            <v>Non Certifié</v>
          </cell>
          <cell r="W202" t="str">
            <v>NB</v>
          </cell>
          <cell r="X202">
            <v>0</v>
          </cell>
        </row>
        <row r="203">
          <cell r="C203">
            <v>-274670.84999999998</v>
          </cell>
          <cell r="O203">
            <v>-170417.24</v>
          </cell>
          <cell r="U203" t="str">
            <v>Véhicules usagés</v>
          </cell>
          <cell r="V203" t="str">
            <v>Non Certifié</v>
          </cell>
          <cell r="W203" t="str">
            <v>$</v>
          </cell>
          <cell r="X203" t="str">
            <v>Oui</v>
          </cell>
        </row>
        <row r="204">
          <cell r="O204">
            <v>-9</v>
          </cell>
          <cell r="U204" t="str">
            <v>Véhicules usagés</v>
          </cell>
          <cell r="V204" t="str">
            <v>Non Certifié</v>
          </cell>
          <cell r="W204" t="str">
            <v>NB</v>
          </cell>
          <cell r="X204">
            <v>0</v>
          </cell>
        </row>
        <row r="205">
          <cell r="C205">
            <v>-514120.5</v>
          </cell>
          <cell r="O205">
            <v>-141762.5</v>
          </cell>
          <cell r="U205" t="str">
            <v>Véhicules usagés</v>
          </cell>
          <cell r="V205" t="str">
            <v>Ventes au Gros</v>
          </cell>
          <cell r="W205" t="str">
            <v>$</v>
          </cell>
          <cell r="X205" t="str">
            <v>Oui</v>
          </cell>
        </row>
        <row r="206">
          <cell r="O206">
            <v>-22</v>
          </cell>
          <cell r="U206" t="str">
            <v>Véhicules usagés</v>
          </cell>
          <cell r="V206" t="str">
            <v>Ventes au Gros</v>
          </cell>
          <cell r="W206" t="str">
            <v>NB</v>
          </cell>
          <cell r="X206">
            <v>0</v>
          </cell>
        </row>
        <row r="207">
          <cell r="C207">
            <v>-221073.14</v>
          </cell>
          <cell r="O207">
            <v>-171222.02</v>
          </cell>
          <cell r="U207" t="str">
            <v>Service</v>
          </cell>
          <cell r="V207" t="str">
            <v>M/O Client</v>
          </cell>
          <cell r="W207" t="str">
            <v>$</v>
          </cell>
          <cell r="X207" t="str">
            <v>Oui</v>
          </cell>
        </row>
        <row r="208">
          <cell r="O208">
            <v>-761</v>
          </cell>
          <cell r="U208" t="str">
            <v>Service</v>
          </cell>
          <cell r="V208" t="str">
            <v>M/O Client</v>
          </cell>
          <cell r="W208" t="str">
            <v>NB</v>
          </cell>
          <cell r="X208">
            <v>0</v>
          </cell>
        </row>
        <row r="209">
          <cell r="C209">
            <v>-49.94</v>
          </cell>
          <cell r="O209">
            <v>-397.23</v>
          </cell>
          <cell r="U209" t="str">
            <v>Service</v>
          </cell>
          <cell r="V209" t="str">
            <v>M/O Esthétique</v>
          </cell>
          <cell r="W209" t="str">
            <v>$</v>
          </cell>
          <cell r="X209" t="str">
            <v>Oui</v>
          </cell>
        </row>
        <row r="210">
          <cell r="C210">
            <v>-178924.77</v>
          </cell>
          <cell r="O210">
            <v>-68719.06</v>
          </cell>
          <cell r="U210" t="str">
            <v>Service</v>
          </cell>
          <cell r="V210" t="str">
            <v>M/O Garantie</v>
          </cell>
          <cell r="W210" t="str">
            <v>$</v>
          </cell>
          <cell r="X210" t="str">
            <v>Oui</v>
          </cell>
        </row>
        <row r="211">
          <cell r="O211">
            <v>-340</v>
          </cell>
          <cell r="U211" t="str">
            <v>Service</v>
          </cell>
          <cell r="V211" t="str">
            <v>M/O Garantie</v>
          </cell>
          <cell r="W211" t="str">
            <v>NB</v>
          </cell>
          <cell r="X211">
            <v>0</v>
          </cell>
        </row>
        <row r="212">
          <cell r="C212">
            <v>-118649.19</v>
          </cell>
          <cell r="O212">
            <v>-38245.379999999997</v>
          </cell>
          <cell r="U212" t="str">
            <v>Service</v>
          </cell>
          <cell r="V212" t="str">
            <v>M/O Interne</v>
          </cell>
          <cell r="W212" t="str">
            <v>$</v>
          </cell>
          <cell r="X212" t="str">
            <v>Oui</v>
          </cell>
        </row>
        <row r="213">
          <cell r="O213">
            <v>-210</v>
          </cell>
          <cell r="U213" t="str">
            <v>Service</v>
          </cell>
          <cell r="V213" t="str">
            <v>M/O Interne</v>
          </cell>
          <cell r="W213" t="str">
            <v>NB</v>
          </cell>
          <cell r="X213">
            <v>0</v>
          </cell>
        </row>
        <row r="214">
          <cell r="C214">
            <v>-40801.550000000003</v>
          </cell>
          <cell r="O214">
            <v>-21521.53</v>
          </cell>
          <cell r="U214" t="str">
            <v>Pièces</v>
          </cell>
          <cell r="V214" t="str">
            <v>Huiles et Graisse</v>
          </cell>
          <cell r="W214" t="str">
            <v>$</v>
          </cell>
          <cell r="X214" t="str">
            <v>Oui</v>
          </cell>
        </row>
        <row r="215">
          <cell r="O215">
            <v>-357</v>
          </cell>
          <cell r="U215" t="str">
            <v>Pièces</v>
          </cell>
          <cell r="V215" t="str">
            <v>Huiles et Graisse</v>
          </cell>
          <cell r="W215" t="str">
            <v>NB</v>
          </cell>
          <cell r="X215">
            <v>0</v>
          </cell>
        </row>
        <row r="216">
          <cell r="C216">
            <v>-5449.37</v>
          </cell>
          <cell r="O216">
            <v>-13500.79</v>
          </cell>
          <cell r="U216" t="str">
            <v>Service</v>
          </cell>
          <cell r="V216" t="str">
            <v>Sous-traitement</v>
          </cell>
          <cell r="W216" t="str">
            <v>$</v>
          </cell>
          <cell r="X216" t="str">
            <v>Oui</v>
          </cell>
        </row>
        <row r="217">
          <cell r="O217">
            <v>-89</v>
          </cell>
          <cell r="U217" t="str">
            <v>Service</v>
          </cell>
          <cell r="V217" t="str">
            <v>Sous-traitement</v>
          </cell>
          <cell r="W217" t="str">
            <v>NB</v>
          </cell>
          <cell r="X217">
            <v>0</v>
          </cell>
        </row>
        <row r="218">
          <cell r="C218">
            <v>-2187.06</v>
          </cell>
          <cell r="O218">
            <v>-477.5</v>
          </cell>
          <cell r="U218" t="str">
            <v>Service</v>
          </cell>
          <cell r="V218" t="str">
            <v>Sous-traitement</v>
          </cell>
          <cell r="W218" t="str">
            <v>$</v>
          </cell>
          <cell r="X218" t="str">
            <v>Oui</v>
          </cell>
        </row>
        <row r="219">
          <cell r="O219">
            <v>-4</v>
          </cell>
          <cell r="U219" t="str">
            <v>Service</v>
          </cell>
          <cell r="V219" t="str">
            <v>Sous-traitement</v>
          </cell>
          <cell r="W219" t="str">
            <v>NB</v>
          </cell>
          <cell r="X219">
            <v>0</v>
          </cell>
        </row>
        <row r="220">
          <cell r="C220">
            <v>-76992.240000000005</v>
          </cell>
          <cell r="O220">
            <v>-32523.51</v>
          </cell>
          <cell r="U220" t="str">
            <v>Service</v>
          </cell>
          <cell r="V220" t="str">
            <v>Sous-traitement</v>
          </cell>
          <cell r="W220" t="str">
            <v>$</v>
          </cell>
          <cell r="X220" t="str">
            <v>Oui</v>
          </cell>
        </row>
        <row r="221">
          <cell r="O221">
            <v>-193</v>
          </cell>
          <cell r="U221" t="str">
            <v>Service</v>
          </cell>
          <cell r="V221" t="str">
            <v>Sous-traitement</v>
          </cell>
          <cell r="W221" t="str">
            <v>NB</v>
          </cell>
          <cell r="X221">
            <v>0</v>
          </cell>
        </row>
        <row r="222">
          <cell r="C222">
            <v>-146639.82999999999</v>
          </cell>
          <cell r="O222">
            <v>-45593.89</v>
          </cell>
          <cell r="U222" t="str">
            <v>Carrosserie</v>
          </cell>
          <cell r="V222" t="str">
            <v>M/O Sous-traitement</v>
          </cell>
          <cell r="W222" t="str">
            <v>$</v>
          </cell>
          <cell r="X222" t="str">
            <v>Oui</v>
          </cell>
        </row>
        <row r="223">
          <cell r="O223">
            <v>-36</v>
          </cell>
          <cell r="U223" t="str">
            <v>Carrosserie</v>
          </cell>
          <cell r="V223" t="str">
            <v>M/O Sous-traitement</v>
          </cell>
          <cell r="W223" t="str">
            <v>NB</v>
          </cell>
          <cell r="X223">
            <v>0</v>
          </cell>
        </row>
        <row r="224">
          <cell r="C224">
            <v>-153304.46</v>
          </cell>
          <cell r="O224">
            <v>-47622.12</v>
          </cell>
          <cell r="U224" t="str">
            <v>Carrosserie</v>
          </cell>
          <cell r="V224" t="str">
            <v>M/O Sous-traitement</v>
          </cell>
          <cell r="W224" t="str">
            <v>$</v>
          </cell>
          <cell r="X224" t="str">
            <v>Oui</v>
          </cell>
        </row>
        <row r="225">
          <cell r="O225">
            <v>-28</v>
          </cell>
          <cell r="U225" t="str">
            <v>Carrosserie</v>
          </cell>
          <cell r="V225" t="str">
            <v>M/O Sous-traitement</v>
          </cell>
          <cell r="W225" t="str">
            <v>NB</v>
          </cell>
          <cell r="X225">
            <v>0</v>
          </cell>
        </row>
        <row r="226">
          <cell r="C226">
            <v>-19496.8</v>
          </cell>
          <cell r="O226">
            <v>-12161.39</v>
          </cell>
          <cell r="U226" t="str">
            <v>Carrosserie</v>
          </cell>
          <cell r="V226" t="str">
            <v>M/O Sous-traitement</v>
          </cell>
          <cell r="W226" t="str">
            <v>$</v>
          </cell>
          <cell r="X226" t="str">
            <v>Oui</v>
          </cell>
        </row>
        <row r="227">
          <cell r="O227">
            <v>-25</v>
          </cell>
          <cell r="U227" t="str">
            <v>Carrosserie</v>
          </cell>
          <cell r="V227" t="str">
            <v>M/O Sous-traitement</v>
          </cell>
          <cell r="W227" t="str">
            <v>NB</v>
          </cell>
          <cell r="X227">
            <v>0</v>
          </cell>
        </row>
        <row r="228">
          <cell r="C228">
            <v>-142259.85999999999</v>
          </cell>
          <cell r="O228">
            <v>-93065.57</v>
          </cell>
          <cell r="U228" t="str">
            <v>Pièces</v>
          </cell>
          <cell r="V228" t="str">
            <v>Pièces Ro Clients</v>
          </cell>
          <cell r="W228" t="str">
            <v>$</v>
          </cell>
          <cell r="X228" t="str">
            <v>Oui</v>
          </cell>
        </row>
        <row r="229">
          <cell r="O229">
            <v>-713</v>
          </cell>
          <cell r="U229" t="str">
            <v>Pièces</v>
          </cell>
          <cell r="V229" t="str">
            <v>Pièces Ro Clients</v>
          </cell>
          <cell r="W229" t="str">
            <v>NB</v>
          </cell>
          <cell r="X229">
            <v>0</v>
          </cell>
        </row>
        <row r="230">
          <cell r="C230">
            <v>-249211.62</v>
          </cell>
          <cell r="O230">
            <v>-49947.62</v>
          </cell>
          <cell r="U230" t="str">
            <v>Pièces</v>
          </cell>
          <cell r="V230" t="str">
            <v>P/A Garantie</v>
          </cell>
          <cell r="W230" t="str">
            <v>$</v>
          </cell>
          <cell r="X230" t="str">
            <v>Oui</v>
          </cell>
        </row>
        <row r="231">
          <cell r="O231">
            <v>-267</v>
          </cell>
          <cell r="U231" t="str">
            <v>Pièces</v>
          </cell>
          <cell r="V231" t="str">
            <v>P/A Garantie</v>
          </cell>
          <cell r="W231" t="str">
            <v>NB</v>
          </cell>
          <cell r="X231">
            <v>0</v>
          </cell>
        </row>
        <row r="232">
          <cell r="C232">
            <v>-105844.31</v>
          </cell>
          <cell r="O232">
            <v>-33422.04</v>
          </cell>
          <cell r="U232" t="str">
            <v>Pièces</v>
          </cell>
          <cell r="V232" t="str">
            <v>Ventes Internes</v>
          </cell>
          <cell r="W232" t="str">
            <v>$</v>
          </cell>
          <cell r="X232" t="str">
            <v>Oui</v>
          </cell>
        </row>
        <row r="233">
          <cell r="O233">
            <v>-240</v>
          </cell>
          <cell r="U233" t="str">
            <v>Pièces</v>
          </cell>
          <cell r="V233" t="str">
            <v>Ventes Internes</v>
          </cell>
          <cell r="W233" t="str">
            <v>NB</v>
          </cell>
          <cell r="X233">
            <v>0</v>
          </cell>
        </row>
        <row r="234">
          <cell r="C234">
            <v>-9854.4</v>
          </cell>
          <cell r="O234">
            <v>-3442.21</v>
          </cell>
          <cell r="U234" t="str">
            <v>Pièces</v>
          </cell>
          <cell r="V234" t="str">
            <v>Pièces Ro Clients</v>
          </cell>
          <cell r="W234" t="str">
            <v>$</v>
          </cell>
          <cell r="X234" t="str">
            <v>Oui</v>
          </cell>
        </row>
        <row r="235">
          <cell r="O235">
            <v>-63</v>
          </cell>
          <cell r="U235" t="str">
            <v>Pièces</v>
          </cell>
          <cell r="V235" t="str">
            <v>Pièces Ro Clients</v>
          </cell>
          <cell r="W235" t="str">
            <v>NB</v>
          </cell>
          <cell r="X235">
            <v>0</v>
          </cell>
        </row>
        <row r="236">
          <cell r="C236">
            <v>-20774.740000000002</v>
          </cell>
          <cell r="O236">
            <v>-8086.6</v>
          </cell>
          <cell r="U236" t="str">
            <v>Pièces</v>
          </cell>
          <cell r="V236" t="str">
            <v>Pièces Ro Clients</v>
          </cell>
          <cell r="W236" t="str">
            <v>$</v>
          </cell>
          <cell r="X236" t="str">
            <v>Oui</v>
          </cell>
        </row>
        <row r="237">
          <cell r="O237">
            <v>-20</v>
          </cell>
          <cell r="U237" t="str">
            <v>Pièces</v>
          </cell>
          <cell r="V237" t="str">
            <v>Pièces Ro Clients</v>
          </cell>
          <cell r="W237" t="str">
            <v>NB</v>
          </cell>
          <cell r="X237">
            <v>0</v>
          </cell>
        </row>
        <row r="238">
          <cell r="C238">
            <v>-65128.639999999999</v>
          </cell>
          <cell r="O238">
            <v>-22787.62</v>
          </cell>
          <cell r="U238" t="str">
            <v>Pièces</v>
          </cell>
          <cell r="V238" t="str">
            <v>Pièces Ro Carrosserie</v>
          </cell>
          <cell r="W238" t="str">
            <v>$</v>
          </cell>
          <cell r="X238" t="str">
            <v>Oui</v>
          </cell>
        </row>
        <row r="239">
          <cell r="O239">
            <v>-25</v>
          </cell>
          <cell r="U239" t="str">
            <v>Pièces</v>
          </cell>
          <cell r="V239" t="str">
            <v>Pièces Ro Carrosserie</v>
          </cell>
          <cell r="W239" t="str">
            <v>NB</v>
          </cell>
          <cell r="X239">
            <v>0</v>
          </cell>
        </row>
        <row r="240">
          <cell r="C240">
            <v>-135584.17000000001</v>
          </cell>
          <cell r="O240">
            <v>-30539.88</v>
          </cell>
          <cell r="U240" t="str">
            <v>Pièces</v>
          </cell>
          <cell r="V240" t="str">
            <v>Pièces Ro Carrosserie</v>
          </cell>
          <cell r="W240" t="str">
            <v>$</v>
          </cell>
          <cell r="X240" t="str">
            <v>Oui</v>
          </cell>
        </row>
        <row r="241">
          <cell r="O241">
            <v>-19</v>
          </cell>
          <cell r="U241" t="str">
            <v>Pièces</v>
          </cell>
          <cell r="V241" t="str">
            <v>Pièces Ro Carrosserie</v>
          </cell>
          <cell r="W241" t="str">
            <v>NB</v>
          </cell>
          <cell r="X241">
            <v>0</v>
          </cell>
        </row>
        <row r="242">
          <cell r="C242">
            <v>-4185.9399999999996</v>
          </cell>
          <cell r="O242">
            <v>-379.06</v>
          </cell>
          <cell r="U242" t="str">
            <v>Pièces</v>
          </cell>
          <cell r="V242" t="str">
            <v>Pièces Ro Carrosserie</v>
          </cell>
          <cell r="W242" t="str">
            <v>$</v>
          </cell>
          <cell r="X242" t="str">
            <v>Oui</v>
          </cell>
        </row>
        <row r="243">
          <cell r="O243">
            <v>-2</v>
          </cell>
          <cell r="U243" t="str">
            <v>Pièces</v>
          </cell>
          <cell r="V243" t="str">
            <v>Pièces Ro Carrosserie</v>
          </cell>
          <cell r="W243" t="str">
            <v>NB</v>
          </cell>
          <cell r="X243">
            <v>0</v>
          </cell>
        </row>
        <row r="244">
          <cell r="C244">
            <v>-29203.23</v>
          </cell>
          <cell r="O244">
            <v>-14681.79</v>
          </cell>
          <cell r="U244" t="str">
            <v>Pièces</v>
          </cell>
          <cell r="V244" t="str">
            <v>Ventes Détails</v>
          </cell>
          <cell r="W244" t="str">
            <v>$</v>
          </cell>
          <cell r="X244" t="str">
            <v>Oui</v>
          </cell>
        </row>
        <row r="245">
          <cell r="O245">
            <v>-219</v>
          </cell>
          <cell r="U245" t="str">
            <v>Pièces</v>
          </cell>
          <cell r="V245" t="str">
            <v>Ventes Détails</v>
          </cell>
          <cell r="W245" t="str">
            <v>NB</v>
          </cell>
          <cell r="X245">
            <v>0</v>
          </cell>
        </row>
        <row r="246">
          <cell r="C246">
            <v>-142068.96</v>
          </cell>
          <cell r="O246">
            <v>-51943.58</v>
          </cell>
          <cell r="U246" t="str">
            <v>Pièces</v>
          </cell>
          <cell r="V246" t="str">
            <v>Ventes de Gros</v>
          </cell>
          <cell r="W246" t="str">
            <v>$</v>
          </cell>
          <cell r="X246" t="str">
            <v>Oui</v>
          </cell>
        </row>
        <row r="247">
          <cell r="O247">
            <v>-235</v>
          </cell>
          <cell r="U247" t="str">
            <v>Pièces</v>
          </cell>
          <cell r="V247" t="str">
            <v>Ventes de Gros</v>
          </cell>
          <cell r="W247" t="str">
            <v>NB</v>
          </cell>
          <cell r="X247">
            <v>0</v>
          </cell>
        </row>
        <row r="248">
          <cell r="C248">
            <v>-119432.5</v>
          </cell>
          <cell r="O248">
            <v>-11417.96</v>
          </cell>
          <cell r="U248" t="str">
            <v>Pièces</v>
          </cell>
          <cell r="V248" t="str">
            <v>Ventes Pneus</v>
          </cell>
          <cell r="W248" t="str">
            <v>$</v>
          </cell>
          <cell r="X248" t="str">
            <v>Oui</v>
          </cell>
        </row>
        <row r="249">
          <cell r="O249">
            <v>-21</v>
          </cell>
          <cell r="U249" t="str">
            <v>Pièces</v>
          </cell>
          <cell r="V249" t="str">
            <v>Ventes Pneus</v>
          </cell>
          <cell r="W249" t="str">
            <v>NB</v>
          </cell>
          <cell r="X249">
            <v>0</v>
          </cell>
        </row>
        <row r="250">
          <cell r="C250">
            <v>-820.79</v>
          </cell>
          <cell r="O250">
            <v>0</v>
          </cell>
          <cell r="U250" t="str">
            <v>Pièces</v>
          </cell>
          <cell r="V250" t="str">
            <v>Ventes Pneus</v>
          </cell>
          <cell r="W250" t="str">
            <v>$</v>
          </cell>
          <cell r="X250" t="str">
            <v>Oui</v>
          </cell>
        </row>
        <row r="251">
          <cell r="C251">
            <v>169364.5</v>
          </cell>
          <cell r="O251">
            <v>155190</v>
          </cell>
          <cell r="U251" t="str">
            <v>Véhicules neufs</v>
          </cell>
          <cell r="V251" t="str">
            <v>Rachat bail</v>
          </cell>
          <cell r="W251" t="str">
            <v>$</v>
          </cell>
          <cell r="X251">
            <v>0</v>
          </cell>
        </row>
        <row r="252">
          <cell r="C252">
            <v>197931.21</v>
          </cell>
          <cell r="O252">
            <v>182466.8</v>
          </cell>
          <cell r="U252" t="str">
            <v>Véhicules neufs</v>
          </cell>
          <cell r="V252" t="str">
            <v>Autos détail</v>
          </cell>
          <cell r="W252" t="str">
            <v>$</v>
          </cell>
          <cell r="X252">
            <v>0</v>
          </cell>
        </row>
        <row r="253">
          <cell r="C253">
            <v>0</v>
          </cell>
          <cell r="O253">
            <v>104779.37</v>
          </cell>
          <cell r="U253" t="str">
            <v>Véhicules neufs</v>
          </cell>
          <cell r="V253" t="str">
            <v>Autos détail</v>
          </cell>
          <cell r="W253" t="str">
            <v>$</v>
          </cell>
          <cell r="X253">
            <v>0</v>
          </cell>
        </row>
        <row r="254">
          <cell r="C254">
            <v>595690.75</v>
          </cell>
          <cell r="O254">
            <v>181680.17</v>
          </cell>
          <cell r="U254" t="str">
            <v>Véhicules neufs</v>
          </cell>
          <cell r="V254" t="str">
            <v>Autos détail</v>
          </cell>
          <cell r="W254" t="str">
            <v>$</v>
          </cell>
          <cell r="X254">
            <v>0</v>
          </cell>
        </row>
        <row r="255">
          <cell r="C255">
            <v>216760.14</v>
          </cell>
          <cell r="O255">
            <v>214279.13</v>
          </cell>
          <cell r="U255" t="str">
            <v>Véhicules neufs</v>
          </cell>
          <cell r="V255" t="str">
            <v>Autos détail</v>
          </cell>
          <cell r="W255" t="str">
            <v>$</v>
          </cell>
          <cell r="X255">
            <v>0</v>
          </cell>
        </row>
        <row r="256">
          <cell r="C256">
            <v>1128157.44</v>
          </cell>
          <cell r="O256">
            <v>722103.53</v>
          </cell>
          <cell r="U256" t="str">
            <v>Véhicules neufs</v>
          </cell>
          <cell r="V256" t="str">
            <v>Autos détail</v>
          </cell>
          <cell r="W256" t="str">
            <v>$</v>
          </cell>
          <cell r="X256">
            <v>0</v>
          </cell>
        </row>
        <row r="257">
          <cell r="C257">
            <v>468254.22</v>
          </cell>
          <cell r="O257">
            <v>123265.3</v>
          </cell>
          <cell r="U257" t="str">
            <v>Véhicules neufs</v>
          </cell>
          <cell r="V257" t="str">
            <v>Autos détail</v>
          </cell>
          <cell r="W257" t="str">
            <v>$</v>
          </cell>
          <cell r="X257">
            <v>0</v>
          </cell>
        </row>
        <row r="258">
          <cell r="C258">
            <v>37395.17</v>
          </cell>
          <cell r="O258">
            <v>0</v>
          </cell>
          <cell r="U258" t="str">
            <v>Véhicules neufs</v>
          </cell>
          <cell r="V258" t="str">
            <v>Autos détail</v>
          </cell>
          <cell r="W258" t="str">
            <v>$</v>
          </cell>
          <cell r="X258">
            <v>0</v>
          </cell>
        </row>
        <row r="259">
          <cell r="C259">
            <v>845470.38</v>
          </cell>
          <cell r="O259">
            <v>287027.34000000003</v>
          </cell>
          <cell r="U259" t="str">
            <v>Véhicules neufs</v>
          </cell>
          <cell r="V259" t="str">
            <v>Camions détail</v>
          </cell>
          <cell r="W259" t="str">
            <v>$</v>
          </cell>
          <cell r="X259">
            <v>0</v>
          </cell>
        </row>
        <row r="260">
          <cell r="C260">
            <v>142842.32</v>
          </cell>
          <cell r="O260">
            <v>75479.19</v>
          </cell>
          <cell r="U260" t="str">
            <v>Véhicules neufs</v>
          </cell>
          <cell r="V260" t="str">
            <v>Autos détail</v>
          </cell>
          <cell r="W260" t="str">
            <v>$</v>
          </cell>
          <cell r="X260">
            <v>0</v>
          </cell>
        </row>
        <row r="261">
          <cell r="C261">
            <v>2611193.14</v>
          </cell>
          <cell r="O261">
            <v>817964.81</v>
          </cell>
          <cell r="U261" t="str">
            <v>Véhicules neufs</v>
          </cell>
          <cell r="V261" t="str">
            <v>Camions détail</v>
          </cell>
          <cell r="W261" t="str">
            <v>$</v>
          </cell>
          <cell r="X261">
            <v>0</v>
          </cell>
        </row>
        <row r="262">
          <cell r="C262">
            <v>305044.09999999998</v>
          </cell>
          <cell r="O262">
            <v>81378.41</v>
          </cell>
          <cell r="U262" t="str">
            <v>Véhicules neufs</v>
          </cell>
          <cell r="V262" t="str">
            <v>Autos détail</v>
          </cell>
          <cell r="W262" t="str">
            <v>$</v>
          </cell>
          <cell r="X262">
            <v>0</v>
          </cell>
        </row>
        <row r="263">
          <cell r="C263">
            <v>1086787.6100000001</v>
          </cell>
          <cell r="O263">
            <v>450821.14</v>
          </cell>
          <cell r="U263" t="str">
            <v>Véhicules usagés</v>
          </cell>
          <cell r="V263" t="str">
            <v>Non Certifié</v>
          </cell>
          <cell r="W263" t="str">
            <v>$</v>
          </cell>
          <cell r="X263">
            <v>0</v>
          </cell>
        </row>
        <row r="264">
          <cell r="C264">
            <v>88348.61</v>
          </cell>
          <cell r="O264">
            <v>44136.61</v>
          </cell>
          <cell r="U264" t="str">
            <v>Véhicules usagés</v>
          </cell>
          <cell r="V264" t="str">
            <v>Non Certifié</v>
          </cell>
          <cell r="W264" t="str">
            <v>$</v>
          </cell>
          <cell r="X264">
            <v>0</v>
          </cell>
        </row>
        <row r="265">
          <cell r="C265">
            <v>242672.74</v>
          </cell>
          <cell r="O265">
            <v>148556.73000000001</v>
          </cell>
          <cell r="U265" t="str">
            <v>Véhicules usagés</v>
          </cell>
          <cell r="V265" t="str">
            <v>Non Certifié</v>
          </cell>
          <cell r="W265" t="str">
            <v>$</v>
          </cell>
          <cell r="X265">
            <v>0</v>
          </cell>
        </row>
        <row r="266">
          <cell r="C266">
            <v>19318.689999999999</v>
          </cell>
          <cell r="O266">
            <v>12162.22</v>
          </cell>
          <cell r="U266" t="str">
            <v>Véhicules usagés</v>
          </cell>
          <cell r="V266" t="str">
            <v>Non Certifié</v>
          </cell>
          <cell r="W266" t="str">
            <v>$</v>
          </cell>
          <cell r="X266">
            <v>0</v>
          </cell>
        </row>
        <row r="267">
          <cell r="C267">
            <v>508915.6</v>
          </cell>
          <cell r="O267">
            <v>134447.66</v>
          </cell>
          <cell r="U267" t="str">
            <v>Véhicules usagés</v>
          </cell>
          <cell r="V267" t="str">
            <v>Ventes au Gros</v>
          </cell>
          <cell r="W267" t="str">
            <v>$</v>
          </cell>
          <cell r="X267">
            <v>0</v>
          </cell>
        </row>
        <row r="268">
          <cell r="C268">
            <v>58051.15</v>
          </cell>
          <cell r="O268">
            <v>40034.559999999998</v>
          </cell>
          <cell r="U268" t="str">
            <v>Service</v>
          </cell>
          <cell r="V268" t="str">
            <v>M/O Client</v>
          </cell>
          <cell r="W268" t="str">
            <v>$</v>
          </cell>
          <cell r="X268">
            <v>0</v>
          </cell>
        </row>
        <row r="269">
          <cell r="C269">
            <v>0</v>
          </cell>
          <cell r="O269">
            <v>30.6</v>
          </cell>
          <cell r="U269" t="str">
            <v>Service</v>
          </cell>
          <cell r="V269" t="str">
            <v>M/O Esthétique</v>
          </cell>
          <cell r="W269" t="str">
            <v>$</v>
          </cell>
          <cell r="X269">
            <v>0</v>
          </cell>
        </row>
        <row r="270">
          <cell r="C270">
            <v>54642.92</v>
          </cell>
          <cell r="O270">
            <v>20155.509999999998</v>
          </cell>
          <cell r="U270" t="str">
            <v>Service</v>
          </cell>
          <cell r="V270" t="str">
            <v>M/O Garantie</v>
          </cell>
          <cell r="W270" t="str">
            <v>$</v>
          </cell>
          <cell r="X270">
            <v>0</v>
          </cell>
        </row>
        <row r="271">
          <cell r="C271">
            <v>36016.44</v>
          </cell>
          <cell r="O271">
            <v>13563.02</v>
          </cell>
          <cell r="U271" t="str">
            <v>Service</v>
          </cell>
          <cell r="V271" t="str">
            <v>M/O Interne</v>
          </cell>
          <cell r="W271" t="str">
            <v>$</v>
          </cell>
          <cell r="X271">
            <v>0</v>
          </cell>
        </row>
        <row r="272">
          <cell r="C272">
            <v>9639.6</v>
          </cell>
          <cell r="O272">
            <v>3427.54</v>
          </cell>
          <cell r="U272" t="str">
            <v>Service</v>
          </cell>
          <cell r="V272" t="str">
            <v>Ajustement M/O</v>
          </cell>
          <cell r="W272" t="str">
            <v>$</v>
          </cell>
          <cell r="X272">
            <v>0</v>
          </cell>
        </row>
        <row r="273">
          <cell r="C273">
            <v>29281.52</v>
          </cell>
          <cell r="O273">
            <v>14866.32</v>
          </cell>
          <cell r="U273" t="str">
            <v>Pièces</v>
          </cell>
          <cell r="V273" t="str">
            <v>Huiles et Graisse</v>
          </cell>
          <cell r="W273" t="str">
            <v>$</v>
          </cell>
          <cell r="X273">
            <v>0</v>
          </cell>
        </row>
        <row r="274">
          <cell r="C274">
            <v>3931.19</v>
          </cell>
          <cell r="O274">
            <v>9265.4</v>
          </cell>
          <cell r="U274" t="str">
            <v>Service</v>
          </cell>
          <cell r="V274" t="str">
            <v>Sous-traitement</v>
          </cell>
          <cell r="W274" t="str">
            <v>$</v>
          </cell>
          <cell r="X274">
            <v>0</v>
          </cell>
        </row>
        <row r="275">
          <cell r="C275">
            <v>3230.96</v>
          </cell>
          <cell r="O275">
            <v>1591.5</v>
          </cell>
          <cell r="U275" t="str">
            <v>Service</v>
          </cell>
          <cell r="V275" t="str">
            <v>Sous-traitement</v>
          </cell>
          <cell r="W275" t="str">
            <v>$</v>
          </cell>
          <cell r="X275">
            <v>0</v>
          </cell>
        </row>
        <row r="276">
          <cell r="C276">
            <v>55005.03</v>
          </cell>
          <cell r="O276">
            <v>23962.85</v>
          </cell>
          <cell r="U276" t="str">
            <v>Service</v>
          </cell>
          <cell r="V276" t="str">
            <v>Sous-traitement</v>
          </cell>
          <cell r="W276" t="str">
            <v>$</v>
          </cell>
          <cell r="X276">
            <v>0</v>
          </cell>
        </row>
        <row r="277">
          <cell r="C277">
            <v>80428.17</v>
          </cell>
          <cell r="O277">
            <v>24040.27</v>
          </cell>
          <cell r="U277" t="str">
            <v>Carrosserie</v>
          </cell>
          <cell r="V277" t="str">
            <v>M/O Sous-traitement</v>
          </cell>
          <cell r="W277" t="str">
            <v>$</v>
          </cell>
          <cell r="X277">
            <v>0</v>
          </cell>
        </row>
        <row r="278">
          <cell r="C278">
            <v>153304.46</v>
          </cell>
          <cell r="O278">
            <v>47622.12</v>
          </cell>
          <cell r="U278" t="str">
            <v>Carrosserie</v>
          </cell>
          <cell r="V278" t="str">
            <v>M/O Sous-traitement</v>
          </cell>
          <cell r="W278" t="str">
            <v>$</v>
          </cell>
          <cell r="X278">
            <v>0</v>
          </cell>
        </row>
        <row r="279">
          <cell r="C279">
            <v>15423.25</v>
          </cell>
          <cell r="O279">
            <v>9400.14</v>
          </cell>
          <cell r="U279" t="str">
            <v>Carrosserie</v>
          </cell>
          <cell r="V279" t="str">
            <v>M/O Sous-traitement</v>
          </cell>
          <cell r="W279" t="str">
            <v>$</v>
          </cell>
          <cell r="X279">
            <v>0</v>
          </cell>
        </row>
        <row r="280">
          <cell r="C280">
            <v>92122.83</v>
          </cell>
          <cell r="O280">
            <v>62390.39</v>
          </cell>
          <cell r="U280" t="str">
            <v>Pièces</v>
          </cell>
          <cell r="V280" t="str">
            <v>Pièces Ro Clients</v>
          </cell>
          <cell r="W280" t="str">
            <v>$</v>
          </cell>
          <cell r="X280">
            <v>0</v>
          </cell>
        </row>
        <row r="281">
          <cell r="C281">
            <v>189326.68</v>
          </cell>
          <cell r="O281">
            <v>38022.769999999997</v>
          </cell>
          <cell r="U281" t="str">
            <v>Pièces</v>
          </cell>
          <cell r="V281" t="str">
            <v>P/A Garantie</v>
          </cell>
          <cell r="W281" t="str">
            <v>$</v>
          </cell>
          <cell r="X281">
            <v>0</v>
          </cell>
        </row>
        <row r="282">
          <cell r="C282">
            <v>71588.41</v>
          </cell>
          <cell r="O282">
            <v>21924.959999999999</v>
          </cell>
          <cell r="U282" t="str">
            <v>Pièces</v>
          </cell>
          <cell r="V282" t="str">
            <v>Ventes Internes</v>
          </cell>
          <cell r="W282" t="str">
            <v>$</v>
          </cell>
          <cell r="X282">
            <v>0</v>
          </cell>
        </row>
        <row r="283">
          <cell r="C283">
            <v>6540.59</v>
          </cell>
          <cell r="O283">
            <v>2346.7600000000002</v>
          </cell>
          <cell r="U283" t="str">
            <v>Pièces</v>
          </cell>
          <cell r="V283" t="str">
            <v>Pièces Ro Clients</v>
          </cell>
          <cell r="W283" t="str">
            <v>$</v>
          </cell>
          <cell r="X283">
            <v>0</v>
          </cell>
        </row>
        <row r="284">
          <cell r="C284">
            <v>19635.11</v>
          </cell>
          <cell r="O284">
            <v>7628.85</v>
          </cell>
          <cell r="U284" t="str">
            <v>Pièces</v>
          </cell>
          <cell r="V284" t="str">
            <v>Pièces Ro Clients</v>
          </cell>
          <cell r="W284" t="str">
            <v>$</v>
          </cell>
          <cell r="X284">
            <v>0</v>
          </cell>
        </row>
        <row r="285">
          <cell r="C285">
            <v>45684.83</v>
          </cell>
          <cell r="O285">
            <v>15148.29</v>
          </cell>
          <cell r="U285" t="str">
            <v>Pièces</v>
          </cell>
          <cell r="V285" t="str">
            <v>Pièces Ro Carrosserie</v>
          </cell>
          <cell r="W285" t="str">
            <v>$</v>
          </cell>
          <cell r="X285">
            <v>0</v>
          </cell>
        </row>
        <row r="286">
          <cell r="C286">
            <v>104271.12</v>
          </cell>
          <cell r="O286">
            <v>23491.98</v>
          </cell>
          <cell r="U286" t="str">
            <v>Pièces</v>
          </cell>
          <cell r="V286" t="str">
            <v>Pièces Ro Carrosserie</v>
          </cell>
          <cell r="W286" t="str">
            <v>$</v>
          </cell>
          <cell r="X286">
            <v>0</v>
          </cell>
        </row>
        <row r="287">
          <cell r="C287">
            <v>2826.28</v>
          </cell>
          <cell r="O287">
            <v>242.75</v>
          </cell>
          <cell r="U287" t="str">
            <v>Pièces</v>
          </cell>
          <cell r="V287" t="str">
            <v>Pièces Ro Carrosserie</v>
          </cell>
          <cell r="W287" t="str">
            <v>$</v>
          </cell>
          <cell r="X287">
            <v>0</v>
          </cell>
        </row>
        <row r="288">
          <cell r="C288">
            <v>20504.849999999999</v>
          </cell>
          <cell r="O288">
            <v>10307.6</v>
          </cell>
          <cell r="U288" t="str">
            <v>Pièces</v>
          </cell>
          <cell r="V288" t="str">
            <v>Ventes Détails</v>
          </cell>
          <cell r="W288" t="str">
            <v>$</v>
          </cell>
          <cell r="X288">
            <v>0</v>
          </cell>
        </row>
        <row r="289">
          <cell r="C289">
            <v>115053.94</v>
          </cell>
          <cell r="O289">
            <v>43081.91</v>
          </cell>
          <cell r="U289" t="str">
            <v>Pièces</v>
          </cell>
          <cell r="V289" t="str">
            <v>Ventes de Gros</v>
          </cell>
          <cell r="W289" t="str">
            <v>$</v>
          </cell>
          <cell r="X289">
            <v>0</v>
          </cell>
        </row>
        <row r="290">
          <cell r="C290">
            <v>96165.87</v>
          </cell>
          <cell r="O290">
            <v>9221.69</v>
          </cell>
          <cell r="U290" t="str">
            <v>Pièces</v>
          </cell>
          <cell r="V290" t="str">
            <v>Ventes Pneus</v>
          </cell>
          <cell r="W290" t="str">
            <v>$</v>
          </cell>
          <cell r="X290">
            <v>0</v>
          </cell>
        </row>
        <row r="291">
          <cell r="C291">
            <v>703.28</v>
          </cell>
          <cell r="O291">
            <v>0</v>
          </cell>
          <cell r="U291" t="str">
            <v>Pièces</v>
          </cell>
          <cell r="V291" t="str">
            <v>Ventes Pneus</v>
          </cell>
          <cell r="W291" t="str">
            <v>$</v>
          </cell>
          <cell r="X291">
            <v>0</v>
          </cell>
        </row>
        <row r="292">
          <cell r="C292">
            <v>-38066.629999999997</v>
          </cell>
          <cell r="O292">
            <v>-7605.82</v>
          </cell>
          <cell r="U292" t="str">
            <v>Pièces</v>
          </cell>
          <cell r="V292" t="str">
            <v>Escomptes</v>
          </cell>
          <cell r="W292" t="str">
            <v>$</v>
          </cell>
          <cell r="X292">
            <v>0</v>
          </cell>
        </row>
        <row r="293">
          <cell r="C293">
            <v>89002.11</v>
          </cell>
          <cell r="O293">
            <v>29947.41</v>
          </cell>
          <cell r="U293" t="str">
            <v>Véhicules neufs</v>
          </cell>
          <cell r="V293" t="str">
            <v>Comm. vendeurs</v>
          </cell>
          <cell r="W293" t="str">
            <v>$</v>
          </cell>
          <cell r="X293">
            <v>0</v>
          </cell>
        </row>
        <row r="294">
          <cell r="C294">
            <v>44881.37</v>
          </cell>
          <cell r="O294">
            <v>16920.189999999999</v>
          </cell>
          <cell r="U294" t="str">
            <v>Véhicules neufs</v>
          </cell>
          <cell r="V294" t="str">
            <v>Comm. F&amp;I</v>
          </cell>
          <cell r="W294" t="str">
            <v>$</v>
          </cell>
          <cell r="X294">
            <v>0</v>
          </cell>
        </row>
        <row r="295">
          <cell r="C295">
            <v>1825.96</v>
          </cell>
          <cell r="O295">
            <v>0</v>
          </cell>
          <cell r="U295" t="str">
            <v>Véhicules neufs</v>
          </cell>
          <cell r="V295" t="str">
            <v>Service gratuit 1</v>
          </cell>
          <cell r="W295" t="str">
            <v>$</v>
          </cell>
          <cell r="X295">
            <v>0</v>
          </cell>
        </row>
        <row r="296">
          <cell r="C296">
            <v>8473.52</v>
          </cell>
          <cell r="O296">
            <v>1221.25</v>
          </cell>
          <cell r="U296" t="str">
            <v>Véhicules neufs</v>
          </cell>
          <cell r="V296" t="str">
            <v>Entretien stock</v>
          </cell>
          <cell r="W296" t="str">
            <v>$</v>
          </cell>
          <cell r="X296">
            <v>0</v>
          </cell>
        </row>
        <row r="297">
          <cell r="C297">
            <v>55255.43</v>
          </cell>
          <cell r="O297">
            <v>19818.419999999998</v>
          </cell>
          <cell r="U297" t="str">
            <v>Véhicules neufs</v>
          </cell>
          <cell r="V297" t="str">
            <v>Intérêt de gros</v>
          </cell>
          <cell r="W297" t="str">
            <v>$</v>
          </cell>
          <cell r="X297">
            <v>0</v>
          </cell>
        </row>
        <row r="298">
          <cell r="C298">
            <v>30322.51</v>
          </cell>
          <cell r="O298">
            <v>13456.94</v>
          </cell>
          <cell r="U298" t="str">
            <v>Véhicules neufs</v>
          </cell>
          <cell r="V298" t="str">
            <v>Frais de livraison</v>
          </cell>
          <cell r="W298" t="str">
            <v>$</v>
          </cell>
          <cell r="X298">
            <v>0</v>
          </cell>
        </row>
        <row r="299">
          <cell r="C299">
            <v>35190</v>
          </cell>
          <cell r="O299">
            <v>14790</v>
          </cell>
          <cell r="U299" t="str">
            <v>Véhicules neufs</v>
          </cell>
          <cell r="V299" t="str">
            <v>Publicité 1</v>
          </cell>
          <cell r="W299" t="str">
            <v>$</v>
          </cell>
          <cell r="X299">
            <v>0</v>
          </cell>
        </row>
        <row r="300">
          <cell r="C300">
            <v>-19400</v>
          </cell>
          <cell r="O300">
            <v>-8400</v>
          </cell>
          <cell r="U300" t="str">
            <v>Véhicules neufs</v>
          </cell>
          <cell r="V300" t="str">
            <v>Publicité 1</v>
          </cell>
          <cell r="W300" t="str">
            <v>$</v>
          </cell>
          <cell r="X300">
            <v>0</v>
          </cell>
        </row>
        <row r="301">
          <cell r="C301">
            <v>7224.37</v>
          </cell>
          <cell r="O301">
            <v>3187.95</v>
          </cell>
          <cell r="U301" t="str">
            <v>Véhicules neufs</v>
          </cell>
          <cell r="V301" t="str">
            <v>Salaires propriétaire</v>
          </cell>
          <cell r="W301" t="str">
            <v>$</v>
          </cell>
          <cell r="X301">
            <v>0</v>
          </cell>
        </row>
        <row r="302">
          <cell r="C302">
            <v>71774.44</v>
          </cell>
          <cell r="O302">
            <v>18256.72</v>
          </cell>
          <cell r="U302" t="str">
            <v>Véhicules neufs</v>
          </cell>
          <cell r="V302" t="str">
            <v>Salaires cadres</v>
          </cell>
          <cell r="W302" t="str">
            <v>$</v>
          </cell>
          <cell r="X302">
            <v>0</v>
          </cell>
        </row>
        <row r="303">
          <cell r="C303">
            <v>27402.400000000001</v>
          </cell>
          <cell r="O303">
            <v>8581.81</v>
          </cell>
          <cell r="U303" t="str">
            <v>Véhicules neufs</v>
          </cell>
          <cell r="V303" t="str">
            <v>Salaires commis</v>
          </cell>
          <cell r="W303" t="str">
            <v>$</v>
          </cell>
          <cell r="X303">
            <v>0</v>
          </cell>
        </row>
        <row r="304">
          <cell r="C304">
            <v>17645.34</v>
          </cell>
          <cell r="O304">
            <v>6784.68</v>
          </cell>
          <cell r="U304" t="str">
            <v>Véhicules neufs</v>
          </cell>
          <cell r="V304" t="str">
            <v>Salaires autres</v>
          </cell>
          <cell r="W304" t="str">
            <v>$</v>
          </cell>
          <cell r="X304">
            <v>0</v>
          </cell>
        </row>
        <row r="305">
          <cell r="C305">
            <v>38168.839999999997</v>
          </cell>
          <cell r="O305">
            <v>13443.9</v>
          </cell>
          <cell r="U305" t="str">
            <v>Véhicules neufs</v>
          </cell>
          <cell r="V305" t="str">
            <v>Salaires en absences</v>
          </cell>
          <cell r="W305" t="str">
            <v>$</v>
          </cell>
          <cell r="X305">
            <v>0</v>
          </cell>
        </row>
        <row r="306">
          <cell r="C306">
            <v>8938.9599999999991</v>
          </cell>
          <cell r="O306">
            <v>2738.85</v>
          </cell>
          <cell r="U306" t="str">
            <v>Véhicules neufs</v>
          </cell>
          <cell r="V306" t="str">
            <v>Csst</v>
          </cell>
          <cell r="W306" t="str">
            <v>$</v>
          </cell>
          <cell r="X306">
            <v>0</v>
          </cell>
        </row>
        <row r="307">
          <cell r="C307">
            <v>33734.81</v>
          </cell>
          <cell r="O307">
            <v>11807.58</v>
          </cell>
          <cell r="U307" t="str">
            <v>Véhicules neufs</v>
          </cell>
          <cell r="V307" t="str">
            <v>Déduction à la source</v>
          </cell>
          <cell r="W307" t="str">
            <v>$</v>
          </cell>
          <cell r="X307">
            <v>0</v>
          </cell>
        </row>
        <row r="308">
          <cell r="C308">
            <v>23268.86</v>
          </cell>
          <cell r="O308">
            <v>8019.25</v>
          </cell>
          <cell r="U308" t="str">
            <v>Véhicules neufs</v>
          </cell>
          <cell r="V308" t="str">
            <v>Bénéfices marginaux</v>
          </cell>
          <cell r="W308" t="str">
            <v>$</v>
          </cell>
          <cell r="X308">
            <v>0</v>
          </cell>
        </row>
        <row r="309">
          <cell r="C309">
            <v>621</v>
          </cell>
          <cell r="O309">
            <v>261</v>
          </cell>
          <cell r="U309" t="str">
            <v>Véhicules neufs</v>
          </cell>
          <cell r="V309" t="str">
            <v>Fournitures autres</v>
          </cell>
          <cell r="W309" t="str">
            <v>$</v>
          </cell>
          <cell r="X309">
            <v>0</v>
          </cell>
        </row>
        <row r="310">
          <cell r="C310">
            <v>105</v>
          </cell>
          <cell r="O310">
            <v>35</v>
          </cell>
          <cell r="U310" t="str">
            <v>Véhicules neufs</v>
          </cell>
          <cell r="V310" t="str">
            <v>Uniformes</v>
          </cell>
          <cell r="W310" t="str">
            <v>$</v>
          </cell>
          <cell r="X310">
            <v>0</v>
          </cell>
        </row>
        <row r="311">
          <cell r="C311">
            <v>13667.49</v>
          </cell>
          <cell r="O311">
            <v>4555.83</v>
          </cell>
          <cell r="U311" t="str">
            <v>Véhicules neufs</v>
          </cell>
          <cell r="V311" t="str">
            <v>Formation</v>
          </cell>
          <cell r="W311" t="str">
            <v>$</v>
          </cell>
          <cell r="X311">
            <v>0</v>
          </cell>
        </row>
        <row r="312">
          <cell r="C312">
            <v>39357.03</v>
          </cell>
          <cell r="O312">
            <v>10879.06</v>
          </cell>
          <cell r="U312" t="str">
            <v>Véhicules neufs</v>
          </cell>
          <cell r="V312" t="str">
            <v>Frais véhicules de cie</v>
          </cell>
          <cell r="W312" t="str">
            <v>$</v>
          </cell>
          <cell r="X312">
            <v>0</v>
          </cell>
        </row>
        <row r="313">
          <cell r="C313">
            <v>383.73</v>
          </cell>
          <cell r="O313">
            <v>178.87</v>
          </cell>
          <cell r="U313" t="str">
            <v>Véhicules neufs</v>
          </cell>
          <cell r="V313" t="str">
            <v>Frais postaux</v>
          </cell>
          <cell r="W313" t="str">
            <v>$</v>
          </cell>
          <cell r="X313">
            <v>0</v>
          </cell>
        </row>
        <row r="314">
          <cell r="C314">
            <v>20491.79</v>
          </cell>
          <cell r="O314">
            <v>7418.14</v>
          </cell>
          <cell r="U314" t="str">
            <v>Véhicules neufs</v>
          </cell>
          <cell r="V314" t="str">
            <v>Informatique</v>
          </cell>
          <cell r="W314" t="str">
            <v>$</v>
          </cell>
          <cell r="X314">
            <v>0</v>
          </cell>
        </row>
        <row r="315">
          <cell r="C315">
            <v>1776</v>
          </cell>
          <cell r="O315">
            <v>592</v>
          </cell>
          <cell r="U315" t="str">
            <v>Véhicules neufs</v>
          </cell>
          <cell r="V315" t="str">
            <v>Papeterie</v>
          </cell>
          <cell r="W315" t="str">
            <v>$</v>
          </cell>
          <cell r="X315">
            <v>0</v>
          </cell>
        </row>
        <row r="316">
          <cell r="C316">
            <v>1629.3</v>
          </cell>
          <cell r="O316">
            <v>523.9</v>
          </cell>
          <cell r="U316" t="str">
            <v>Véhicules neufs</v>
          </cell>
          <cell r="V316" t="str">
            <v>Téléphone</v>
          </cell>
          <cell r="W316" t="str">
            <v>$</v>
          </cell>
          <cell r="X316">
            <v>0</v>
          </cell>
        </row>
        <row r="317">
          <cell r="C317">
            <v>5169.83</v>
          </cell>
          <cell r="O317">
            <v>1740.29</v>
          </cell>
          <cell r="U317" t="str">
            <v>Véhicules neufs</v>
          </cell>
          <cell r="V317" t="str">
            <v>Divers</v>
          </cell>
          <cell r="W317" t="str">
            <v>$</v>
          </cell>
          <cell r="X317">
            <v>0</v>
          </cell>
        </row>
        <row r="318">
          <cell r="C318">
            <v>5833.92</v>
          </cell>
          <cell r="O318">
            <v>1944.64</v>
          </cell>
          <cell r="U318" t="str">
            <v>Véhicules neufs</v>
          </cell>
          <cell r="V318" t="str">
            <v>Frais de déplacement</v>
          </cell>
          <cell r="W318" t="str">
            <v>$</v>
          </cell>
          <cell r="X318">
            <v>0</v>
          </cell>
        </row>
        <row r="319">
          <cell r="C319">
            <v>24050.52</v>
          </cell>
          <cell r="O319">
            <v>5955.16</v>
          </cell>
          <cell r="U319" t="str">
            <v>Véhicules neufs</v>
          </cell>
          <cell r="V319" t="str">
            <v>Services extérieurs</v>
          </cell>
          <cell r="W319" t="str">
            <v>$</v>
          </cell>
          <cell r="X319">
            <v>0</v>
          </cell>
        </row>
        <row r="320">
          <cell r="C320">
            <v>8640</v>
          </cell>
          <cell r="O320">
            <v>2880</v>
          </cell>
          <cell r="U320" t="str">
            <v>Véhicules neufs</v>
          </cell>
          <cell r="V320" t="str">
            <v>Amortissement</v>
          </cell>
          <cell r="W320" t="str">
            <v>$</v>
          </cell>
          <cell r="X320">
            <v>0</v>
          </cell>
        </row>
        <row r="321">
          <cell r="C321">
            <v>384</v>
          </cell>
          <cell r="O321">
            <v>128</v>
          </cell>
          <cell r="U321" t="str">
            <v>Véhicules neufs</v>
          </cell>
          <cell r="V321" t="str">
            <v>Location équipement</v>
          </cell>
          <cell r="W321" t="str">
            <v>$</v>
          </cell>
          <cell r="X321">
            <v>0</v>
          </cell>
        </row>
        <row r="322">
          <cell r="C322">
            <v>3523.2</v>
          </cell>
          <cell r="O322">
            <v>1174.4000000000001</v>
          </cell>
          <cell r="U322" t="str">
            <v>Véhicules neufs</v>
          </cell>
          <cell r="V322" t="str">
            <v>Chauffage, éclairage</v>
          </cell>
          <cell r="W322" t="str">
            <v>$</v>
          </cell>
          <cell r="X322">
            <v>0</v>
          </cell>
        </row>
        <row r="323">
          <cell r="C323">
            <v>24960.1</v>
          </cell>
          <cell r="O323">
            <v>8320.0300000000007</v>
          </cell>
          <cell r="U323" t="str">
            <v>Véhicules neufs</v>
          </cell>
          <cell r="V323" t="str">
            <v>Loyer</v>
          </cell>
          <cell r="W323" t="str">
            <v>$</v>
          </cell>
          <cell r="X323">
            <v>0</v>
          </cell>
        </row>
        <row r="324">
          <cell r="C324">
            <v>1440</v>
          </cell>
          <cell r="O324">
            <v>480</v>
          </cell>
          <cell r="U324" t="str">
            <v>Véhicules neufs</v>
          </cell>
          <cell r="V324" t="str">
            <v>Assurances</v>
          </cell>
          <cell r="W324" t="str">
            <v>$</v>
          </cell>
          <cell r="X324">
            <v>0</v>
          </cell>
        </row>
        <row r="325">
          <cell r="C325">
            <v>4512</v>
          </cell>
          <cell r="O325">
            <v>1504</v>
          </cell>
          <cell r="U325" t="str">
            <v>Véhicules neufs</v>
          </cell>
          <cell r="V325" t="str">
            <v>Taxes foncières</v>
          </cell>
          <cell r="W325" t="str">
            <v>$</v>
          </cell>
          <cell r="X325">
            <v>0</v>
          </cell>
        </row>
        <row r="326">
          <cell r="C326">
            <v>3024</v>
          </cell>
          <cell r="O326">
            <v>1008</v>
          </cell>
          <cell r="U326" t="str">
            <v>Véhicules neufs</v>
          </cell>
          <cell r="V326" t="str">
            <v>Taxes d`affaires</v>
          </cell>
          <cell r="W326" t="str">
            <v>$</v>
          </cell>
          <cell r="X326">
            <v>0</v>
          </cell>
        </row>
        <row r="327">
          <cell r="C327">
            <v>7704</v>
          </cell>
          <cell r="O327">
            <v>2568</v>
          </cell>
          <cell r="U327" t="str">
            <v>Véhicules neufs</v>
          </cell>
          <cell r="V327" t="str">
            <v>Honoraires</v>
          </cell>
          <cell r="W327" t="str">
            <v>$</v>
          </cell>
          <cell r="X327">
            <v>0</v>
          </cell>
        </row>
        <row r="328">
          <cell r="C328">
            <v>44047.1</v>
          </cell>
          <cell r="O328">
            <v>9569.5</v>
          </cell>
          <cell r="U328" t="str">
            <v>Véhicules usagés</v>
          </cell>
          <cell r="V328" t="str">
            <v>Comm. vendeurs</v>
          </cell>
          <cell r="W328" t="str">
            <v>$</v>
          </cell>
          <cell r="X328">
            <v>0</v>
          </cell>
        </row>
        <row r="329">
          <cell r="C329">
            <v>16346.56</v>
          </cell>
          <cell r="O329">
            <v>10536.36</v>
          </cell>
          <cell r="U329" t="str">
            <v>Véhicules usagés</v>
          </cell>
          <cell r="V329" t="str">
            <v>Comm. F&amp;I</v>
          </cell>
          <cell r="W329" t="str">
            <v>$</v>
          </cell>
          <cell r="X329">
            <v>0</v>
          </cell>
        </row>
        <row r="330">
          <cell r="C330">
            <v>255</v>
          </cell>
          <cell r="O330">
            <v>6078.88</v>
          </cell>
          <cell r="U330" t="str">
            <v>Véhicules usagés</v>
          </cell>
          <cell r="V330" t="str">
            <v>Service gratuit 1</v>
          </cell>
          <cell r="W330" t="str">
            <v>$</v>
          </cell>
          <cell r="X330">
            <v>0</v>
          </cell>
        </row>
        <row r="331">
          <cell r="C331">
            <v>4364.87</v>
          </cell>
          <cell r="O331">
            <v>2190.5</v>
          </cell>
          <cell r="U331" t="str">
            <v>Véhicules usagés</v>
          </cell>
          <cell r="V331" t="str">
            <v>Entretien stock</v>
          </cell>
          <cell r="W331" t="str">
            <v>$</v>
          </cell>
          <cell r="X331">
            <v>0</v>
          </cell>
        </row>
        <row r="332">
          <cell r="C332">
            <v>130.91999999999999</v>
          </cell>
          <cell r="O332">
            <v>622.15</v>
          </cell>
          <cell r="U332" t="str">
            <v>Véhicules usagés</v>
          </cell>
          <cell r="V332" t="str">
            <v>Intérêt de gros</v>
          </cell>
          <cell r="W332" t="str">
            <v>$</v>
          </cell>
          <cell r="X332">
            <v>0</v>
          </cell>
        </row>
        <row r="333">
          <cell r="C333">
            <v>5947.92</v>
          </cell>
          <cell r="O333">
            <v>888.15</v>
          </cell>
          <cell r="U333" t="str">
            <v>Véhicules usagés</v>
          </cell>
          <cell r="V333" t="str">
            <v>Frais de livraison</v>
          </cell>
          <cell r="W333" t="str">
            <v>$</v>
          </cell>
          <cell r="X333">
            <v>0</v>
          </cell>
        </row>
        <row r="334">
          <cell r="C334">
            <v>23750</v>
          </cell>
          <cell r="O334">
            <v>10000</v>
          </cell>
          <cell r="U334" t="str">
            <v>Véhicules usagés</v>
          </cell>
          <cell r="V334" t="str">
            <v>Publicité 1</v>
          </cell>
          <cell r="W334" t="str">
            <v>$</v>
          </cell>
          <cell r="X334">
            <v>0</v>
          </cell>
        </row>
        <row r="335">
          <cell r="C335">
            <v>-7870</v>
          </cell>
          <cell r="O335">
            <v>-3900</v>
          </cell>
          <cell r="U335" t="str">
            <v>Véhicules usagés</v>
          </cell>
          <cell r="V335" t="str">
            <v>Publicité 1</v>
          </cell>
          <cell r="W335" t="str">
            <v>$</v>
          </cell>
          <cell r="X335">
            <v>0</v>
          </cell>
        </row>
        <row r="336">
          <cell r="C336">
            <v>1845.39</v>
          </cell>
          <cell r="O336">
            <v>1366.27</v>
          </cell>
          <cell r="U336" t="str">
            <v>Véhicules usagés</v>
          </cell>
          <cell r="V336" t="str">
            <v>Salaires propriétaire</v>
          </cell>
          <cell r="W336" t="str">
            <v>$</v>
          </cell>
          <cell r="X336">
            <v>0</v>
          </cell>
        </row>
        <row r="337">
          <cell r="C337">
            <v>19737.830000000002</v>
          </cell>
          <cell r="O337">
            <v>5611.34</v>
          </cell>
          <cell r="U337" t="str">
            <v>Véhicules usagés</v>
          </cell>
          <cell r="V337" t="str">
            <v>Salaires cadres</v>
          </cell>
          <cell r="W337" t="str">
            <v>$</v>
          </cell>
          <cell r="X337">
            <v>0</v>
          </cell>
        </row>
        <row r="338">
          <cell r="C338">
            <v>9024.15</v>
          </cell>
          <cell r="O338">
            <v>3202.38</v>
          </cell>
          <cell r="U338" t="str">
            <v>Véhicules usagés</v>
          </cell>
          <cell r="V338" t="str">
            <v>Salaires commis</v>
          </cell>
          <cell r="W338" t="str">
            <v>$</v>
          </cell>
          <cell r="X338">
            <v>0</v>
          </cell>
        </row>
        <row r="339">
          <cell r="C339">
            <v>29561.34</v>
          </cell>
          <cell r="O339">
            <v>10423.06</v>
          </cell>
          <cell r="U339" t="str">
            <v>Véhicules usagés</v>
          </cell>
          <cell r="V339" t="str">
            <v>Salaires autres</v>
          </cell>
          <cell r="W339" t="str">
            <v>$</v>
          </cell>
          <cell r="X339">
            <v>0</v>
          </cell>
        </row>
        <row r="340">
          <cell r="C340">
            <v>16150.18</v>
          </cell>
          <cell r="O340">
            <v>5457.32</v>
          </cell>
          <cell r="U340" t="str">
            <v>Véhicules usagés</v>
          </cell>
          <cell r="V340" t="str">
            <v>Salaires en absences</v>
          </cell>
          <cell r="W340" t="str">
            <v>$</v>
          </cell>
          <cell r="X340">
            <v>0</v>
          </cell>
        </row>
        <row r="341">
          <cell r="C341">
            <v>4444.5200000000004</v>
          </cell>
          <cell r="O341">
            <v>1308.01</v>
          </cell>
          <cell r="U341" t="str">
            <v>Véhicules usagés</v>
          </cell>
          <cell r="V341" t="str">
            <v>Csst</v>
          </cell>
          <cell r="W341" t="str">
            <v>$</v>
          </cell>
          <cell r="X341">
            <v>0</v>
          </cell>
        </row>
        <row r="342">
          <cell r="C342">
            <v>16693.89</v>
          </cell>
          <cell r="O342">
            <v>5619.33</v>
          </cell>
          <cell r="U342" t="str">
            <v>Véhicules usagés</v>
          </cell>
          <cell r="V342" t="str">
            <v>Déduction à la source</v>
          </cell>
          <cell r="W342" t="str">
            <v>$</v>
          </cell>
          <cell r="X342">
            <v>0</v>
          </cell>
        </row>
        <row r="343">
          <cell r="C343">
            <v>10611.02</v>
          </cell>
          <cell r="O343">
            <v>3560.81</v>
          </cell>
          <cell r="U343" t="str">
            <v>Véhicules usagés</v>
          </cell>
          <cell r="V343" t="str">
            <v>Bénéfices marginaux</v>
          </cell>
          <cell r="W343" t="str">
            <v>$</v>
          </cell>
          <cell r="X343">
            <v>0</v>
          </cell>
        </row>
        <row r="344">
          <cell r="C344">
            <v>285</v>
          </cell>
          <cell r="O344">
            <v>120</v>
          </cell>
          <cell r="U344" t="str">
            <v>Véhicules usagés</v>
          </cell>
          <cell r="V344" t="str">
            <v>Fournitures autres</v>
          </cell>
          <cell r="W344" t="str">
            <v>$</v>
          </cell>
          <cell r="X344">
            <v>0</v>
          </cell>
        </row>
        <row r="345">
          <cell r="C345">
            <v>30</v>
          </cell>
          <cell r="O345">
            <v>10</v>
          </cell>
          <cell r="U345" t="str">
            <v>Véhicules usagés</v>
          </cell>
          <cell r="V345" t="str">
            <v>Uniformes</v>
          </cell>
          <cell r="W345" t="str">
            <v>$</v>
          </cell>
          <cell r="X345">
            <v>0</v>
          </cell>
        </row>
        <row r="346">
          <cell r="C346">
            <v>180</v>
          </cell>
          <cell r="O346">
            <v>60</v>
          </cell>
          <cell r="U346" t="str">
            <v>Véhicules usagés</v>
          </cell>
          <cell r="V346" t="str">
            <v>Formation</v>
          </cell>
          <cell r="W346" t="str">
            <v>$</v>
          </cell>
          <cell r="X346">
            <v>0</v>
          </cell>
        </row>
        <row r="347">
          <cell r="C347">
            <v>2801.98</v>
          </cell>
          <cell r="O347">
            <v>452.76</v>
          </cell>
          <cell r="U347" t="str">
            <v>Véhicules usagés</v>
          </cell>
          <cell r="V347" t="str">
            <v>Frais véhicules de cie</v>
          </cell>
          <cell r="W347" t="str">
            <v>$</v>
          </cell>
          <cell r="X347">
            <v>0</v>
          </cell>
        </row>
        <row r="348">
          <cell r="C348">
            <v>210.33</v>
          </cell>
          <cell r="O348">
            <v>66.94</v>
          </cell>
          <cell r="U348" t="str">
            <v>Véhicules usagés</v>
          </cell>
          <cell r="V348" t="str">
            <v>Frais postaux</v>
          </cell>
          <cell r="W348" t="str">
            <v>$</v>
          </cell>
          <cell r="X348">
            <v>0</v>
          </cell>
        </row>
        <row r="349">
          <cell r="C349">
            <v>7187.31</v>
          </cell>
          <cell r="O349">
            <v>2580.31</v>
          </cell>
          <cell r="U349" t="str">
            <v>Véhicules usagés</v>
          </cell>
          <cell r="V349" t="str">
            <v>Informatique</v>
          </cell>
          <cell r="W349" t="str">
            <v>$</v>
          </cell>
          <cell r="X349">
            <v>0</v>
          </cell>
        </row>
        <row r="350">
          <cell r="C350">
            <v>666</v>
          </cell>
          <cell r="O350">
            <v>222</v>
          </cell>
          <cell r="U350" t="str">
            <v>Véhicules usagés</v>
          </cell>
          <cell r="V350" t="str">
            <v>Papeterie</v>
          </cell>
          <cell r="W350" t="str">
            <v>$</v>
          </cell>
          <cell r="X350">
            <v>0</v>
          </cell>
        </row>
        <row r="351">
          <cell r="C351">
            <v>447.88</v>
          </cell>
          <cell r="O351">
            <v>136.68</v>
          </cell>
          <cell r="U351" t="str">
            <v>Véhicules usagés</v>
          </cell>
          <cell r="V351" t="str">
            <v>Téléphone</v>
          </cell>
          <cell r="W351" t="str">
            <v>$</v>
          </cell>
          <cell r="X351">
            <v>0</v>
          </cell>
        </row>
        <row r="352">
          <cell r="C352">
            <v>1965.39</v>
          </cell>
          <cell r="O352">
            <v>688.31</v>
          </cell>
          <cell r="U352" t="str">
            <v>Véhicules usagés</v>
          </cell>
          <cell r="V352" t="str">
            <v>Divers</v>
          </cell>
          <cell r="W352" t="str">
            <v>$</v>
          </cell>
          <cell r="X352">
            <v>0</v>
          </cell>
        </row>
        <row r="353">
          <cell r="C353">
            <v>2187.7199999999998</v>
          </cell>
          <cell r="O353">
            <v>729.24</v>
          </cell>
          <cell r="U353" t="str">
            <v>Véhicules usagés</v>
          </cell>
          <cell r="V353" t="str">
            <v>Frais de déplacement</v>
          </cell>
          <cell r="W353" t="str">
            <v>$</v>
          </cell>
          <cell r="X353">
            <v>0</v>
          </cell>
        </row>
        <row r="354">
          <cell r="C354">
            <v>5933.9</v>
          </cell>
          <cell r="O354">
            <v>1357.77</v>
          </cell>
          <cell r="U354" t="str">
            <v>Véhicules usagés</v>
          </cell>
          <cell r="V354" t="str">
            <v>Services extérieurs</v>
          </cell>
          <cell r="W354" t="str">
            <v>$</v>
          </cell>
          <cell r="X354">
            <v>0</v>
          </cell>
        </row>
        <row r="355">
          <cell r="C355">
            <v>3240</v>
          </cell>
          <cell r="O355">
            <v>1080</v>
          </cell>
          <cell r="U355" t="str">
            <v>Véhicules usagés</v>
          </cell>
          <cell r="V355" t="str">
            <v>Amortissement</v>
          </cell>
          <cell r="W355" t="str">
            <v>$</v>
          </cell>
          <cell r="X355">
            <v>0</v>
          </cell>
        </row>
        <row r="356">
          <cell r="C356">
            <v>144</v>
          </cell>
          <cell r="O356">
            <v>48</v>
          </cell>
          <cell r="U356" t="str">
            <v>Véhicules usagés</v>
          </cell>
          <cell r="V356" t="str">
            <v>Location équipement</v>
          </cell>
          <cell r="W356" t="str">
            <v>$</v>
          </cell>
          <cell r="X356">
            <v>0</v>
          </cell>
        </row>
        <row r="357">
          <cell r="C357">
            <v>1321.2</v>
          </cell>
          <cell r="O357">
            <v>440.4</v>
          </cell>
          <cell r="U357" t="str">
            <v>Véhicules usagés</v>
          </cell>
          <cell r="V357" t="str">
            <v>Chauffage, éclairage</v>
          </cell>
          <cell r="W357" t="str">
            <v>$</v>
          </cell>
          <cell r="X357">
            <v>0</v>
          </cell>
        </row>
        <row r="358">
          <cell r="C358">
            <v>9360.0400000000009</v>
          </cell>
          <cell r="O358">
            <v>3120.01</v>
          </cell>
          <cell r="U358" t="str">
            <v>Véhicules usagés</v>
          </cell>
          <cell r="V358" t="str">
            <v>Loyer</v>
          </cell>
          <cell r="W358" t="str">
            <v>$</v>
          </cell>
          <cell r="X358">
            <v>0</v>
          </cell>
        </row>
        <row r="359">
          <cell r="C359">
            <v>540</v>
          </cell>
          <cell r="O359">
            <v>180</v>
          </cell>
          <cell r="U359" t="str">
            <v>Véhicules usagés</v>
          </cell>
          <cell r="V359" t="str">
            <v>Assurances</v>
          </cell>
          <cell r="W359" t="str">
            <v>$</v>
          </cell>
          <cell r="X359">
            <v>0</v>
          </cell>
        </row>
        <row r="360">
          <cell r="C360">
            <v>1692</v>
          </cell>
          <cell r="O360">
            <v>564</v>
          </cell>
          <cell r="U360" t="str">
            <v>Véhicules usagés</v>
          </cell>
          <cell r="V360" t="str">
            <v>Taxes foncières</v>
          </cell>
          <cell r="W360" t="str">
            <v>$</v>
          </cell>
          <cell r="X360">
            <v>0</v>
          </cell>
        </row>
        <row r="361">
          <cell r="C361">
            <v>1134</v>
          </cell>
          <cell r="O361">
            <v>378</v>
          </cell>
          <cell r="U361" t="str">
            <v>Véhicules usagés</v>
          </cell>
          <cell r="V361" t="str">
            <v>Taxes d`affaires</v>
          </cell>
          <cell r="W361" t="str">
            <v>$</v>
          </cell>
          <cell r="X361">
            <v>0</v>
          </cell>
        </row>
        <row r="362">
          <cell r="C362">
            <v>2889</v>
          </cell>
          <cell r="O362">
            <v>963</v>
          </cell>
          <cell r="U362" t="str">
            <v>Véhicules usagés</v>
          </cell>
          <cell r="V362" t="str">
            <v>Honoraires</v>
          </cell>
          <cell r="W362" t="str">
            <v>$</v>
          </cell>
          <cell r="X362">
            <v>0</v>
          </cell>
        </row>
        <row r="363">
          <cell r="C363">
            <v>6202.65</v>
          </cell>
          <cell r="O363">
            <v>3480.15</v>
          </cell>
          <cell r="U363" t="str">
            <v>Service</v>
          </cell>
          <cell r="V363" t="str">
            <v>Service gratuit 2</v>
          </cell>
          <cell r="W363" t="str">
            <v>$</v>
          </cell>
          <cell r="X363">
            <v>0</v>
          </cell>
        </row>
        <row r="364">
          <cell r="C364">
            <v>639.71</v>
          </cell>
          <cell r="O364">
            <v>-38.33</v>
          </cell>
          <cell r="U364" t="str">
            <v>Service</v>
          </cell>
          <cell r="V364" t="str">
            <v>Service gratuit 2</v>
          </cell>
          <cell r="W364" t="str">
            <v>$</v>
          </cell>
          <cell r="X364">
            <v>0</v>
          </cell>
        </row>
        <row r="365">
          <cell r="C365">
            <v>36771.769999999997</v>
          </cell>
          <cell r="O365">
            <v>12359.33</v>
          </cell>
          <cell r="U365" t="str">
            <v>Service</v>
          </cell>
          <cell r="V365" t="str">
            <v>Publicité 2</v>
          </cell>
          <cell r="W365" t="str">
            <v>$</v>
          </cell>
          <cell r="X365">
            <v>0</v>
          </cell>
        </row>
        <row r="366">
          <cell r="C366">
            <v>3689.74</v>
          </cell>
          <cell r="O366">
            <v>2732.53</v>
          </cell>
          <cell r="U366" t="str">
            <v>Service</v>
          </cell>
          <cell r="V366" t="str">
            <v>Salaires propriétaire</v>
          </cell>
          <cell r="W366" t="str">
            <v>$</v>
          </cell>
          <cell r="X366">
            <v>0</v>
          </cell>
        </row>
        <row r="367">
          <cell r="C367">
            <v>40132.54</v>
          </cell>
          <cell r="O367">
            <v>17202.57</v>
          </cell>
          <cell r="U367" t="str">
            <v>Service</v>
          </cell>
          <cell r="V367" t="str">
            <v>Salaires cadres</v>
          </cell>
          <cell r="W367" t="str">
            <v>$</v>
          </cell>
          <cell r="X367">
            <v>0</v>
          </cell>
        </row>
        <row r="368">
          <cell r="C368">
            <v>22151.01</v>
          </cell>
          <cell r="O368">
            <v>10432.39</v>
          </cell>
          <cell r="U368" t="str">
            <v>Service</v>
          </cell>
          <cell r="V368" t="str">
            <v>Salaires commis</v>
          </cell>
          <cell r="W368" t="str">
            <v>$</v>
          </cell>
          <cell r="X368">
            <v>0</v>
          </cell>
        </row>
        <row r="369">
          <cell r="C369">
            <v>30461.040000000001</v>
          </cell>
          <cell r="O369">
            <v>6267.89</v>
          </cell>
          <cell r="U369" t="str">
            <v>Service</v>
          </cell>
          <cell r="V369" t="str">
            <v>Salaires autres</v>
          </cell>
          <cell r="W369" t="str">
            <v>$</v>
          </cell>
          <cell r="X369">
            <v>0</v>
          </cell>
        </row>
        <row r="370">
          <cell r="C370">
            <v>56847.21</v>
          </cell>
          <cell r="O370">
            <v>27122.59</v>
          </cell>
          <cell r="U370" t="str">
            <v>Service</v>
          </cell>
          <cell r="V370" t="str">
            <v>Salaires spécialistes</v>
          </cell>
          <cell r="W370" t="str">
            <v>$</v>
          </cell>
          <cell r="X370">
            <v>0</v>
          </cell>
        </row>
        <row r="371">
          <cell r="C371">
            <v>40834.99</v>
          </cell>
          <cell r="O371">
            <v>18133.310000000001</v>
          </cell>
          <cell r="U371" t="str">
            <v>Service</v>
          </cell>
          <cell r="V371" t="str">
            <v>Salaires en absences</v>
          </cell>
          <cell r="W371" t="str">
            <v>$</v>
          </cell>
          <cell r="X371">
            <v>0</v>
          </cell>
        </row>
        <row r="372">
          <cell r="C372">
            <v>9005.3799999999992</v>
          </cell>
          <cell r="O372">
            <v>3440.41</v>
          </cell>
          <cell r="U372" t="str">
            <v>Service</v>
          </cell>
          <cell r="V372" t="str">
            <v>Csst</v>
          </cell>
          <cell r="W372" t="str">
            <v>$</v>
          </cell>
          <cell r="X372">
            <v>0</v>
          </cell>
        </row>
        <row r="373">
          <cell r="C373">
            <v>33817.93</v>
          </cell>
          <cell r="O373">
            <v>14734.91</v>
          </cell>
          <cell r="U373" t="str">
            <v>Service</v>
          </cell>
          <cell r="V373" t="str">
            <v>Déduction à la source</v>
          </cell>
          <cell r="W373" t="str">
            <v>$</v>
          </cell>
          <cell r="X373">
            <v>0</v>
          </cell>
        </row>
        <row r="374">
          <cell r="C374">
            <v>24082.79</v>
          </cell>
          <cell r="O374">
            <v>9663</v>
          </cell>
          <cell r="U374" t="str">
            <v>Service</v>
          </cell>
          <cell r="V374" t="str">
            <v>Bénéfices marginaux</v>
          </cell>
          <cell r="W374" t="str">
            <v>$</v>
          </cell>
          <cell r="X374">
            <v>0</v>
          </cell>
        </row>
        <row r="375">
          <cell r="C375">
            <v>1240</v>
          </cell>
          <cell r="O375">
            <v>1869.59</v>
          </cell>
          <cell r="U375" t="str">
            <v>Service</v>
          </cell>
          <cell r="V375" t="str">
            <v>Fournitures autres</v>
          </cell>
          <cell r="W375" t="str">
            <v>$</v>
          </cell>
          <cell r="X375">
            <v>0</v>
          </cell>
        </row>
        <row r="376">
          <cell r="C376">
            <v>3900</v>
          </cell>
          <cell r="O376">
            <v>1300</v>
          </cell>
          <cell r="U376" t="str">
            <v>Service</v>
          </cell>
          <cell r="V376" t="str">
            <v>Uniformes</v>
          </cell>
          <cell r="W376" t="str">
            <v>$</v>
          </cell>
          <cell r="X376">
            <v>0</v>
          </cell>
        </row>
        <row r="377">
          <cell r="C377">
            <v>8360.01</v>
          </cell>
          <cell r="O377">
            <v>2786.67</v>
          </cell>
          <cell r="U377" t="str">
            <v>Service</v>
          </cell>
          <cell r="V377" t="str">
            <v>Formation</v>
          </cell>
          <cell r="W377" t="str">
            <v>$</v>
          </cell>
          <cell r="X377">
            <v>0</v>
          </cell>
        </row>
        <row r="378">
          <cell r="C378">
            <v>34508.07</v>
          </cell>
          <cell r="O378">
            <v>11804.32</v>
          </cell>
          <cell r="U378" t="str">
            <v>Service</v>
          </cell>
          <cell r="V378" t="str">
            <v>Frais véhicules de cie</v>
          </cell>
          <cell r="W378" t="str">
            <v>$</v>
          </cell>
          <cell r="X378">
            <v>0</v>
          </cell>
        </row>
        <row r="379">
          <cell r="C379">
            <v>420.28</v>
          </cell>
          <cell r="O379">
            <v>133.9</v>
          </cell>
          <cell r="U379" t="str">
            <v>Service</v>
          </cell>
          <cell r="V379" t="str">
            <v>Frais postaux</v>
          </cell>
          <cell r="W379" t="str">
            <v>$</v>
          </cell>
          <cell r="X379">
            <v>0</v>
          </cell>
        </row>
        <row r="380">
          <cell r="C380">
            <v>11289.23</v>
          </cell>
          <cell r="O380">
            <v>3838.32</v>
          </cell>
          <cell r="U380" t="str">
            <v>Service</v>
          </cell>
          <cell r="V380" t="str">
            <v>Informatique</v>
          </cell>
          <cell r="W380" t="str">
            <v>$</v>
          </cell>
          <cell r="X380">
            <v>0</v>
          </cell>
        </row>
        <row r="381">
          <cell r="C381">
            <v>1332</v>
          </cell>
          <cell r="O381">
            <v>444</v>
          </cell>
          <cell r="U381" t="str">
            <v>Service</v>
          </cell>
          <cell r="V381" t="str">
            <v>Papeterie</v>
          </cell>
          <cell r="W381" t="str">
            <v>$</v>
          </cell>
          <cell r="X381">
            <v>0</v>
          </cell>
        </row>
        <row r="382">
          <cell r="C382">
            <v>1598.13</v>
          </cell>
          <cell r="O382">
            <v>544.38</v>
          </cell>
          <cell r="U382" t="str">
            <v>Service</v>
          </cell>
          <cell r="V382" t="str">
            <v>Téléphone</v>
          </cell>
          <cell r="W382" t="str">
            <v>$</v>
          </cell>
          <cell r="X382">
            <v>0</v>
          </cell>
        </row>
        <row r="383">
          <cell r="C383">
            <v>3823.37</v>
          </cell>
          <cell r="O383">
            <v>1269.22</v>
          </cell>
          <cell r="U383" t="str">
            <v>Service</v>
          </cell>
          <cell r="V383" t="str">
            <v>Divers</v>
          </cell>
          <cell r="W383" t="str">
            <v>$</v>
          </cell>
          <cell r="X383">
            <v>0</v>
          </cell>
        </row>
        <row r="384">
          <cell r="C384">
            <v>4375.4399999999996</v>
          </cell>
          <cell r="O384">
            <v>1458.48</v>
          </cell>
          <cell r="U384" t="str">
            <v>Service</v>
          </cell>
          <cell r="V384" t="str">
            <v>Frais de déplacement</v>
          </cell>
          <cell r="W384" t="str">
            <v>$</v>
          </cell>
          <cell r="X384">
            <v>0</v>
          </cell>
        </row>
        <row r="385">
          <cell r="C385">
            <v>29491.42</v>
          </cell>
          <cell r="O385">
            <v>12264.51</v>
          </cell>
          <cell r="U385" t="str">
            <v>Service</v>
          </cell>
          <cell r="V385" t="str">
            <v>Services extérieurs</v>
          </cell>
          <cell r="W385" t="str">
            <v>$</v>
          </cell>
          <cell r="X385">
            <v>0</v>
          </cell>
        </row>
        <row r="386">
          <cell r="C386">
            <v>6480</v>
          </cell>
          <cell r="O386">
            <v>2160</v>
          </cell>
          <cell r="U386" t="str">
            <v>Service</v>
          </cell>
          <cell r="V386" t="str">
            <v>Amortissement</v>
          </cell>
          <cell r="W386" t="str">
            <v>$</v>
          </cell>
          <cell r="X386">
            <v>0</v>
          </cell>
        </row>
        <row r="387">
          <cell r="C387">
            <v>888</v>
          </cell>
          <cell r="O387">
            <v>296</v>
          </cell>
          <cell r="U387" t="str">
            <v>Service</v>
          </cell>
          <cell r="V387" t="str">
            <v>Location équipement</v>
          </cell>
          <cell r="W387" t="str">
            <v>$</v>
          </cell>
          <cell r="X387">
            <v>0</v>
          </cell>
        </row>
        <row r="388">
          <cell r="C388">
            <v>2652</v>
          </cell>
          <cell r="O388">
            <v>884</v>
          </cell>
          <cell r="U388" t="str">
            <v>Service</v>
          </cell>
          <cell r="V388" t="str">
            <v>Réparation équipement</v>
          </cell>
          <cell r="W388" t="str">
            <v>$</v>
          </cell>
          <cell r="X388">
            <v>0</v>
          </cell>
        </row>
        <row r="389">
          <cell r="C389">
            <v>2642.4</v>
          </cell>
          <cell r="O389">
            <v>880.8</v>
          </cell>
          <cell r="U389" t="str">
            <v>Service</v>
          </cell>
          <cell r="V389" t="str">
            <v>Chauffage, éclairage</v>
          </cell>
          <cell r="W389" t="str">
            <v>$</v>
          </cell>
          <cell r="X389">
            <v>0</v>
          </cell>
        </row>
        <row r="390">
          <cell r="C390">
            <v>18720.07</v>
          </cell>
          <cell r="O390">
            <v>6240.02</v>
          </cell>
          <cell r="U390" t="str">
            <v>Service</v>
          </cell>
          <cell r="V390" t="str">
            <v>Loyer</v>
          </cell>
          <cell r="W390" t="str">
            <v>$</v>
          </cell>
          <cell r="X390">
            <v>0</v>
          </cell>
        </row>
        <row r="391">
          <cell r="C391">
            <v>1080</v>
          </cell>
          <cell r="O391">
            <v>360</v>
          </cell>
          <cell r="U391" t="str">
            <v>Service</v>
          </cell>
          <cell r="V391" t="str">
            <v>Assurances</v>
          </cell>
          <cell r="W391" t="str">
            <v>$</v>
          </cell>
          <cell r="X391">
            <v>0</v>
          </cell>
        </row>
        <row r="392">
          <cell r="C392">
            <v>3384</v>
          </cell>
          <cell r="O392">
            <v>1128</v>
          </cell>
          <cell r="U392" t="str">
            <v>Service</v>
          </cell>
          <cell r="V392" t="str">
            <v>Taxes foncières</v>
          </cell>
          <cell r="W392" t="str">
            <v>$</v>
          </cell>
          <cell r="X392">
            <v>0</v>
          </cell>
        </row>
        <row r="393">
          <cell r="C393">
            <v>2268</v>
          </cell>
          <cell r="O393">
            <v>756</v>
          </cell>
          <cell r="U393" t="str">
            <v>Service</v>
          </cell>
          <cell r="V393" t="str">
            <v>Taxes d`affaires</v>
          </cell>
          <cell r="W393" t="str">
            <v>$</v>
          </cell>
          <cell r="X393">
            <v>0</v>
          </cell>
        </row>
        <row r="394">
          <cell r="C394">
            <v>5778</v>
          </cell>
          <cell r="O394">
            <v>1926</v>
          </cell>
          <cell r="U394" t="str">
            <v>Service</v>
          </cell>
          <cell r="V394" t="str">
            <v>Honoraires</v>
          </cell>
          <cell r="W394" t="str">
            <v>$</v>
          </cell>
          <cell r="X394">
            <v>0</v>
          </cell>
        </row>
        <row r="395">
          <cell r="C395">
            <v>2543.69</v>
          </cell>
          <cell r="O395">
            <v>398</v>
          </cell>
          <cell r="U395" t="str">
            <v>Carrosserie</v>
          </cell>
          <cell r="V395" t="str">
            <v>Service gratuit 2</v>
          </cell>
          <cell r="W395" t="str">
            <v>$</v>
          </cell>
          <cell r="X395">
            <v>0</v>
          </cell>
        </row>
        <row r="396">
          <cell r="C396">
            <v>3725.89</v>
          </cell>
          <cell r="O396">
            <v>273.25</v>
          </cell>
          <cell r="U396" t="str">
            <v>Carrosserie</v>
          </cell>
          <cell r="V396" t="str">
            <v>Salaires propriétaire</v>
          </cell>
          <cell r="W396" t="str">
            <v>$</v>
          </cell>
          <cell r="X396">
            <v>0</v>
          </cell>
        </row>
        <row r="397">
          <cell r="C397">
            <v>1309.6300000000001</v>
          </cell>
          <cell r="O397">
            <v>416.26</v>
          </cell>
          <cell r="U397" t="str">
            <v>Carrosserie</v>
          </cell>
          <cell r="V397" t="str">
            <v>Salaires cadres</v>
          </cell>
          <cell r="W397" t="str">
            <v>$</v>
          </cell>
          <cell r="X397">
            <v>0</v>
          </cell>
        </row>
        <row r="398">
          <cell r="C398">
            <v>3152.17</v>
          </cell>
          <cell r="O398">
            <v>1375.04</v>
          </cell>
          <cell r="U398" t="str">
            <v>Carrosserie</v>
          </cell>
          <cell r="V398" t="str">
            <v>Salaires commis</v>
          </cell>
          <cell r="W398" t="str">
            <v>$</v>
          </cell>
          <cell r="X398">
            <v>0</v>
          </cell>
        </row>
        <row r="399">
          <cell r="C399">
            <v>12848.16</v>
          </cell>
          <cell r="O399">
            <v>6893.48</v>
          </cell>
          <cell r="U399" t="str">
            <v>Carrosserie</v>
          </cell>
          <cell r="V399" t="str">
            <v>Salaires autres</v>
          </cell>
          <cell r="W399" t="str">
            <v>$</v>
          </cell>
          <cell r="X399">
            <v>0</v>
          </cell>
        </row>
        <row r="400">
          <cell r="C400">
            <v>15494.52</v>
          </cell>
          <cell r="O400">
            <v>5674.5</v>
          </cell>
          <cell r="U400" t="str">
            <v>Carrosserie</v>
          </cell>
          <cell r="V400" t="str">
            <v>Salaires spécialistes</v>
          </cell>
          <cell r="W400" t="str">
            <v>$</v>
          </cell>
          <cell r="X400">
            <v>0</v>
          </cell>
        </row>
        <row r="401">
          <cell r="C401">
            <v>3638.13</v>
          </cell>
          <cell r="O401">
            <v>1201.04</v>
          </cell>
          <cell r="U401" t="str">
            <v>Carrosserie</v>
          </cell>
          <cell r="V401" t="str">
            <v>Salaires en absences</v>
          </cell>
          <cell r="W401" t="str">
            <v>$</v>
          </cell>
          <cell r="X401">
            <v>0</v>
          </cell>
        </row>
        <row r="402">
          <cell r="C402">
            <v>944</v>
          </cell>
          <cell r="O402">
            <v>271.14999999999998</v>
          </cell>
          <cell r="U402" t="str">
            <v>Carrosserie</v>
          </cell>
          <cell r="V402" t="str">
            <v>Csst</v>
          </cell>
          <cell r="W402" t="str">
            <v>$</v>
          </cell>
          <cell r="X402">
            <v>0</v>
          </cell>
        </row>
        <row r="403">
          <cell r="C403">
            <v>3619.72</v>
          </cell>
          <cell r="O403">
            <v>1191.94</v>
          </cell>
          <cell r="U403" t="str">
            <v>Carrosserie</v>
          </cell>
          <cell r="V403" t="str">
            <v>Déduction à la source</v>
          </cell>
          <cell r="W403" t="str">
            <v>$</v>
          </cell>
          <cell r="X403">
            <v>0</v>
          </cell>
        </row>
        <row r="404">
          <cell r="C404">
            <v>1596.99</v>
          </cell>
          <cell r="O404">
            <v>532.33000000000004</v>
          </cell>
          <cell r="U404" t="str">
            <v>Carrosserie</v>
          </cell>
          <cell r="V404" t="str">
            <v>Bénéfices marginaux</v>
          </cell>
          <cell r="W404" t="str">
            <v>$</v>
          </cell>
          <cell r="X404">
            <v>0</v>
          </cell>
        </row>
        <row r="405">
          <cell r="C405">
            <v>105</v>
          </cell>
          <cell r="O405">
            <v>35</v>
          </cell>
          <cell r="U405" t="str">
            <v>Carrosserie</v>
          </cell>
          <cell r="V405" t="str">
            <v>Formation</v>
          </cell>
          <cell r="W405" t="str">
            <v>$</v>
          </cell>
          <cell r="X405">
            <v>0</v>
          </cell>
        </row>
        <row r="406">
          <cell r="C406">
            <v>5253.97</v>
          </cell>
          <cell r="O406">
            <v>1827.36</v>
          </cell>
          <cell r="U406" t="str">
            <v>Carrosserie</v>
          </cell>
          <cell r="V406" t="str">
            <v>Frais véhicules de cie</v>
          </cell>
          <cell r="W406" t="str">
            <v>$</v>
          </cell>
          <cell r="X406">
            <v>0</v>
          </cell>
        </row>
        <row r="407">
          <cell r="C407">
            <v>79.14</v>
          </cell>
          <cell r="O407">
            <v>39.06</v>
          </cell>
          <cell r="U407" t="str">
            <v>Carrosserie</v>
          </cell>
          <cell r="V407" t="str">
            <v>Frais postaux</v>
          </cell>
          <cell r="W407" t="str">
            <v>$</v>
          </cell>
          <cell r="X407">
            <v>0</v>
          </cell>
        </row>
        <row r="408">
          <cell r="C408">
            <v>3977.52</v>
          </cell>
          <cell r="O408">
            <v>1537.89</v>
          </cell>
          <cell r="U408" t="str">
            <v>Carrosserie</v>
          </cell>
          <cell r="V408" t="str">
            <v>Informatique</v>
          </cell>
          <cell r="W408" t="str">
            <v>$</v>
          </cell>
          <cell r="X408">
            <v>0</v>
          </cell>
        </row>
        <row r="409">
          <cell r="C409">
            <v>388.5</v>
          </cell>
          <cell r="O409">
            <v>129.5</v>
          </cell>
          <cell r="U409" t="str">
            <v>Carrosserie</v>
          </cell>
          <cell r="V409" t="str">
            <v>Papeterie</v>
          </cell>
          <cell r="W409" t="str">
            <v>$</v>
          </cell>
          <cell r="X409">
            <v>0</v>
          </cell>
        </row>
        <row r="410">
          <cell r="C410">
            <v>343.7</v>
          </cell>
          <cell r="O410">
            <v>120.95</v>
          </cell>
          <cell r="U410" t="str">
            <v>Carrosserie</v>
          </cell>
          <cell r="V410" t="str">
            <v>Téléphone</v>
          </cell>
          <cell r="W410" t="str">
            <v>$</v>
          </cell>
          <cell r="X410">
            <v>0</v>
          </cell>
        </row>
        <row r="411">
          <cell r="C411">
            <v>1115.1500000000001</v>
          </cell>
          <cell r="O411">
            <v>370.19</v>
          </cell>
          <cell r="U411" t="str">
            <v>Carrosserie</v>
          </cell>
          <cell r="V411" t="str">
            <v>Divers</v>
          </cell>
          <cell r="W411" t="str">
            <v>$</v>
          </cell>
          <cell r="X411">
            <v>0</v>
          </cell>
        </row>
        <row r="412">
          <cell r="C412">
            <v>1276.17</v>
          </cell>
          <cell r="O412">
            <v>425.39</v>
          </cell>
          <cell r="U412" t="str">
            <v>Carrosserie</v>
          </cell>
          <cell r="V412" t="str">
            <v>Frais de déplacement</v>
          </cell>
          <cell r="W412" t="str">
            <v>$</v>
          </cell>
          <cell r="X412">
            <v>0</v>
          </cell>
        </row>
        <row r="413">
          <cell r="C413">
            <v>3461.45</v>
          </cell>
          <cell r="O413">
            <v>792.05</v>
          </cell>
          <cell r="U413" t="str">
            <v>Carrosserie</v>
          </cell>
          <cell r="V413" t="str">
            <v>Services extérieurs</v>
          </cell>
          <cell r="W413" t="str">
            <v>$</v>
          </cell>
          <cell r="X413">
            <v>0</v>
          </cell>
        </row>
        <row r="414">
          <cell r="C414">
            <v>1890</v>
          </cell>
          <cell r="O414">
            <v>630</v>
          </cell>
          <cell r="U414" t="str">
            <v>Carrosserie</v>
          </cell>
          <cell r="V414" t="str">
            <v>Amortissement</v>
          </cell>
          <cell r="W414" t="str">
            <v>$</v>
          </cell>
          <cell r="X414">
            <v>0</v>
          </cell>
        </row>
        <row r="415">
          <cell r="C415">
            <v>84</v>
          </cell>
          <cell r="O415">
            <v>28</v>
          </cell>
          <cell r="U415" t="str">
            <v>Carrosserie</v>
          </cell>
          <cell r="V415" t="str">
            <v>Location équipement</v>
          </cell>
          <cell r="W415" t="str">
            <v>$</v>
          </cell>
          <cell r="X415">
            <v>0</v>
          </cell>
        </row>
        <row r="416">
          <cell r="C416">
            <v>770.7</v>
          </cell>
          <cell r="O416">
            <v>256.89999999999998</v>
          </cell>
          <cell r="U416" t="str">
            <v>Carrosserie</v>
          </cell>
          <cell r="V416" t="str">
            <v>Chauffage, éclairage</v>
          </cell>
          <cell r="W416" t="str">
            <v>$</v>
          </cell>
          <cell r="X416">
            <v>0</v>
          </cell>
        </row>
        <row r="417">
          <cell r="C417">
            <v>5460.03</v>
          </cell>
          <cell r="O417">
            <v>1820.01</v>
          </cell>
          <cell r="U417" t="str">
            <v>Carrosserie</v>
          </cell>
          <cell r="V417" t="str">
            <v>Loyer</v>
          </cell>
          <cell r="W417" t="str">
            <v>$</v>
          </cell>
          <cell r="X417">
            <v>0</v>
          </cell>
        </row>
        <row r="418">
          <cell r="C418">
            <v>315</v>
          </cell>
          <cell r="O418">
            <v>105</v>
          </cell>
          <cell r="U418" t="str">
            <v>Carrosserie</v>
          </cell>
          <cell r="V418" t="str">
            <v>Assurances</v>
          </cell>
          <cell r="W418" t="str">
            <v>$</v>
          </cell>
          <cell r="X418">
            <v>0</v>
          </cell>
        </row>
        <row r="419">
          <cell r="C419">
            <v>987</v>
          </cell>
          <cell r="O419">
            <v>329</v>
          </cell>
          <cell r="U419" t="str">
            <v>Carrosserie</v>
          </cell>
          <cell r="V419" t="str">
            <v>Taxes foncières</v>
          </cell>
          <cell r="W419" t="str">
            <v>$</v>
          </cell>
          <cell r="X419">
            <v>0</v>
          </cell>
        </row>
        <row r="420">
          <cell r="C420">
            <v>661.5</v>
          </cell>
          <cell r="O420">
            <v>220.5</v>
          </cell>
          <cell r="U420" t="str">
            <v>Carrosserie</v>
          </cell>
          <cell r="V420" t="str">
            <v>Taxes d`affaires</v>
          </cell>
          <cell r="W420" t="str">
            <v>$</v>
          </cell>
          <cell r="X420">
            <v>0</v>
          </cell>
        </row>
        <row r="421">
          <cell r="C421">
            <v>1685.25</v>
          </cell>
          <cell r="O421">
            <v>561.75</v>
          </cell>
          <cell r="U421" t="str">
            <v>Carrosserie</v>
          </cell>
          <cell r="V421" t="str">
            <v>Honoraires</v>
          </cell>
          <cell r="W421" t="str">
            <v>$</v>
          </cell>
          <cell r="X421">
            <v>0</v>
          </cell>
        </row>
        <row r="422">
          <cell r="C422">
            <v>2149</v>
          </cell>
          <cell r="O422">
            <v>3582.03</v>
          </cell>
          <cell r="U422" t="str">
            <v>Pièces</v>
          </cell>
          <cell r="V422" t="str">
            <v>Service gratuit 2</v>
          </cell>
          <cell r="W422" t="str">
            <v>$</v>
          </cell>
          <cell r="X422">
            <v>0</v>
          </cell>
        </row>
        <row r="423">
          <cell r="C423">
            <v>19785.98</v>
          </cell>
          <cell r="O423">
            <v>6611.41</v>
          </cell>
          <cell r="U423" t="str">
            <v>Pièces</v>
          </cell>
          <cell r="V423" t="str">
            <v>Publicité 2</v>
          </cell>
          <cell r="W423" t="str">
            <v>$</v>
          </cell>
          <cell r="X423">
            <v>0</v>
          </cell>
        </row>
        <row r="424">
          <cell r="C424">
            <v>10409.52</v>
          </cell>
          <cell r="O424">
            <v>1548.43</v>
          </cell>
          <cell r="U424" t="str">
            <v>Pièces</v>
          </cell>
          <cell r="V424" t="str">
            <v>Salaires propriétaire</v>
          </cell>
          <cell r="W424" t="str">
            <v>$</v>
          </cell>
          <cell r="X424">
            <v>0</v>
          </cell>
        </row>
        <row r="425">
          <cell r="C425">
            <v>30667.89</v>
          </cell>
          <cell r="O425">
            <v>14935</v>
          </cell>
          <cell r="U425" t="str">
            <v>Pièces</v>
          </cell>
          <cell r="V425" t="str">
            <v>Salaires cadres</v>
          </cell>
          <cell r="W425" t="str">
            <v>$</v>
          </cell>
          <cell r="X425">
            <v>0</v>
          </cell>
        </row>
        <row r="426">
          <cell r="C426">
            <v>11188.53</v>
          </cell>
          <cell r="O426">
            <v>4894.97</v>
          </cell>
          <cell r="U426" t="str">
            <v>Pièces</v>
          </cell>
          <cell r="V426" t="str">
            <v>Salaires commis</v>
          </cell>
          <cell r="W426" t="str">
            <v>$</v>
          </cell>
          <cell r="X426">
            <v>0</v>
          </cell>
        </row>
        <row r="427">
          <cell r="C427">
            <v>45236.73</v>
          </cell>
          <cell r="O427">
            <v>15986.51</v>
          </cell>
          <cell r="U427" t="str">
            <v>Pièces</v>
          </cell>
          <cell r="V427" t="str">
            <v>Salaires autres</v>
          </cell>
          <cell r="W427" t="str">
            <v>$</v>
          </cell>
          <cell r="X427">
            <v>0</v>
          </cell>
        </row>
        <row r="428">
          <cell r="C428">
            <v>11173.87</v>
          </cell>
          <cell r="O428">
            <v>3960.47</v>
          </cell>
          <cell r="U428" t="str">
            <v>Pièces</v>
          </cell>
          <cell r="V428" t="str">
            <v>Salaires en absences</v>
          </cell>
          <cell r="W428" t="str">
            <v>$</v>
          </cell>
          <cell r="X428">
            <v>0</v>
          </cell>
        </row>
        <row r="429">
          <cell r="C429">
            <v>2878.64</v>
          </cell>
          <cell r="O429">
            <v>884.45</v>
          </cell>
          <cell r="U429" t="str">
            <v>Pièces</v>
          </cell>
          <cell r="V429" t="str">
            <v>Csst</v>
          </cell>
          <cell r="W429" t="str">
            <v>$</v>
          </cell>
          <cell r="X429">
            <v>0</v>
          </cell>
        </row>
        <row r="430">
          <cell r="C430">
            <v>11109.98</v>
          </cell>
          <cell r="O430">
            <v>3900.98</v>
          </cell>
          <cell r="U430" t="str">
            <v>Pièces</v>
          </cell>
          <cell r="V430" t="str">
            <v>Csst</v>
          </cell>
          <cell r="W430" t="str">
            <v>$</v>
          </cell>
          <cell r="X430">
            <v>0</v>
          </cell>
        </row>
        <row r="431">
          <cell r="C431">
            <v>12545.88</v>
          </cell>
          <cell r="O431">
            <v>4332</v>
          </cell>
          <cell r="U431" t="str">
            <v>Pièces</v>
          </cell>
          <cell r="V431" t="str">
            <v>Bénéfices marginaux</v>
          </cell>
          <cell r="W431" t="str">
            <v>$</v>
          </cell>
          <cell r="X431">
            <v>0</v>
          </cell>
        </row>
        <row r="432">
          <cell r="C432">
            <v>310</v>
          </cell>
          <cell r="O432">
            <v>105</v>
          </cell>
          <cell r="U432" t="str">
            <v>Pièces</v>
          </cell>
          <cell r="V432" t="str">
            <v>Fournitures autres</v>
          </cell>
          <cell r="W432" t="str">
            <v>$</v>
          </cell>
          <cell r="X432">
            <v>0</v>
          </cell>
        </row>
        <row r="433">
          <cell r="C433">
            <v>510</v>
          </cell>
          <cell r="O433">
            <v>170</v>
          </cell>
          <cell r="U433" t="str">
            <v>Pièces</v>
          </cell>
          <cell r="V433" t="str">
            <v>Uniformes</v>
          </cell>
          <cell r="W433" t="str">
            <v>$</v>
          </cell>
          <cell r="X433">
            <v>0</v>
          </cell>
        </row>
        <row r="434">
          <cell r="C434">
            <v>975</v>
          </cell>
          <cell r="O434">
            <v>325</v>
          </cell>
          <cell r="U434" t="str">
            <v>Pièces</v>
          </cell>
          <cell r="V434" t="str">
            <v>Formation</v>
          </cell>
          <cell r="W434" t="str">
            <v>$</v>
          </cell>
          <cell r="X434">
            <v>0</v>
          </cell>
        </row>
        <row r="435">
          <cell r="C435">
            <v>3849.69</v>
          </cell>
          <cell r="O435">
            <v>943.3</v>
          </cell>
          <cell r="U435" t="str">
            <v>Pièces</v>
          </cell>
          <cell r="V435" t="str">
            <v>Frais véhicules de cie</v>
          </cell>
          <cell r="W435" t="str">
            <v>$</v>
          </cell>
          <cell r="X435">
            <v>0</v>
          </cell>
        </row>
        <row r="436">
          <cell r="C436">
            <v>289.10000000000002</v>
          </cell>
          <cell r="O436">
            <v>139.44</v>
          </cell>
          <cell r="U436" t="str">
            <v>Pièces</v>
          </cell>
          <cell r="V436" t="str">
            <v>Frais postaux</v>
          </cell>
          <cell r="W436" t="str">
            <v>$</v>
          </cell>
          <cell r="X436">
            <v>0</v>
          </cell>
        </row>
        <row r="437">
          <cell r="C437">
            <v>10576.13</v>
          </cell>
          <cell r="O437">
            <v>4511.82</v>
          </cell>
          <cell r="U437" t="str">
            <v>Pièces</v>
          </cell>
          <cell r="V437" t="str">
            <v>Informatique</v>
          </cell>
          <cell r="W437" t="str">
            <v>$</v>
          </cell>
          <cell r="X437">
            <v>0</v>
          </cell>
        </row>
        <row r="438">
          <cell r="C438">
            <v>1387.5</v>
          </cell>
          <cell r="O438">
            <v>462.5</v>
          </cell>
          <cell r="U438" t="str">
            <v>Pièces</v>
          </cell>
          <cell r="V438" t="str">
            <v>Papeterie</v>
          </cell>
          <cell r="W438" t="str">
            <v>$</v>
          </cell>
          <cell r="X438">
            <v>0</v>
          </cell>
        </row>
        <row r="439">
          <cell r="C439">
            <v>1031.7</v>
          </cell>
          <cell r="O439">
            <v>334.06</v>
          </cell>
          <cell r="U439" t="str">
            <v>Pièces</v>
          </cell>
          <cell r="V439" t="str">
            <v>Téléphone</v>
          </cell>
          <cell r="W439" t="str">
            <v>$</v>
          </cell>
          <cell r="X439">
            <v>0</v>
          </cell>
        </row>
        <row r="440">
          <cell r="C440">
            <v>3982.68</v>
          </cell>
          <cell r="O440">
            <v>1322.09</v>
          </cell>
          <cell r="U440" t="str">
            <v>Pièces</v>
          </cell>
          <cell r="V440" t="str">
            <v>Divers</v>
          </cell>
          <cell r="W440" t="str">
            <v>$</v>
          </cell>
          <cell r="X440">
            <v>0</v>
          </cell>
        </row>
        <row r="441">
          <cell r="C441">
            <v>4557.75</v>
          </cell>
          <cell r="O441">
            <v>1519.25</v>
          </cell>
          <cell r="U441" t="str">
            <v>Pièces</v>
          </cell>
          <cell r="V441" t="str">
            <v>Frais de déplacement</v>
          </cell>
          <cell r="W441" t="str">
            <v>$</v>
          </cell>
          <cell r="X441">
            <v>0</v>
          </cell>
        </row>
        <row r="442">
          <cell r="C442">
            <v>32105.3</v>
          </cell>
          <cell r="O442">
            <v>9050.51</v>
          </cell>
          <cell r="U442" t="str">
            <v>Pièces</v>
          </cell>
          <cell r="V442" t="str">
            <v>Services extérieurs</v>
          </cell>
          <cell r="W442" t="str">
            <v>$</v>
          </cell>
          <cell r="X442">
            <v>0</v>
          </cell>
        </row>
        <row r="443">
          <cell r="C443">
            <v>6750</v>
          </cell>
          <cell r="O443">
            <v>2250</v>
          </cell>
          <cell r="U443" t="str">
            <v>Pièces</v>
          </cell>
          <cell r="V443" t="str">
            <v>Amortissement</v>
          </cell>
          <cell r="W443" t="str">
            <v>$</v>
          </cell>
          <cell r="X443">
            <v>0</v>
          </cell>
        </row>
        <row r="444">
          <cell r="C444">
            <v>1200</v>
          </cell>
          <cell r="O444">
            <v>400</v>
          </cell>
          <cell r="U444" t="str">
            <v>Pièces</v>
          </cell>
          <cell r="V444" t="str">
            <v>Location équipement</v>
          </cell>
          <cell r="W444" t="str">
            <v>$</v>
          </cell>
          <cell r="X444">
            <v>0</v>
          </cell>
        </row>
        <row r="445">
          <cell r="C445">
            <v>2752.5</v>
          </cell>
          <cell r="O445">
            <v>917.5</v>
          </cell>
          <cell r="U445" t="str">
            <v>Pièces</v>
          </cell>
          <cell r="V445" t="str">
            <v>Chauffage, éclairage</v>
          </cell>
          <cell r="W445" t="str">
            <v>$</v>
          </cell>
          <cell r="X445">
            <v>0</v>
          </cell>
        </row>
        <row r="446">
          <cell r="C446">
            <v>19500.03</v>
          </cell>
          <cell r="O446">
            <v>6500</v>
          </cell>
          <cell r="U446" t="str">
            <v>Pièces</v>
          </cell>
          <cell r="V446" t="str">
            <v>Loyer</v>
          </cell>
          <cell r="W446" t="str">
            <v>$</v>
          </cell>
          <cell r="X446">
            <v>0</v>
          </cell>
        </row>
        <row r="447">
          <cell r="C447">
            <v>1125</v>
          </cell>
          <cell r="O447">
            <v>375</v>
          </cell>
          <cell r="U447" t="str">
            <v>Pièces</v>
          </cell>
          <cell r="V447" t="str">
            <v>Assurances</v>
          </cell>
          <cell r="W447" t="str">
            <v>$</v>
          </cell>
          <cell r="X447">
            <v>0</v>
          </cell>
        </row>
        <row r="448">
          <cell r="C448">
            <v>3525</v>
          </cell>
          <cell r="O448">
            <v>1175</v>
          </cell>
          <cell r="U448" t="str">
            <v>Pièces</v>
          </cell>
          <cell r="V448" t="str">
            <v>Taxes foncières</v>
          </cell>
          <cell r="W448" t="str">
            <v>$</v>
          </cell>
          <cell r="X448">
            <v>0</v>
          </cell>
        </row>
        <row r="449">
          <cell r="C449">
            <v>2362.5</v>
          </cell>
          <cell r="O449">
            <v>787.5</v>
          </cell>
          <cell r="U449" t="str">
            <v>Pièces</v>
          </cell>
          <cell r="V449" t="str">
            <v>Taxes d`affaires</v>
          </cell>
          <cell r="W449" t="str">
            <v>$</v>
          </cell>
          <cell r="X449">
            <v>0</v>
          </cell>
        </row>
        <row r="450">
          <cell r="C450">
            <v>6018.75</v>
          </cell>
          <cell r="O450">
            <v>2006.25</v>
          </cell>
          <cell r="U450" t="str">
            <v>Pièces</v>
          </cell>
          <cell r="V450" t="str">
            <v>Honoraires</v>
          </cell>
          <cell r="W450" t="str">
            <v>$</v>
          </cell>
          <cell r="X450">
            <v>0</v>
          </cell>
        </row>
        <row r="451">
          <cell r="C451">
            <v>-240979.1</v>
          </cell>
          <cell r="O451">
            <v>-94042.75</v>
          </cell>
          <cell r="U451" t="str">
            <v>Véhicules neufs</v>
          </cell>
          <cell r="V451" t="str">
            <v>Holdbacks</v>
          </cell>
          <cell r="W451" t="str">
            <v>$</v>
          </cell>
          <cell r="X451">
            <v>0</v>
          </cell>
        </row>
        <row r="452">
          <cell r="C452">
            <v>-16145.31</v>
          </cell>
          <cell r="O452">
            <v>3457.32</v>
          </cell>
          <cell r="U452" t="str">
            <v>Pièces</v>
          </cell>
          <cell r="V452" t="str">
            <v>Escomptes</v>
          </cell>
          <cell r="W452" t="str">
            <v>$</v>
          </cell>
          <cell r="X452">
            <v>0</v>
          </cell>
        </row>
        <row r="453">
          <cell r="C453">
            <v>-26080</v>
          </cell>
          <cell r="O453">
            <v>-37398</v>
          </cell>
          <cell r="U453" t="str">
            <v>Véhicules neufs</v>
          </cell>
          <cell r="V453" t="str">
            <v>Programme neuf 1</v>
          </cell>
          <cell r="W453" t="str">
            <v>$</v>
          </cell>
          <cell r="X453">
            <v>0</v>
          </cell>
        </row>
        <row r="454">
          <cell r="C454">
            <v>-25144.2</v>
          </cell>
          <cell r="O454">
            <v>-11476.29</v>
          </cell>
          <cell r="U454" t="str">
            <v>Véhicules neufs</v>
          </cell>
          <cell r="V454" t="str">
            <v>Rev. Finances</v>
          </cell>
          <cell r="W454" t="str">
            <v>$</v>
          </cell>
          <cell r="X454">
            <v>0</v>
          </cell>
        </row>
        <row r="455">
          <cell r="C455">
            <v>-37596.76</v>
          </cell>
          <cell r="O455">
            <v>-16161.85</v>
          </cell>
          <cell r="U455" t="str">
            <v>Véhicules usagés</v>
          </cell>
          <cell r="V455" t="str">
            <v>Rev. Finances</v>
          </cell>
          <cell r="W455" t="str">
            <v>$</v>
          </cell>
          <cell r="X455">
            <v>0</v>
          </cell>
        </row>
        <row r="456">
          <cell r="C456">
            <v>-7633.28</v>
          </cell>
          <cell r="O456">
            <v>-804.49</v>
          </cell>
          <cell r="U456" t="str">
            <v>Véhicules neufs</v>
          </cell>
          <cell r="V456" t="str">
            <v>Rev. Autres</v>
          </cell>
          <cell r="W456" t="str">
            <v>$</v>
          </cell>
          <cell r="X456">
            <v>0</v>
          </cell>
        </row>
        <row r="457">
          <cell r="C457">
            <v>-828.44</v>
          </cell>
          <cell r="O457">
            <v>-3418.8</v>
          </cell>
          <cell r="U457" t="str">
            <v>Véhicules usagés</v>
          </cell>
          <cell r="V457" t="str">
            <v>Rev. Autres</v>
          </cell>
          <cell r="W457" t="str">
            <v>$</v>
          </cell>
          <cell r="X457">
            <v>0</v>
          </cell>
        </row>
        <row r="458">
          <cell r="C458">
            <v>-48224.95</v>
          </cell>
          <cell r="O458">
            <v>-13649</v>
          </cell>
          <cell r="U458" t="str">
            <v>Véhicules neufs</v>
          </cell>
          <cell r="V458" t="str">
            <v>Rev. Protections</v>
          </cell>
          <cell r="W458" t="str">
            <v>$</v>
          </cell>
          <cell r="X458">
            <v>0</v>
          </cell>
        </row>
        <row r="459">
          <cell r="C459">
            <v>-53028.73</v>
          </cell>
          <cell r="O459">
            <v>-37402.57</v>
          </cell>
          <cell r="U459" t="str">
            <v>Véhicules neufs</v>
          </cell>
          <cell r="V459" t="str">
            <v>Rev. Protections</v>
          </cell>
          <cell r="W459" t="str">
            <v>$</v>
          </cell>
          <cell r="X459">
            <v>0</v>
          </cell>
        </row>
        <row r="460">
          <cell r="C460">
            <v>-31575.56</v>
          </cell>
          <cell r="O460">
            <v>-15986</v>
          </cell>
          <cell r="U460" t="str">
            <v>Véhicules usagés</v>
          </cell>
          <cell r="V460" t="str">
            <v>Rev. Protections</v>
          </cell>
          <cell r="W460" t="str">
            <v>$</v>
          </cell>
          <cell r="X460">
            <v>0</v>
          </cell>
        </row>
        <row r="461">
          <cell r="C461">
            <v>-13797.82</v>
          </cell>
          <cell r="O461">
            <v>-7885.5</v>
          </cell>
          <cell r="U461" t="str">
            <v>Véhicules usagés</v>
          </cell>
          <cell r="V461" t="str">
            <v>Rev. Protections</v>
          </cell>
          <cell r="W461" t="str">
            <v>$</v>
          </cell>
          <cell r="X461">
            <v>0</v>
          </cell>
        </row>
        <row r="462">
          <cell r="C462">
            <v>-82700.25</v>
          </cell>
          <cell r="O462">
            <v>-31057</v>
          </cell>
          <cell r="U462" t="str">
            <v>Véhicules neufs</v>
          </cell>
          <cell r="V462" t="str">
            <v>Frais administration</v>
          </cell>
          <cell r="W462" t="str">
            <v>$</v>
          </cell>
          <cell r="X462">
            <v>0</v>
          </cell>
        </row>
        <row r="463">
          <cell r="C463">
            <v>-141107.5</v>
          </cell>
          <cell r="O463">
            <v>-15660.62</v>
          </cell>
          <cell r="U463" t="str">
            <v>TOTAL  DES  REVENUS  ET  DÉPENSES</v>
          </cell>
          <cell r="V463" t="str">
            <v>Revenus autres</v>
          </cell>
          <cell r="W463" t="str">
            <v>$</v>
          </cell>
          <cell r="X463">
            <v>0</v>
          </cell>
        </row>
        <row r="464">
          <cell r="C464">
            <v>12949.42</v>
          </cell>
          <cell r="O464">
            <v>3043.85</v>
          </cell>
          <cell r="U464" t="str">
            <v>TOTAL  DES  REVENUS  ET  DÉPENSES</v>
          </cell>
          <cell r="V464" t="str">
            <v>Intérêts sur prêt</v>
          </cell>
          <cell r="W464" t="str">
            <v>$</v>
          </cell>
          <cell r="X464">
            <v>0</v>
          </cell>
        </row>
        <row r="465">
          <cell r="C465">
            <v>15422.43</v>
          </cell>
          <cell r="O465">
            <v>12485.9</v>
          </cell>
          <cell r="U465" t="str">
            <v>Véhicules neufs</v>
          </cell>
          <cell r="V465" t="str">
            <v>Frais bancaires</v>
          </cell>
          <cell r="W465" t="str">
            <v>$</v>
          </cell>
          <cell r="X465">
            <v>0</v>
          </cell>
        </row>
        <row r="466">
          <cell r="O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</row>
        <row r="467">
          <cell r="O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Mai</v>
          </cell>
        </row>
        <row r="4">
          <cell r="B4">
            <v>2021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>X</v>
          </cell>
          <cell r="S2" t="str">
            <v>O</v>
          </cell>
          <cell r="T2" t="str">
            <v>U</v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604.29042904290429</v>
          </cell>
          <cell r="E9">
            <v>183100</v>
          </cell>
          <cell r="F9">
            <v>23.607095531789504</v>
          </cell>
          <cell r="G9">
            <v>604.29042904290429</v>
          </cell>
          <cell r="H9">
            <v>14265.541887361909</v>
          </cell>
          <cell r="I9">
            <v>16.252745004560932</v>
          </cell>
          <cell r="J9">
            <v>604.29042904290429</v>
          </cell>
          <cell r="K9">
            <v>9821.3782519310444</v>
          </cell>
          <cell r="L9">
            <v>24.706978036209659</v>
          </cell>
          <cell r="M9">
            <v>604.29042904290429</v>
          </cell>
          <cell r="N9">
            <v>14930.190357854748</v>
          </cell>
          <cell r="O9">
            <v>27.366259623939069</v>
          </cell>
          <cell r="P9">
            <v>604.29042904290418</v>
          </cell>
          <cell r="Q9">
            <v>16537.168769449647</v>
          </cell>
          <cell r="R9">
            <v>35.760209540040471</v>
          </cell>
          <cell r="S9">
            <v>604.29042904290429</v>
          </cell>
          <cell r="T9">
            <v>21609.552365615215</v>
          </cell>
          <cell r="U9">
            <v>25.194550907869203</v>
          </cell>
          <cell r="V9">
            <v>604.29042904290429</v>
          </cell>
          <cell r="W9">
            <v>15224.825977659575</v>
          </cell>
          <cell r="X9">
            <v>25.083842293153349</v>
          </cell>
          <cell r="Y9">
            <v>604.29042904290429</v>
          </cell>
          <cell r="Z9">
            <v>15157.925821374185</v>
          </cell>
          <cell r="AA9">
            <v>26.560589054517198</v>
          </cell>
          <cell r="AB9">
            <v>604.29042904290429</v>
          </cell>
          <cell r="AC9">
            <v>16050.309755386465</v>
          </cell>
          <cell r="AD9">
            <v>29.104991497524331</v>
          </cell>
          <cell r="AE9">
            <v>604.29042904290429</v>
          </cell>
          <cell r="AF9">
            <v>17587.867799329058</v>
          </cell>
          <cell r="AG9">
            <v>36.100676444200857</v>
          </cell>
          <cell r="AH9">
            <v>604.29042904290429</v>
          </cell>
          <cell r="AI9">
            <v>21815.293257205205</v>
          </cell>
          <cell r="AJ9">
            <v>20.980040766836964</v>
          </cell>
          <cell r="AK9">
            <v>604.29042904290429</v>
          </cell>
          <cell r="AL9">
            <v>12678.037836329531</v>
          </cell>
          <cell r="AM9">
            <v>12.282021299358465</v>
          </cell>
          <cell r="AN9">
            <v>604.29042904290429</v>
          </cell>
          <cell r="AO9">
            <v>7421.9079205034159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1315.4791154791153</v>
          </cell>
          <cell r="E10">
            <v>535400</v>
          </cell>
          <cell r="F10">
            <v>31.709860994845965</v>
          </cell>
          <cell r="G10">
            <v>1315.4791154791155</v>
          </cell>
          <cell r="H10">
            <v>41713.659893465679</v>
          </cell>
          <cell r="I10">
            <v>21.831244940119799</v>
          </cell>
          <cell r="J10">
            <v>1315.4791154791155</v>
          </cell>
          <cell r="K10">
            <v>28718.54678363671</v>
          </cell>
          <cell r="L10">
            <v>33.187260926525845</v>
          </cell>
          <cell r="M10">
            <v>1315.4791154791155</v>
          </cell>
          <cell r="N10">
            <v>43657.14864880083</v>
          </cell>
          <cell r="O10">
            <v>36.759299230835644</v>
          </cell>
          <cell r="P10">
            <v>1315.4791154791155</v>
          </cell>
          <cell r="Q10">
            <v>48356.090437811807</v>
          </cell>
          <cell r="R10">
            <v>48.03434086731508</v>
          </cell>
          <cell r="S10">
            <v>1315.4791154791155</v>
          </cell>
          <cell r="T10">
            <v>63188.172236757971</v>
          </cell>
          <cell r="U10">
            <v>33.84218554291342</v>
          </cell>
          <cell r="V10">
            <v>1315.4791154791155</v>
          </cell>
          <cell r="W10">
            <v>44518.688303871859</v>
          </cell>
          <cell r="X10">
            <v>33.693477931727436</v>
          </cell>
          <cell r="Y10">
            <v>1315.4791154791155</v>
          </cell>
          <cell r="Z10">
            <v>44323.066547043905</v>
          </cell>
          <cell r="AA10">
            <v>35.677094868608911</v>
          </cell>
          <cell r="AB10">
            <v>1315.4791154791155</v>
          </cell>
          <cell r="AC10">
            <v>46932.473200622146</v>
          </cell>
          <cell r="AD10">
            <v>39.094823562681199</v>
          </cell>
          <cell r="AE10">
            <v>1315.4791154791155</v>
          </cell>
          <cell r="AF10">
            <v>51428.42392004795</v>
          </cell>
          <cell r="AG10">
            <v>48.491667698976073</v>
          </cell>
          <cell r="AH10">
            <v>1315.4791154791155</v>
          </cell>
          <cell r="AI10">
            <v>63789.77613275624</v>
          </cell>
          <cell r="AJ10">
            <v>28.181110865025232</v>
          </cell>
          <cell r="AK10">
            <v>1315.4791154791155</v>
          </cell>
          <cell r="AL10">
            <v>37071.662793942283</v>
          </cell>
          <cell r="AM10">
            <v>16.497632570425399</v>
          </cell>
          <cell r="AN10">
            <v>1315.4791154791155</v>
          </cell>
          <cell r="AO10">
            <v>21702.291101242652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1011.9718309859155</v>
          </cell>
          <cell r="E16">
            <v>718500</v>
          </cell>
          <cell r="F16">
            <v>55.316956526635465</v>
          </cell>
          <cell r="G16">
            <v>1011.9718309859156</v>
          </cell>
          <cell r="H16">
            <v>55979.201780827585</v>
          </cell>
          <cell r="I16">
            <v>38.083989944680731</v>
          </cell>
          <cell r="J16">
            <v>1011.9718309859154</v>
          </cell>
          <cell r="K16">
            <v>38539.92503556775</v>
          </cell>
          <cell r="L16">
            <v>57.8942389627355</v>
          </cell>
          <cell r="M16">
            <v>1011.9718309859156</v>
          </cell>
          <cell r="N16">
            <v>58587.33900665558</v>
          </cell>
          <cell r="O16">
            <v>64.12555885477471</v>
          </cell>
          <cell r="P16">
            <v>1011.9718309859155</v>
          </cell>
          <cell r="Q16">
            <v>64893.25920726145</v>
          </cell>
          <cell r="R16">
            <v>83.794550407355558</v>
          </cell>
          <cell r="S16">
            <v>1011.9718309859154</v>
          </cell>
          <cell r="T16">
            <v>84797.724602373186</v>
          </cell>
          <cell r="U16">
            <v>59.036736450782627</v>
          </cell>
          <cell r="V16">
            <v>1011.9718309859155</v>
          </cell>
          <cell r="W16">
            <v>59743.514281531432</v>
          </cell>
          <cell r="X16">
            <v>58.777320224880782</v>
          </cell>
          <cell r="Y16">
            <v>1011.9718309859155</v>
          </cell>
          <cell r="Z16">
            <v>59480.99236841809</v>
          </cell>
          <cell r="AA16">
            <v>62.237683923126113</v>
          </cell>
          <cell r="AB16">
            <v>1011.9718309859155</v>
          </cell>
          <cell r="AC16">
            <v>62982.78295600861</v>
          </cell>
          <cell r="AD16">
            <v>68.199815060205538</v>
          </cell>
          <cell r="AE16">
            <v>1011.9718309859155</v>
          </cell>
          <cell r="AF16">
            <v>69016.291719377012</v>
          </cell>
          <cell r="AG16">
            <v>84.592344143176931</v>
          </cell>
          <cell r="AH16">
            <v>1011.9718309859155</v>
          </cell>
          <cell r="AI16">
            <v>85605.069389961442</v>
          </cell>
          <cell r="AJ16">
            <v>49.161151631862197</v>
          </cell>
          <cell r="AK16">
            <v>1011.9718309859155</v>
          </cell>
          <cell r="AL16">
            <v>49749.700630271815</v>
          </cell>
          <cell r="AM16">
            <v>28.779653869783864</v>
          </cell>
          <cell r="AN16">
            <v>1011.9718309859156</v>
          </cell>
          <cell r="AO16">
            <v>29124.19902174607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399.99999999999994</v>
          </cell>
          <cell r="E18">
            <v>29600</v>
          </cell>
          <cell r="F18">
            <v>5.7654292717901754</v>
          </cell>
          <cell r="G18">
            <v>400</v>
          </cell>
          <cell r="H18">
            <v>2306.17170871607</v>
          </cell>
          <cell r="I18">
            <v>3.9693172618399633</v>
          </cell>
          <cell r="J18">
            <v>400</v>
          </cell>
          <cell r="K18">
            <v>1587.7269047359853</v>
          </cell>
          <cell r="L18">
            <v>6.0340474411865177</v>
          </cell>
          <cell r="M18">
            <v>400.00000000000006</v>
          </cell>
          <cell r="N18">
            <v>2413.6189764746073</v>
          </cell>
          <cell r="O18">
            <v>6.683508951061027</v>
          </cell>
          <cell r="P18">
            <v>400</v>
          </cell>
          <cell r="Q18">
            <v>2673.4035804244108</v>
          </cell>
          <cell r="R18">
            <v>8.7335165213300154</v>
          </cell>
          <cell r="S18">
            <v>400</v>
          </cell>
          <cell r="T18">
            <v>3493.406608532006</v>
          </cell>
          <cell r="U18">
            <v>6.1531246441660761</v>
          </cell>
          <cell r="V18">
            <v>399.99999999999994</v>
          </cell>
          <cell r="W18">
            <v>2461.2498576664302</v>
          </cell>
          <cell r="X18">
            <v>6.1260868966777151</v>
          </cell>
          <cell r="Y18">
            <v>400</v>
          </cell>
          <cell r="Z18">
            <v>2450.434758671086</v>
          </cell>
          <cell r="AA18">
            <v>6.4867445215652566</v>
          </cell>
          <cell r="AB18">
            <v>399.99999999999994</v>
          </cell>
          <cell r="AC18">
            <v>2594.6978086261024</v>
          </cell>
          <cell r="AD18">
            <v>7.1081497386693089</v>
          </cell>
          <cell r="AE18">
            <v>400</v>
          </cell>
          <cell r="AF18">
            <v>2843.2598954677237</v>
          </cell>
          <cell r="AG18">
            <v>8.8166668543592852</v>
          </cell>
          <cell r="AH18">
            <v>400</v>
          </cell>
          <cell r="AI18">
            <v>3526.6667417437143</v>
          </cell>
          <cell r="AJ18">
            <v>5.1238383390954967</v>
          </cell>
          <cell r="AK18">
            <v>400.00000000000006</v>
          </cell>
          <cell r="AL18">
            <v>2049.5353356381988</v>
          </cell>
          <cell r="AM18">
            <v>2.999569558259163</v>
          </cell>
          <cell r="AN18">
            <v>399.99999999999994</v>
          </cell>
          <cell r="AO18">
            <v>1199.8278233036651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784</v>
          </cell>
          <cell r="D30">
            <v>1880.7397959183672</v>
          </cell>
          <cell r="E30">
            <v>1474500</v>
          </cell>
          <cell r="F30">
            <v>61.082385798425641</v>
          </cell>
          <cell r="G30">
            <v>1886.065842260778</v>
          </cell>
          <cell r="H30">
            <v>115205.40141820544</v>
          </cell>
          <cell r="I30">
            <v>42.053307206520692</v>
          </cell>
          <cell r="J30">
            <v>1923.105896729719</v>
          </cell>
          <cell r="K30">
            <v>80872.963065846328</v>
          </cell>
          <cell r="L30">
            <v>63.928286403922016</v>
          </cell>
          <cell r="M30">
            <v>1882.4218228862305</v>
          </cell>
          <cell r="N30">
            <v>120340.0014264639</v>
          </cell>
          <cell r="O30">
            <v>70.809067805835738</v>
          </cell>
          <cell r="P30">
            <v>1874.8216088180907</v>
          </cell>
          <cell r="Q30">
            <v>132754.37042264623</v>
          </cell>
          <cell r="R30">
            <v>92.528066928685575</v>
          </cell>
          <cell r="S30">
            <v>1858.2468412833882</v>
          </cell>
          <cell r="T30">
            <v>171939.98810028791</v>
          </cell>
          <cell r="U30">
            <v>65.189861094948697</v>
          </cell>
          <cell r="V30">
            <v>1880.9082272980224</v>
          </cell>
          <cell r="W30">
            <v>122616.14606990427</v>
          </cell>
          <cell r="X30">
            <v>64.903407121558502</v>
          </cell>
          <cell r="Y30">
            <v>1881.2467418194606</v>
          </cell>
          <cell r="Z30">
            <v>122099.32318041391</v>
          </cell>
          <cell r="AA30">
            <v>68.72442844469137</v>
          </cell>
          <cell r="AB30">
            <v>1876.9635173675495</v>
          </cell>
          <cell r="AC30">
            <v>128993.24494262238</v>
          </cell>
          <cell r="AD30">
            <v>75.307964798874849</v>
          </cell>
          <cell r="AE30">
            <v>1870.6032233126164</v>
          </cell>
          <cell r="AF30">
            <v>140871.32169388834</v>
          </cell>
          <cell r="AG30">
            <v>93.409010997536214</v>
          </cell>
          <cell r="AH30">
            <v>1857.7372100020198</v>
          </cell>
          <cell r="AI30">
            <v>173529.39547961092</v>
          </cell>
          <cell r="AJ30">
            <v>54.284989970957696</v>
          </cell>
          <cell r="AK30">
            <v>1896.3156757751531</v>
          </cell>
          <cell r="AL30">
            <v>102941.47744122405</v>
          </cell>
          <cell r="AM30">
            <v>31.779223428043029</v>
          </cell>
          <cell r="AN30">
            <v>1961.5446834323413</v>
          </cell>
          <cell r="AO30">
            <v>62336.36675888631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0.39740475872209596</v>
          </cell>
          <cell r="D34">
            <v>379.20727040816325</v>
          </cell>
          <cell r="E34">
            <v>297298.5</v>
          </cell>
          <cell r="F34">
            <v>0.40539344384558434</v>
          </cell>
          <cell r="G34">
            <v>386.83014711847153</v>
          </cell>
          <cell r="H34">
            <v>23628.508284752228</v>
          </cell>
          <cell r="I34">
            <v>0.44880474282053412</v>
          </cell>
          <cell r="J34">
            <v>428.25360727556324</v>
          </cell>
          <cell r="K34">
            <v>18009.480509059926</v>
          </cell>
          <cell r="L34">
            <v>0.40432916240523931</v>
          </cell>
          <cell r="M34">
            <v>385.81459999408111</v>
          </cell>
          <cell r="N34">
            <v>24664.466247236225</v>
          </cell>
          <cell r="O34">
            <v>0.39047512217984648</v>
          </cell>
          <cell r="P34">
            <v>372.5949475800295</v>
          </cell>
          <cell r="Q34">
            <v>26383.100907306121</v>
          </cell>
          <cell r="R34">
            <v>0.36587947968284396</v>
          </cell>
          <cell r="S34">
            <v>349.12555963104023</v>
          </cell>
          <cell r="T34">
            <v>32303.913148055697</v>
          </cell>
          <cell r="U34">
            <v>0.39855056216453416</v>
          </cell>
          <cell r="V34">
            <v>380.30060657562251</v>
          </cell>
          <cell r="W34">
            <v>24791.743716989564</v>
          </cell>
          <cell r="X34">
            <v>0.402713472275674</v>
          </cell>
          <cell r="Y34">
            <v>384.2728936344792</v>
          </cell>
          <cell r="Z34">
            <v>24940.620061337951</v>
          </cell>
          <cell r="AA34">
            <v>0.39331690600462088</v>
          </cell>
          <cell r="AB34">
            <v>375.30660380364401</v>
          </cell>
          <cell r="AC34">
            <v>25792.731837923668</v>
          </cell>
          <cell r="AD34">
            <v>0.38487836610025095</v>
          </cell>
          <cell r="AE34">
            <v>367.25447153009912</v>
          </cell>
          <cell r="AF34">
            <v>27657.18681421809</v>
          </cell>
          <cell r="AG34">
            <v>0.36780834295447806</v>
          </cell>
          <cell r="AH34">
            <v>350.96609867888395</v>
          </cell>
          <cell r="AI34">
            <v>32783.396171258253</v>
          </cell>
          <cell r="AJ34">
            <v>0.41899244231596533</v>
          </cell>
          <cell r="AK34">
            <v>399.80643634767046</v>
          </cell>
          <cell r="AL34">
            <v>21703.488387457626</v>
          </cell>
          <cell r="AM34">
            <v>0.48278099703616872</v>
          </cell>
          <cell r="AN34">
            <v>460.67406107494628</v>
          </cell>
          <cell r="AO34">
            <v>14639.863914404657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222.74972542441915</v>
          </cell>
          <cell r="E40">
            <v>174635.78473274462</v>
          </cell>
          <cell r="G40">
            <v>226.36716442881018</v>
          </cell>
          <cell r="H40">
            <v>13827.046469736237</v>
          </cell>
          <cell r="J40">
            <v>330.58249123257906</v>
          </cell>
          <cell r="K40">
            <v>13902.087060900581</v>
          </cell>
          <cell r="M40">
            <v>229.32442912116127</v>
          </cell>
          <cell r="N40">
            <v>14660.317784273513</v>
          </cell>
          <cell r="P40">
            <v>217.69013643374319</v>
          </cell>
          <cell r="Q40">
            <v>15414.435631398555</v>
          </cell>
          <cell r="S40">
            <v>164.99067931091494</v>
          </cell>
          <cell r="T40">
            <v>15266.268617889637</v>
          </cell>
          <cell r="V40">
            <v>223.0080333033099</v>
          </cell>
          <cell r="W40">
            <v>14537.862714100465</v>
          </cell>
          <cell r="Y40">
            <v>225.4282585581943</v>
          </cell>
          <cell r="Z40">
            <v>14631.06204190644</v>
          </cell>
          <cell r="AB40">
            <v>216.88661996860117</v>
          </cell>
          <cell r="AC40">
            <v>14905.408994643101</v>
          </cell>
          <cell r="AE40">
            <v>206.56900107150264</v>
          </cell>
          <cell r="AF40">
            <v>15556.291061231463</v>
          </cell>
          <cell r="AH40">
            <v>160.60504182277847</v>
          </cell>
          <cell r="AI40">
            <v>15001.958117883678</v>
          </cell>
          <cell r="AK40">
            <v>246.41998457569252</v>
          </cell>
          <cell r="AL40">
            <v>13376.906391335018</v>
          </cell>
          <cell r="AN40">
            <v>426.5724075398125</v>
          </cell>
          <cell r="AO40">
            <v>13556.139847445927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0.67772620192115607</v>
          </cell>
          <cell r="E44">
            <v>999307.28473274456</v>
          </cell>
          <cell r="F44" t="str">
            <v>% brut</v>
          </cell>
          <cell r="G44">
            <v>0.68177203870204728</v>
          </cell>
          <cell r="H44">
            <v>78543.82139437765</v>
          </cell>
          <cell r="I44" t="str">
            <v>% brut</v>
          </cell>
          <cell r="J44">
            <v>0.74437177058194759</v>
          </cell>
          <cell r="K44">
            <v>60199.550709532487</v>
          </cell>
          <cell r="L44" t="str">
            <v>% brut</v>
          </cell>
          <cell r="M44">
            <v>0.68412332258125208</v>
          </cell>
          <cell r="N44">
            <v>82327.401615305105</v>
          </cell>
          <cell r="O44" t="str">
            <v>% brut</v>
          </cell>
          <cell r="P44">
            <v>0.67363994575841102</v>
          </cell>
          <cell r="Q44">
            <v>89428.646890703414</v>
          </cell>
          <cell r="R44" t="str">
            <v>% brut</v>
          </cell>
          <cell r="S44">
            <v>0.63865889904026452</v>
          </cell>
          <cell r="T44">
            <v>109811.00350112606</v>
          </cell>
          <cell r="U44" t="str">
            <v>% brut</v>
          </cell>
          <cell r="V44">
            <v>0.67838412540151094</v>
          </cell>
          <cell r="W44">
            <v>83180.847011735925</v>
          </cell>
          <cell r="X44" t="str">
            <v>% brut</v>
          </cell>
          <cell r="Y44">
            <v>0.68166007496154524</v>
          </cell>
          <cell r="Z44">
            <v>83230.233791914885</v>
          </cell>
          <cell r="AA44" t="str">
            <v>% brut</v>
          </cell>
          <cell r="AB44">
            <v>0.67388782729424834</v>
          </cell>
          <cell r="AC44">
            <v>86926.977570018586</v>
          </cell>
          <cell r="AD44" t="str">
            <v>% brut</v>
          </cell>
          <cell r="AE44">
            <v>0.66635890493728178</v>
          </cell>
          <cell r="AF44">
            <v>93870.85966100698</v>
          </cell>
          <cell r="AG44" t="str">
            <v>% brut</v>
          </cell>
          <cell r="AH44">
            <v>0.63746410255598951</v>
          </cell>
          <cell r="AI44">
            <v>110618.76035649356</v>
          </cell>
          <cell r="AJ44" t="str">
            <v>% brut</v>
          </cell>
          <cell r="AK44">
            <v>0.69550448832385647</v>
          </cell>
          <cell r="AL44">
            <v>71596.259595060343</v>
          </cell>
          <cell r="AM44" t="str">
            <v>% brut</v>
          </cell>
          <cell r="AN44">
            <v>0.79524882846019906</v>
          </cell>
          <cell r="AO44">
            <v>49572.922635469637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118870.22666438401</v>
          </cell>
          <cell r="H52">
            <v>9501.5155243226436</v>
          </cell>
          <cell r="K52">
            <v>8062.6841232453444</v>
          </cell>
          <cell r="N52">
            <v>10077.431564512774</v>
          </cell>
          <cell r="Q52">
            <v>10129.70310845586</v>
          </cell>
          <cell r="T52">
            <v>11687.060213586945</v>
          </cell>
          <cell r="W52">
            <v>9949.05078334666</v>
          </cell>
          <cell r="Z52">
            <v>9958.1504530827278</v>
          </cell>
          <cell r="AC52">
            <v>10177.327118760879</v>
          </cell>
          <cell r="AF52">
            <v>10602.517928354224</v>
          </cell>
          <cell r="AI52">
            <v>11589.29680179615</v>
          </cell>
          <cell r="AL52">
            <v>9244.7710874087043</v>
          </cell>
          <cell r="AO52">
            <v>7890.7179575110886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118870.22666438401</v>
          </cell>
          <cell r="H53">
            <v>9501.5155243226436</v>
          </cell>
          <cell r="K53">
            <v>8062.6841232453444</v>
          </cell>
          <cell r="N53">
            <v>10077.431564512774</v>
          </cell>
          <cell r="Q53">
            <v>10129.70310845586</v>
          </cell>
          <cell r="T53">
            <v>11687.060213586945</v>
          </cell>
          <cell r="W53">
            <v>9949.05078334666</v>
          </cell>
          <cell r="Z53">
            <v>9958.1504530827278</v>
          </cell>
          <cell r="AC53">
            <v>10177.327118760879</v>
          </cell>
          <cell r="AF53">
            <v>10602.517928354224</v>
          </cell>
          <cell r="AI53">
            <v>11589.29680179615</v>
          </cell>
          <cell r="AL53">
            <v>9244.7710874087043</v>
          </cell>
          <cell r="AO53">
            <v>7890.7179575110886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85190.329109475191</v>
          </cell>
          <cell r="H54">
            <v>6809.4194590978941</v>
          </cell>
          <cell r="K54">
            <v>5778.2569549924965</v>
          </cell>
          <cell r="N54">
            <v>7222.1592879008203</v>
          </cell>
          <cell r="Q54">
            <v>7259.6205610600327</v>
          </cell>
          <cell r="T54">
            <v>8375.7264864039771</v>
          </cell>
          <cell r="W54">
            <v>7130.1530613984396</v>
          </cell>
          <cell r="Z54">
            <v>7136.6744913759539</v>
          </cell>
          <cell r="AC54">
            <v>7293.7511017786301</v>
          </cell>
          <cell r="AF54">
            <v>7598.4711819871936</v>
          </cell>
          <cell r="AI54">
            <v>8305.6627079539066</v>
          </cell>
          <cell r="AL54">
            <v>6625.4192793095708</v>
          </cell>
          <cell r="AO54">
            <v>5655.0145362162802</v>
          </cell>
        </row>
        <row r="55">
          <cell r="A55" t="str">
            <v>Véhicules neufsCsst</v>
          </cell>
          <cell r="B55" t="str">
            <v>Csst</v>
          </cell>
          <cell r="E55">
            <v>19811.704444064002</v>
          </cell>
          <cell r="H55">
            <v>1583.5859207204408</v>
          </cell>
          <cell r="K55">
            <v>1343.7806872075575</v>
          </cell>
          <cell r="N55">
            <v>1679.5719274187957</v>
          </cell>
          <cell r="Q55">
            <v>1688.28385140931</v>
          </cell>
          <cell r="T55">
            <v>1947.8433689311576</v>
          </cell>
          <cell r="W55">
            <v>1658.1751305577768</v>
          </cell>
          <cell r="Z55">
            <v>1659.6917421804546</v>
          </cell>
          <cell r="AC55">
            <v>1696.2211864601466</v>
          </cell>
          <cell r="AF55">
            <v>1767.0863213923708</v>
          </cell>
          <cell r="AI55">
            <v>1931.5494669660252</v>
          </cell>
          <cell r="AL55">
            <v>1540.795181234784</v>
          </cell>
          <cell r="AO55">
            <v>1315.1196595851816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0.56704592003086285</v>
          </cell>
          <cell r="E57">
            <v>836109.20908550732</v>
          </cell>
          <cell r="F57" t="str">
            <v>% brut</v>
          </cell>
          <cell r="G57">
            <v>0.58478869021577451</v>
          </cell>
          <cell r="H57">
            <v>67370.815801134886</v>
          </cell>
          <cell r="I57" t="str">
            <v>% brut</v>
          </cell>
          <cell r="J57">
            <v>0.76296655969075067</v>
          </cell>
          <cell r="K57">
            <v>61703.366402345913</v>
          </cell>
          <cell r="L57" t="str">
            <v>% brut</v>
          </cell>
          <cell r="M57">
            <v>0.59887826641823483</v>
          </cell>
          <cell r="N57">
            <v>72069.011435048611</v>
          </cell>
          <cell r="O57" t="str">
            <v>% brut</v>
          </cell>
          <cell r="P57">
            <v>0.52112853069770382</v>
          </cell>
          <cell r="Q57">
            <v>69182.09000205234</v>
          </cell>
          <cell r="R57" t="str">
            <v>% brut</v>
          </cell>
          <cell r="S57">
            <v>0.43731123483816542</v>
          </cell>
          <cell r="T57">
            <v>75191.288514196378</v>
          </cell>
          <cell r="U57" t="str">
            <v>% brut</v>
          </cell>
          <cell r="V57">
            <v>0.57235551956042396</v>
          </cell>
          <cell r="W57">
            <v>70180.027990336894</v>
          </cell>
          <cell r="X57" t="str">
            <v>% brut</v>
          </cell>
          <cell r="Y57">
            <v>0.57499307565917035</v>
          </cell>
          <cell r="Z57">
            <v>70206.26537140923</v>
          </cell>
          <cell r="AA57" t="str">
            <v>% brut</v>
          </cell>
          <cell r="AB57">
            <v>0.54916228201684136</v>
          </cell>
          <cell r="AC57">
            <v>70838.224757447882</v>
          </cell>
          <cell r="AD57" t="str">
            <v>% brut</v>
          </cell>
          <cell r="AE57">
            <v>0.51156041361186322</v>
          </cell>
          <cell r="AF57">
            <v>72064.191591775365</v>
          </cell>
          <cell r="AG57" t="str">
            <v>% brut</v>
          </cell>
          <cell r="AH57">
            <v>0.42292883547679183</v>
          </cell>
          <cell r="AI57">
            <v>73390.585151183506</v>
          </cell>
          <cell r="AJ57" t="str">
            <v>% brut</v>
          </cell>
          <cell r="AK57">
            <v>0.66202036886404714</v>
          </cell>
          <cell r="AL57">
            <v>68149.354867049129</v>
          </cell>
          <cell r="AM57" t="str">
            <v>% brut</v>
          </cell>
          <cell r="AN57">
            <v>1.0549858873857474</v>
          </cell>
          <cell r="AO57">
            <v>65763.987201527081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0.27994827182095627</v>
          </cell>
          <cell r="E75">
            <v>412783.7268</v>
          </cell>
          <cell r="F75" t="str">
            <v>% brut</v>
          </cell>
          <cell r="G75">
            <v>0.29071073807100334</v>
          </cell>
          <cell r="H75">
            <v>33491.447276052721</v>
          </cell>
          <cell r="I75" t="str">
            <v>% brut</v>
          </cell>
          <cell r="J75">
            <v>0.40963510246787421</v>
          </cell>
          <cell r="K75">
            <v>33128.404512358567</v>
          </cell>
          <cell r="L75" t="str">
            <v>% brut</v>
          </cell>
          <cell r="M75">
            <v>0.27836522192119434</v>
          </cell>
          <cell r="N75">
            <v>33498.47120307447</v>
          </cell>
          <cell r="O75" t="str">
            <v>% brut</v>
          </cell>
          <cell r="P75">
            <v>0.27039159689761394</v>
          </cell>
          <cell r="Q75">
            <v>35895.666213716679</v>
          </cell>
          <cell r="R75" t="str">
            <v>% brut</v>
          </cell>
          <cell r="S75">
            <v>0.20732939417972809</v>
          </cell>
          <cell r="T75">
            <v>35648.21356810235</v>
          </cell>
          <cell r="U75" t="str">
            <v>% brut</v>
          </cell>
          <cell r="V75">
            <v>0.27603535408808016</v>
          </cell>
          <cell r="W75">
            <v>33846.391297321781</v>
          </cell>
          <cell r="X75" t="str">
            <v>% brut</v>
          </cell>
          <cell r="Y75">
            <v>0.27605751291326713</v>
          </cell>
          <cell r="Z75">
            <v>33706.435485578288</v>
          </cell>
          <cell r="AA75" t="str">
            <v>% brut</v>
          </cell>
          <cell r="AB75">
            <v>0.26323488257615124</v>
          </cell>
          <cell r="AC75">
            <v>33955.521685587919</v>
          </cell>
          <cell r="AD75" t="str">
            <v>% brut</v>
          </cell>
          <cell r="AE75">
            <v>0.23688262008930008</v>
          </cell>
          <cell r="AF75">
            <v>33369.967778290928</v>
          </cell>
          <cell r="AG75" t="str">
            <v>% brut</v>
          </cell>
          <cell r="AH75">
            <v>0.20492275780259839</v>
          </cell>
          <cell r="AI75">
            <v>35560.122281499622</v>
          </cell>
          <cell r="AJ75" t="str">
            <v>% brut</v>
          </cell>
          <cell r="AK75">
            <v>0.35974530877342065</v>
          </cell>
          <cell r="AL75">
            <v>37032.713587685263</v>
          </cell>
          <cell r="AM75" t="str">
            <v>% brut</v>
          </cell>
          <cell r="AN75">
            <v>0.5398192685962796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1.524720393772975</v>
          </cell>
          <cell r="E77">
            <v>2248200.2206182517</v>
          </cell>
          <cell r="F77" t="str">
            <v>% brut</v>
          </cell>
          <cell r="G77">
            <v>1.5572714669888252</v>
          </cell>
          <cell r="H77">
            <v>179406.08447156526</v>
          </cell>
          <cell r="I77" t="str">
            <v>% brut</v>
          </cell>
          <cell r="J77">
            <v>1.9169734327405725</v>
          </cell>
          <cell r="K77">
            <v>155031.32162423697</v>
          </cell>
          <cell r="L77" t="str">
            <v>% brut</v>
          </cell>
          <cell r="M77">
            <v>1.5613668109206813</v>
          </cell>
          <cell r="N77">
            <v>187894.88425342817</v>
          </cell>
          <cell r="O77" t="str">
            <v>% brut</v>
          </cell>
          <cell r="P77">
            <v>1.4651600733537287</v>
          </cell>
          <cell r="Q77">
            <v>194506.40310647243</v>
          </cell>
          <cell r="R77" t="str">
            <v>% brut</v>
          </cell>
          <cell r="S77">
            <v>1.2832995280581578</v>
          </cell>
          <cell r="T77">
            <v>220650.50558342476</v>
          </cell>
          <cell r="U77" t="str">
            <v>% brut</v>
          </cell>
          <cell r="V77">
            <v>1.526774999050015</v>
          </cell>
          <cell r="W77">
            <v>187207.2662993946</v>
          </cell>
          <cell r="X77" t="str">
            <v>% brut</v>
          </cell>
          <cell r="Y77">
            <v>1.5327106635339829</v>
          </cell>
          <cell r="Z77">
            <v>187142.93464890242</v>
          </cell>
          <cell r="AA77" t="str">
            <v>% brut</v>
          </cell>
          <cell r="AB77">
            <v>1.4862849918872407</v>
          </cell>
          <cell r="AC77">
            <v>191720.72401305437</v>
          </cell>
          <cell r="AD77" t="str">
            <v>% brut</v>
          </cell>
          <cell r="AE77">
            <v>1.4148019386384449</v>
          </cell>
          <cell r="AF77">
            <v>199305.01903107326</v>
          </cell>
          <cell r="AG77" t="str">
            <v>% brut</v>
          </cell>
          <cell r="AH77">
            <v>1.2653156958353797</v>
          </cell>
          <cell r="AI77">
            <v>219569.46778917668</v>
          </cell>
          <cell r="AJ77" t="str">
            <v>% brut</v>
          </cell>
          <cell r="AK77">
            <v>1.7172701659613239</v>
          </cell>
          <cell r="AL77">
            <v>176778.32804979471</v>
          </cell>
          <cell r="AM77" t="str">
            <v>% brut</v>
          </cell>
          <cell r="AN77">
            <v>2.3900539844422264</v>
          </cell>
          <cell r="AO77">
            <v>148987.28174772818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453576.37500000012</v>
          </cell>
          <cell r="H78">
            <v>22678.818750000006</v>
          </cell>
          <cell r="K78">
            <v>22678.818750000006</v>
          </cell>
          <cell r="N78">
            <v>45357.637500000012</v>
          </cell>
          <cell r="Q78">
            <v>45357.637500000012</v>
          </cell>
          <cell r="T78">
            <v>49893.40125000001</v>
          </cell>
          <cell r="W78">
            <v>36286.110000000008</v>
          </cell>
          <cell r="Z78">
            <v>31750.346250000006</v>
          </cell>
          <cell r="AC78">
            <v>45357.637500000012</v>
          </cell>
          <cell r="AF78">
            <v>45357.637500000012</v>
          </cell>
          <cell r="AI78">
            <v>49893.40125000001</v>
          </cell>
          <cell r="AL78">
            <v>45357.637500000012</v>
          </cell>
          <cell r="AO78">
            <v>13607.291250000002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727755.67499999993</v>
          </cell>
          <cell r="H81">
            <v>36387.783750000002</v>
          </cell>
          <cell r="K81">
            <v>36387.783750000002</v>
          </cell>
          <cell r="N81">
            <v>72775.567500000005</v>
          </cell>
          <cell r="Q81">
            <v>72775.567500000005</v>
          </cell>
          <cell r="T81">
            <v>80053.124249999993</v>
          </cell>
          <cell r="W81">
            <v>58220.453999999991</v>
          </cell>
          <cell r="Z81">
            <v>50942.897249999995</v>
          </cell>
          <cell r="AC81">
            <v>72775.567500000005</v>
          </cell>
          <cell r="AF81">
            <v>72775.567500000005</v>
          </cell>
          <cell r="AI81">
            <v>80053.124249999993</v>
          </cell>
          <cell r="AL81">
            <v>72775.567500000005</v>
          </cell>
          <cell r="AO81">
            <v>21832.670249999999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13208.943793568153</v>
          </cell>
          <cell r="N85">
            <v>20079.874759471906</v>
          </cell>
          <cell r="Q85">
            <v>22241.128197813006</v>
          </cell>
          <cell r="T85">
            <v>29063.065822300141</v>
          </cell>
          <cell r="W85">
            <v>20476.135369923384</v>
          </cell>
          <cell r="Z85">
            <v>20386.160176881524</v>
          </cell>
          <cell r="AC85">
            <v>21586.34297447756</v>
          </cell>
          <cell r="AF85">
            <v>23654.231743326593</v>
          </cell>
          <cell r="AI85">
            <v>29339.770354326123</v>
          </cell>
          <cell r="AL85">
            <v>17050.915349877814</v>
          </cell>
          <cell r="AO85">
            <v>9981.8540787483162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1427586.4500000002</v>
          </cell>
          <cell r="H86">
            <v>78252.579879285506</v>
          </cell>
          <cell r="K86">
            <v>72275.546293568157</v>
          </cell>
          <cell r="N86">
            <v>138213.07975947193</v>
          </cell>
          <cell r="Q86">
            <v>140374.33319781302</v>
          </cell>
          <cell r="T86">
            <v>159009.59132230014</v>
          </cell>
          <cell r="W86">
            <v>114982.69936992339</v>
          </cell>
          <cell r="Z86">
            <v>103079.40367688151</v>
          </cell>
          <cell r="AC86">
            <v>139719.54797447758</v>
          </cell>
          <cell r="AF86">
            <v>141787.4367433266</v>
          </cell>
          <cell r="AI86">
            <v>159286.29585432613</v>
          </cell>
          <cell r="AL86">
            <v>135184.12034987783</v>
          </cell>
          <cell r="AO86">
            <v>45421.815578748319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653886.22938174848</v>
          </cell>
          <cell r="H88">
            <v>14051.89682592568</v>
          </cell>
          <cell r="K88">
            <v>-1882.8122648224817</v>
          </cell>
          <cell r="N88">
            <v>70658.196932507664</v>
          </cell>
          <cell r="Q88">
            <v>78622.300513986818</v>
          </cell>
          <cell r="T88">
            <v>110299.07383916329</v>
          </cell>
          <cell r="W88">
            <v>50391.579140433052</v>
          </cell>
          <cell r="Z88">
            <v>38035.792208393003</v>
          </cell>
          <cell r="AC88">
            <v>76992.068904045591</v>
          </cell>
          <cell r="AF88">
            <v>83353.739406141685</v>
          </cell>
          <cell r="AI88">
            <v>113246.22354476037</v>
          </cell>
          <cell r="AL88">
            <v>61347.269741307173</v>
          </cell>
          <cell r="AO88">
            <v>-41229.099410093542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 t="str">
            <v>TOTAL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 t="str">
            <v>TOTAL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 t="str">
            <v>TOTAL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 t="str">
            <v>TOTAL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 t="str">
            <v>TOTAL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 t="str">
            <v>TOTAL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6096959.801147907</v>
          </cell>
          <cell r="H406">
            <v>413280.60047496704</v>
          </cell>
          <cell r="K406">
            <v>395245.86571865913</v>
          </cell>
          <cell r="N406">
            <v>447448.36001540109</v>
          </cell>
          <cell r="Q406">
            <v>545848.99954707432</v>
          </cell>
          <cell r="T406">
            <v>640640.25587218278</v>
          </cell>
          <cell r="W406">
            <v>499977.1209279109</v>
          </cell>
          <cell r="Z406">
            <v>515749.65301674046</v>
          </cell>
          <cell r="AC406">
            <v>544131.00911837327</v>
          </cell>
          <cell r="AF406">
            <v>484188.3246103251</v>
          </cell>
          <cell r="AI406">
            <v>621205.09575778607</v>
          </cell>
          <cell r="AL406">
            <v>628835.68409121572</v>
          </cell>
          <cell r="AO406">
            <v>360408.83199727139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0.44829106572451843</v>
          </cell>
          <cell r="D408">
            <v>397.8775773195876</v>
          </cell>
          <cell r="E408">
            <v>463129.5</v>
          </cell>
          <cell r="G408">
            <v>455.58860949975389</v>
          </cell>
          <cell r="H408">
            <v>34467.450637893795</v>
          </cell>
          <cell r="J408">
            <v>472.38120934786303</v>
          </cell>
          <cell r="K408">
            <v>30134.362287755604</v>
          </cell>
          <cell r="M408">
            <v>447.03837620673994</v>
          </cell>
          <cell r="N408">
            <v>36641.020471478783</v>
          </cell>
          <cell r="P408">
            <v>420.22465912639564</v>
          </cell>
          <cell r="Q408">
            <v>40210.849310440237</v>
          </cell>
          <cell r="S408">
            <v>390.27675661818603</v>
          </cell>
          <cell r="T408">
            <v>48061.698428145974</v>
          </cell>
          <cell r="V408">
            <v>419.16824916118219</v>
          </cell>
          <cell r="W408">
            <v>39738.692223387668</v>
          </cell>
          <cell r="Y408">
            <v>422.38398706407628</v>
          </cell>
          <cell r="Z408">
            <v>40197.978360782246</v>
          </cell>
          <cell r="AB408">
            <v>413.12269668516979</v>
          </cell>
          <cell r="AC408">
            <v>41196.041699102789</v>
          </cell>
          <cell r="AE408">
            <v>417.89406053041449</v>
          </cell>
          <cell r="AF408">
            <v>41124.111394242362</v>
          </cell>
          <cell r="AH408">
            <v>391.36370699935725</v>
          </cell>
          <cell r="AI408">
            <v>49062.70010806495</v>
          </cell>
          <cell r="AK408">
            <v>429.24925889758339</v>
          </cell>
          <cell r="AL408">
            <v>36969.146652835443</v>
          </cell>
          <cell r="AN408">
            <v>504.85296152113261</v>
          </cell>
          <cell r="AO408">
            <v>25325.448425870156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174.0878521986472</v>
          </cell>
          <cell r="E414">
            <v>189755.75889652545</v>
          </cell>
          <cell r="G414">
            <v>197.05966590141205</v>
          </cell>
          <cell r="H414">
            <v>14908.503341720248</v>
          </cell>
          <cell r="J414">
            <v>235.50011068263615</v>
          </cell>
          <cell r="K414">
            <v>15023.132829339766</v>
          </cell>
          <cell r="M414">
            <v>193.25422354483004</v>
          </cell>
          <cell r="N414">
            <v>15839.874914522146</v>
          </cell>
          <cell r="P414">
            <v>175.05617999055076</v>
          </cell>
          <cell r="Q414">
            <v>16750.939102657692</v>
          </cell>
          <cell r="S414">
            <v>135.18711698183972</v>
          </cell>
          <cell r="T414">
            <v>16647.987197731345</v>
          </cell>
          <cell r="V414">
            <v>167.59274863875387</v>
          </cell>
          <cell r="W414">
            <v>15888.409177828937</v>
          </cell>
          <cell r="Y414">
            <v>168.11237327265729</v>
          </cell>
          <cell r="Z414">
            <v>15999.132897926031</v>
          </cell>
          <cell r="AB414">
            <v>162.57190167148033</v>
          </cell>
          <cell r="AC414">
            <v>16211.452176554214</v>
          </cell>
          <cell r="AE414">
            <v>171.66232233858355</v>
          </cell>
          <cell r="AF414">
            <v>16892.942812075355</v>
          </cell>
          <cell r="AH414">
            <v>130.90402016627124</v>
          </cell>
          <cell r="AI414">
            <v>16410.578113131989</v>
          </cell>
          <cell r="AK414">
            <v>169.38705614726231</v>
          </cell>
          <cell r="AL414">
            <v>14588.481610621289</v>
          </cell>
          <cell r="AN414">
            <v>290.93218542920567</v>
          </cell>
          <cell r="AO414">
            <v>14594.324722416479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0.24107585786859678</v>
          </cell>
          <cell r="D418">
            <v>1321.4558474591113</v>
          </cell>
          <cell r="E418">
            <v>1469829.814452081</v>
          </cell>
          <cell r="F418">
            <v>0.25639299652245567</v>
          </cell>
          <cell r="H418">
            <v>105962.25156037661</v>
          </cell>
          <cell r="I418">
            <v>0.23538796213031091</v>
          </cell>
          <cell r="K418">
            <v>93036.118871945684</v>
          </cell>
          <cell r="L418">
            <v>0.25438767185717603</v>
          </cell>
          <cell r="N418">
            <v>113825.34658062943</v>
          </cell>
          <cell r="O418">
            <v>0.23567900627868238</v>
          </cell>
          <cell r="Q418">
            <v>128645.14979146743</v>
          </cell>
          <cell r="R418">
            <v>0.24497185269000951</v>
          </cell>
          <cell r="T418">
            <v>156938.83038881037</v>
          </cell>
          <cell r="U418">
            <v>0.25347927875103177</v>
          </cell>
          <cell r="W418">
            <v>126733.84000482425</v>
          </cell>
          <cell r="X418">
            <v>0.24738250306210138</v>
          </cell>
          <cell r="Z418">
            <v>127587.44011669152</v>
          </cell>
          <cell r="AA418">
            <v>0.24295247263163064</v>
          </cell>
          <cell r="AC418">
            <v>132197.97410085314</v>
          </cell>
          <cell r="AD418">
            <v>0.27198916515712301</v>
          </cell>
          <cell r="AF418">
            <v>131693.97818958841</v>
          </cell>
          <cell r="AG418">
            <v>0.2565585815113493</v>
          </cell>
          <cell r="AI418">
            <v>159375.49819523952</v>
          </cell>
          <cell r="AJ418">
            <v>0.18485141476045258</v>
          </cell>
          <cell r="AL418">
            <v>116241.16585611826</v>
          </cell>
          <cell r="AM418">
            <v>0.21528945438308178</v>
          </cell>
          <cell r="AO418">
            <v>77592.220795536341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440242.52645026136</v>
          </cell>
          <cell r="H427">
            <v>34942.936938664985</v>
          </cell>
          <cell r="K427">
            <v>33035.833737292531</v>
          </cell>
          <cell r="N427">
            <v>37360.994528538766</v>
          </cell>
          <cell r="Q427">
            <v>36623.008976066805</v>
          </cell>
          <cell r="T427">
            <v>38980.622451867996</v>
          </cell>
          <cell r="W427">
            <v>37357.171272987172</v>
          </cell>
          <cell r="Z427">
            <v>37875.442230895795</v>
          </cell>
          <cell r="AC427">
            <v>37746.060042308891</v>
          </cell>
          <cell r="AF427">
            <v>37489.756790823893</v>
          </cell>
          <cell r="AI427">
            <v>38945.406447591777</v>
          </cell>
          <cell r="AL427">
            <v>36765.058721711073</v>
          </cell>
          <cell r="AO427">
            <v>33120.234311511602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440242.52645026136</v>
          </cell>
          <cell r="H428">
            <v>34942.936938664985</v>
          </cell>
          <cell r="K428">
            <v>33035.833737292531</v>
          </cell>
          <cell r="N428">
            <v>37360.994528538766</v>
          </cell>
          <cell r="Q428">
            <v>36623.008976066805</v>
          </cell>
          <cell r="T428">
            <v>38980.622451867996</v>
          </cell>
          <cell r="W428">
            <v>37357.171272987172</v>
          </cell>
          <cell r="Z428">
            <v>37875.442230895795</v>
          </cell>
          <cell r="AC428">
            <v>37746.060042308891</v>
          </cell>
          <cell r="AF428">
            <v>37489.756790823893</v>
          </cell>
          <cell r="AI428">
            <v>38945.406447591777</v>
          </cell>
          <cell r="AL428">
            <v>36765.058721711073</v>
          </cell>
          <cell r="AO428">
            <v>33120.234311511602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315507.14395602059</v>
          </cell>
          <cell r="H429">
            <v>25042.438139376573</v>
          </cell>
          <cell r="K429">
            <v>23675.680845059644</v>
          </cell>
          <cell r="N429">
            <v>26775.379412119448</v>
          </cell>
          <cell r="Q429">
            <v>26246.489766181214</v>
          </cell>
          <cell r="T429">
            <v>27936.112757172064</v>
          </cell>
          <cell r="W429">
            <v>26772.639412307479</v>
          </cell>
          <cell r="Z429">
            <v>27144.066932141985</v>
          </cell>
          <cell r="AC429">
            <v>27051.343030321372</v>
          </cell>
          <cell r="AF429">
            <v>26867.659033423788</v>
          </cell>
          <cell r="AI429">
            <v>27910.87462077411</v>
          </cell>
          <cell r="AL429">
            <v>26348.292083892939</v>
          </cell>
          <cell r="AO429">
            <v>23736.167923249981</v>
          </cell>
        </row>
        <row r="430">
          <cell r="A430" t="str">
            <v>Csst</v>
          </cell>
          <cell r="B430" t="str">
            <v>Csst</v>
          </cell>
          <cell r="E430">
            <v>73373.754408376888</v>
          </cell>
          <cell r="H430">
            <v>5823.8228231108315</v>
          </cell>
          <cell r="K430">
            <v>5505.9722895487557</v>
          </cell>
          <cell r="N430">
            <v>6226.8324214231288</v>
          </cell>
          <cell r="Q430">
            <v>6103.8348293444678</v>
          </cell>
          <cell r="T430">
            <v>6496.7704086446665</v>
          </cell>
          <cell r="W430">
            <v>6226.1952121645299</v>
          </cell>
          <cell r="Z430">
            <v>6312.5737051492997</v>
          </cell>
          <cell r="AC430">
            <v>6291.0100070514818</v>
          </cell>
          <cell r="AF430">
            <v>6248.2927984706484</v>
          </cell>
          <cell r="AI430">
            <v>6490.9010745986307</v>
          </cell>
          <cell r="AL430">
            <v>6127.5097869518459</v>
          </cell>
          <cell r="AO430">
            <v>5520.0390519186003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0.52162057153951336</v>
          </cell>
          <cell r="E432">
            <v>3180299.6561282091</v>
          </cell>
          <cell r="F432">
            <v>0.61847019780244517</v>
          </cell>
          <cell r="H432">
            <v>255601.73472366616</v>
          </cell>
          <cell r="I432">
            <v>0.6179522865353142</v>
          </cell>
          <cell r="K432">
            <v>244243.08646447517</v>
          </cell>
          <cell r="L432">
            <v>0.61301703915545003</v>
          </cell>
          <cell r="N432">
            <v>274293.46883160301</v>
          </cell>
          <cell r="O432">
            <v>0.47713917703910175</v>
          </cell>
          <cell r="Q432">
            <v>260445.94243150807</v>
          </cell>
          <cell r="R432">
            <v>0.42629784731550929</v>
          </cell>
          <cell r="T432">
            <v>273103.56198196858</v>
          </cell>
          <cell r="U432">
            <v>0.53686978833090371</v>
          </cell>
          <cell r="W432">
            <v>268422.61108286219</v>
          </cell>
          <cell r="X432">
            <v>0.52334879419247538</v>
          </cell>
          <cell r="Z432">
            <v>269916.95901149866</v>
          </cell>
          <cell r="AA432">
            <v>0.49536582645994415</v>
          </cell>
          <cell r="AC432">
            <v>269543.90703440638</v>
          </cell>
          <cell r="AD432">
            <v>0.55516600806575067</v>
          </cell>
          <cell r="AF432">
            <v>268804.89932595805</v>
          </cell>
          <cell r="AG432">
            <v>0.43003863023455691</v>
          </cell>
          <cell r="AI432">
            <v>267142.18847440509</v>
          </cell>
          <cell r="AJ432">
            <v>0.4241415682574311</v>
          </cell>
          <cell r="AL432">
            <v>266715.35322668275</v>
          </cell>
          <cell r="AM432">
            <v>0.72713518724524129</v>
          </cell>
          <cell r="AO432">
            <v>262065.94353917465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0.2320344487647181</v>
          </cell>
          <cell r="E450">
            <v>1414704.7065999999</v>
          </cell>
          <cell r="F450">
            <v>0.26982798975238226</v>
          </cell>
          <cell r="H450">
            <v>111514.67362981779</v>
          </cell>
          <cell r="I450">
            <v>0.27887129401632399</v>
          </cell>
          <cell r="K450">
            <v>110222.7260275647</v>
          </cell>
          <cell r="L450">
            <v>0.25189143968259214</v>
          </cell>
          <cell r="N450">
            <v>112708.41158789417</v>
          </cell>
          <cell r="O450">
            <v>0.2320802918442966</v>
          </cell>
          <cell r="Q450">
            <v>126680.79511780234</v>
          </cell>
          <cell r="R450">
            <v>0.1979623552220372</v>
          </cell>
          <cell r="T450">
            <v>126822.65390250584</v>
          </cell>
          <cell r="U450">
            <v>0.22712755044792912</v>
          </cell>
          <cell r="W450">
            <v>113558.57875636444</v>
          </cell>
          <cell r="X450">
            <v>0.21959261297415764</v>
          </cell>
          <cell r="Z450">
            <v>113254.81394646117</v>
          </cell>
          <cell r="AA450">
            <v>0.20953940821922959</v>
          </cell>
          <cell r="AC450">
            <v>114016.88964439616</v>
          </cell>
          <cell r="AD450">
            <v>0.2290064845250642</v>
          </cell>
          <cell r="AF450">
            <v>110882.26606709117</v>
          </cell>
          <cell r="AG450">
            <v>0.2025765052368684</v>
          </cell>
          <cell r="AI450">
            <v>125841.55733394649</v>
          </cell>
          <cell r="AJ450">
            <v>0.21163044813652215</v>
          </cell>
          <cell r="AL450">
            <v>133080.77762846046</v>
          </cell>
          <cell r="AM450">
            <v>0.32219122465504529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9.7711485630565628E-2</v>
          </cell>
          <cell r="E464">
            <v>595743</v>
          </cell>
          <cell r="F464">
            <v>0.1201248012680602</v>
          </cell>
          <cell r="H464">
            <v>49645.25</v>
          </cell>
          <cell r="I464">
            <v>0.12560599440991521</v>
          </cell>
          <cell r="K464">
            <v>49645.25</v>
          </cell>
          <cell r="L464">
            <v>0.11095190961989719</v>
          </cell>
          <cell r="N464">
            <v>49645.25</v>
          </cell>
          <cell r="O464">
            <v>9.0950519358272752E-2</v>
          </cell>
          <cell r="Q464">
            <v>49645.25</v>
          </cell>
          <cell r="R464">
            <v>7.7493178964240683E-2</v>
          </cell>
          <cell r="T464">
            <v>49645.25</v>
          </cell>
          <cell r="U464">
            <v>9.929504355691926E-2</v>
          </cell>
          <cell r="W464">
            <v>49645.25</v>
          </cell>
          <cell r="X464">
            <v>9.6258426369486269E-2</v>
          </cell>
          <cell r="Z464">
            <v>49645.25</v>
          </cell>
          <cell r="AA464">
            <v>9.1237678368004754E-2</v>
          </cell>
          <cell r="AC464">
            <v>49645.25</v>
          </cell>
          <cell r="AD464">
            <v>0.10253293496895967</v>
          </cell>
          <cell r="AF464">
            <v>49645.25</v>
          </cell>
          <cell r="AG464">
            <v>7.9917647712531265E-2</v>
          </cell>
          <cell r="AI464">
            <v>49645.25</v>
          </cell>
          <cell r="AJ464">
            <v>7.8947889338924201E-2</v>
          </cell>
          <cell r="AL464">
            <v>49645.25</v>
          </cell>
          <cell r="AM464">
            <v>0.13774704056191348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1.092442363803394</v>
          </cell>
          <cell r="E466">
            <v>6660577.1771802902</v>
          </cell>
          <cell r="F466">
            <v>1.2648159853453431</v>
          </cell>
          <cell r="H466">
            <v>522723.90991386055</v>
          </cell>
          <cell r="I466">
            <v>1.2578175370918643</v>
          </cell>
          <cell r="K466">
            <v>497147.18136398552</v>
          </cell>
          <cell r="L466">
            <v>1.2302480603151154</v>
          </cell>
          <cell r="N466">
            <v>550472.47700012662</v>
          </cell>
          <cell r="O466">
            <v>1.0358489945203535</v>
          </cell>
          <cell r="Q466">
            <v>565417.13734077779</v>
          </cell>
          <cell r="R466">
            <v>0.94672523419179677</v>
          </cell>
          <cell r="T466">
            <v>606510.29627328482</v>
          </cell>
          <cell r="U466">
            <v>1.1167716610867839</v>
          </cell>
          <cell r="W466">
            <v>558360.27984405088</v>
          </cell>
          <cell r="X466">
            <v>1.0865823365982206</v>
          </cell>
          <cell r="Z466">
            <v>560404.46307465131</v>
          </cell>
          <cell r="AA466">
            <v>1.039095385678809</v>
          </cell>
          <cell r="AC466">
            <v>565404.02077965566</v>
          </cell>
          <cell r="AD466">
            <v>1.1586945927168977</v>
          </cell>
          <cell r="AF466">
            <v>561026.39358263765</v>
          </cell>
          <cell r="AG466">
            <v>0.96909136469530599</v>
          </cell>
          <cell r="AI466">
            <v>602004.49400359113</v>
          </cell>
          <cell r="AJ466">
            <v>0.89957132049333011</v>
          </cell>
          <cell r="AL466">
            <v>565682.5467112615</v>
          </cell>
          <cell r="AM466">
            <v>1.4023629068452819</v>
          </cell>
          <cell r="AO466">
            <v>505423.97729240631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727755.67499999993</v>
          </cell>
          <cell r="H468">
            <v>36387.783750000002</v>
          </cell>
          <cell r="K468">
            <v>36387.783750000002</v>
          </cell>
          <cell r="N468">
            <v>72775.567500000005</v>
          </cell>
          <cell r="Q468">
            <v>72775.567500000005</v>
          </cell>
          <cell r="T468">
            <v>80053.124249999993</v>
          </cell>
          <cell r="W468">
            <v>58220.453999999991</v>
          </cell>
          <cell r="Z468">
            <v>50942.897249999995</v>
          </cell>
          <cell r="AC468">
            <v>72775.567500000005</v>
          </cell>
          <cell r="AF468">
            <v>72775.567500000005</v>
          </cell>
          <cell r="AI468">
            <v>80053.124249999993</v>
          </cell>
          <cell r="AL468">
            <v>72775.567500000005</v>
          </cell>
          <cell r="AO468">
            <v>21832.670249999999</v>
          </cell>
        </row>
        <row r="469">
          <cell r="A469" t="str">
            <v>Programme neuf 1</v>
          </cell>
          <cell r="B469" t="str">
            <v>Programme neuf 1</v>
          </cell>
          <cell r="E469">
            <v>453576.37500000012</v>
          </cell>
          <cell r="H469">
            <v>22678.818750000006</v>
          </cell>
          <cell r="K469">
            <v>22678.818750000006</v>
          </cell>
          <cell r="N469">
            <v>45357.637500000012</v>
          </cell>
          <cell r="Q469">
            <v>45357.637500000012</v>
          </cell>
          <cell r="T469">
            <v>49893.40125000001</v>
          </cell>
          <cell r="W469">
            <v>36286.110000000008</v>
          </cell>
          <cell r="Z469">
            <v>31750.346250000006</v>
          </cell>
          <cell r="AC469">
            <v>45357.637500000012</v>
          </cell>
          <cell r="AF469">
            <v>45357.637500000012</v>
          </cell>
          <cell r="AI469">
            <v>49893.40125000001</v>
          </cell>
          <cell r="AL469">
            <v>45357.637500000012</v>
          </cell>
          <cell r="AO469">
            <v>13607.291250000002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27640.163517536079</v>
          </cell>
          <cell r="Q478">
            <v>32155.184060439959</v>
          </cell>
          <cell r="T478">
            <v>41423.900963995373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0.25930045490907572</v>
          </cell>
          <cell r="E479">
            <v>1580944.4500000002</v>
          </cell>
          <cell r="F479">
            <v>0.20480198301794045</v>
          </cell>
          <cell r="H479">
            <v>84640.686520118426</v>
          </cell>
          <cell r="I479">
            <v>0.20329264800940711</v>
          </cell>
          <cell r="K479">
            <v>80350.578656716752</v>
          </cell>
          <cell r="L479">
            <v>0.34478474457304087</v>
          </cell>
          <cell r="N479">
            <v>154273.36851753609</v>
          </cell>
          <cell r="O479">
            <v>0.27532960431391068</v>
          </cell>
          <cell r="Q479">
            <v>150288.38906043998</v>
          </cell>
          <cell r="R479">
            <v>0.26749868571822361</v>
          </cell>
          <cell r="T479">
            <v>171370.42646399536</v>
          </cell>
          <cell r="U479">
            <v>0.26944652154631549</v>
          </cell>
          <cell r="W479">
            <v>134717.09608676712</v>
          </cell>
          <cell r="X479">
            <v>0.22202655184298281</v>
          </cell>
          <cell r="Z479">
            <v>114510.11707352172</v>
          </cell>
          <cell r="AA479">
            <v>0.27841148546730243</v>
          </cell>
          <cell r="AC479">
            <v>151492.3225374686</v>
          </cell>
          <cell r="AD479">
            <v>0.32998693692952041</v>
          </cell>
          <cell r="AF479">
            <v>159775.82213519749</v>
          </cell>
          <cell r="AG479">
            <v>0.27703007886265585</v>
          </cell>
          <cell r="AI479">
            <v>172092.49666766316</v>
          </cell>
          <cell r="AJ479">
            <v>0.233438573094124</v>
          </cell>
          <cell r="AL479">
            <v>146794.50480492073</v>
          </cell>
          <cell r="AM479">
            <v>0.16824959904454767</v>
          </cell>
          <cell r="AO479">
            <v>60638.641475654658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3.377843205514805E-2</v>
          </cell>
          <cell r="E481">
            <v>1017327.073967617</v>
          </cell>
          <cell r="F481" t="str">
            <v>%vte</v>
          </cell>
          <cell r="G481">
            <v>-7.8936138579930749E-3</v>
          </cell>
          <cell r="H481">
            <v>-24802.622918775087</v>
          </cell>
          <cell r="I481" t="str">
            <v>%vte</v>
          </cell>
          <cell r="J481">
            <v>-1.1516263357331247E-2</v>
          </cell>
          <cell r="K481">
            <v>-21550.736988609642</v>
          </cell>
          <cell r="L481" t="str">
            <v>%vte</v>
          </cell>
          <cell r="M481">
            <v>2.4717841919552896E-2</v>
          </cell>
          <cell r="N481">
            <v>51249.251532810566</v>
          </cell>
          <cell r="O481" t="str">
            <v>%vte</v>
          </cell>
          <cell r="P481">
            <v>5.2920600726871762E-2</v>
          </cell>
          <cell r="Q481">
            <v>130720.25126673651</v>
          </cell>
          <cell r="R481" t="str">
            <v>%vte</v>
          </cell>
          <cell r="S481">
            <v>6.6925627107895791E-2</v>
          </cell>
          <cell r="T481">
            <v>205500.38606289332</v>
          </cell>
          <cell r="U481" t="str">
            <v>%vte</v>
          </cell>
          <cell r="V481">
            <v>3.0561869215419486E-2</v>
          </cell>
          <cell r="W481">
            <v>76333.937170627149</v>
          </cell>
          <cell r="X481" t="str">
            <v>%vte</v>
          </cell>
          <cell r="Y481">
            <v>2.7326605128623439E-2</v>
          </cell>
          <cell r="Z481">
            <v>69855.307015610859</v>
          </cell>
          <cell r="AA481" t="str">
            <v>%vte</v>
          </cell>
          <cell r="AB481">
            <v>4.8863224666086259E-2</v>
          </cell>
          <cell r="AC481">
            <v>130219.31087618621</v>
          </cell>
          <cell r="AD481" t="str">
            <v>%vte</v>
          </cell>
          <cell r="AE481">
            <v>3.4608007414015214E-2</v>
          </cell>
          <cell r="AF481">
            <v>82937.753162884939</v>
          </cell>
          <cell r="AG481" t="str">
            <v>%vte</v>
          </cell>
          <cell r="AH481">
            <v>6.1820808912430664E-2</v>
          </cell>
          <cell r="AI481">
            <v>191293.0984218581</v>
          </cell>
          <cell r="AJ481" t="str">
            <v>%vte</v>
          </cell>
          <cell r="AK481">
            <v>7.7694526655778862E-2</v>
          </cell>
          <cell r="AL481">
            <v>209947.64218487495</v>
          </cell>
          <cell r="AM481" t="str">
            <v>%vte</v>
          </cell>
          <cell r="AN481">
            <v>-5.3465724242771732E-2</v>
          </cell>
          <cell r="AO481">
            <v>-84376.503819480262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3.377843205514805E-2</v>
          </cell>
          <cell r="E487">
            <v>1017327.073967617</v>
          </cell>
          <cell r="F487" t="str">
            <v>%vte</v>
          </cell>
          <cell r="G487">
            <v>-7.8936138579930749E-3</v>
          </cell>
          <cell r="H487">
            <v>-24802.622918775087</v>
          </cell>
          <cell r="I487" t="str">
            <v>%vte</v>
          </cell>
          <cell r="J487">
            <v>-1.1516263357331247E-2</v>
          </cell>
          <cell r="K487">
            <v>-21550.736988609642</v>
          </cell>
          <cell r="L487" t="str">
            <v>%vte</v>
          </cell>
          <cell r="M487">
            <v>2.4717841919552896E-2</v>
          </cell>
          <cell r="N487">
            <v>51249.251532810566</v>
          </cell>
          <cell r="O487" t="str">
            <v>%vte</v>
          </cell>
          <cell r="P487">
            <v>5.2920600726871762E-2</v>
          </cell>
          <cell r="Q487">
            <v>130720.25126673651</v>
          </cell>
          <cell r="R487" t="str">
            <v>%vte</v>
          </cell>
          <cell r="S487">
            <v>6.6925627107895791E-2</v>
          </cell>
          <cell r="T487">
            <v>205500.38606289332</v>
          </cell>
          <cell r="U487" t="str">
            <v>%vte</v>
          </cell>
          <cell r="V487">
            <v>3.0561869215419486E-2</v>
          </cell>
          <cell r="W487">
            <v>76333.937170627149</v>
          </cell>
          <cell r="X487" t="str">
            <v>%vte</v>
          </cell>
          <cell r="Y487">
            <v>2.7326605128623439E-2</v>
          </cell>
          <cell r="Z487">
            <v>69855.307015610859</v>
          </cell>
          <cell r="AA487" t="str">
            <v>%vte</v>
          </cell>
          <cell r="AB487">
            <v>4.8863224666086259E-2</v>
          </cell>
          <cell r="AC487">
            <v>130219.31087618621</v>
          </cell>
          <cell r="AD487" t="str">
            <v>%vte</v>
          </cell>
          <cell r="AE487">
            <v>3.4608007414015214E-2</v>
          </cell>
          <cell r="AF487">
            <v>82937.753162884939</v>
          </cell>
          <cell r="AG487" t="str">
            <v>%vte</v>
          </cell>
          <cell r="AH487">
            <v>6.1820808912430664E-2</v>
          </cell>
          <cell r="AI487">
            <v>191293.0984218581</v>
          </cell>
          <cell r="AJ487" t="str">
            <v>%vte</v>
          </cell>
          <cell r="AK487">
            <v>7.7694526655778862E-2</v>
          </cell>
          <cell r="AL487">
            <v>209947.64218487495</v>
          </cell>
          <cell r="AM487" t="str">
            <v>%vte</v>
          </cell>
          <cell r="AN487">
            <v>-5.3465724242771732E-2</v>
          </cell>
          <cell r="AO487">
            <v>-84376.503819480262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2.9716961370108045E-2</v>
          </cell>
          <cell r="E496">
            <v>895005.11179746105</v>
          </cell>
          <cell r="F496" t="str">
            <v>%vte</v>
          </cell>
          <cell r="G496">
            <v>-1.1145608539779424E-2</v>
          </cell>
          <cell r="H496">
            <v>-35020.75611825184</v>
          </cell>
          <cell r="I496" t="str">
            <v>%vte</v>
          </cell>
          <cell r="J496">
            <v>-1.6964575196889379E-2</v>
          </cell>
          <cell r="K496">
            <v>-31746.330111399671</v>
          </cell>
          <cell r="L496" t="str">
            <v>%vte</v>
          </cell>
          <cell r="M496">
            <v>1.9793294744955378E-2</v>
          </cell>
          <cell r="N496">
            <v>41038.839246109404</v>
          </cell>
          <cell r="O496" t="str">
            <v>%vte</v>
          </cell>
          <cell r="P496">
            <v>4.8791014704572797E-2</v>
          </cell>
          <cell r="Q496">
            <v>120519.67691482035</v>
          </cell>
          <cell r="R496" t="str">
            <v>%vte</v>
          </cell>
          <cell r="S496">
            <v>6.360290090056249E-2</v>
          </cell>
          <cell r="T496">
            <v>195297.69468896775</v>
          </cell>
          <cell r="U496" t="str">
            <v>%vte</v>
          </cell>
          <cell r="V496">
            <v>2.6480849984958508E-2</v>
          </cell>
          <cell r="W496">
            <v>66140.834669784133</v>
          </cell>
          <cell r="X496" t="str">
            <v>%vte</v>
          </cell>
          <cell r="Y496">
            <v>2.333844812249122E-2</v>
          </cell>
          <cell r="Z496">
            <v>59660.336554460875</v>
          </cell>
          <cell r="AA496" t="str">
            <v>%vte</v>
          </cell>
          <cell r="AB496">
            <v>4.5039133642958598E-2</v>
          </cell>
          <cell r="AC496">
            <v>120028.20087142402</v>
          </cell>
          <cell r="AD496" t="str">
            <v>%vte</v>
          </cell>
          <cell r="AE496">
            <v>3.0359338084705749E-2</v>
          </cell>
          <cell r="AF496">
            <v>72755.858438651645</v>
          </cell>
          <cell r="AG496" t="str">
            <v>%vte</v>
          </cell>
          <cell r="AH496">
            <v>5.8529810144935662E-2</v>
          </cell>
          <cell r="AI496">
            <v>181109.70932987149</v>
          </cell>
          <cell r="AJ496" t="str">
            <v>%vte</v>
          </cell>
          <cell r="AK496">
            <v>7.3929316621032137E-2</v>
          </cell>
          <cell r="AL496">
            <v>199773.21931171481</v>
          </cell>
          <cell r="AM496" t="str">
            <v>%vte</v>
          </cell>
          <cell r="AN496">
            <v>-5.991360302688932E-2</v>
          </cell>
          <cell r="AO496">
            <v>-94552.171998691279</v>
          </cell>
        </row>
      </sheetData>
      <sheetData sheetId="3"/>
      <sheetData sheetId="4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>X</v>
          </cell>
          <cell r="S2" t="str">
            <v>O</v>
          </cell>
          <cell r="T2" t="str">
            <v>U</v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5">
        <row r="456">
          <cell r="V456" t="str">
            <v>Assurances</v>
          </cell>
        </row>
      </sheetData>
      <sheetData sheetId="6"/>
      <sheetData sheetId="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 t="str">
            <v>$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 t="str">
            <v>$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 t="str">
            <v>$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 t="str">
            <v>$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C70">
            <v>2452488.14</v>
          </cell>
          <cell r="O70">
            <v>-634143.07999999996</v>
          </cell>
          <cell r="U70" t="str">
            <v>Bilan</v>
          </cell>
          <cell r="V70" t="str">
            <v>Encaisse</v>
          </cell>
          <cell r="W70" t="str">
            <v>$</v>
          </cell>
          <cell r="X70">
            <v>0</v>
          </cell>
        </row>
        <row r="71">
          <cell r="C71">
            <v>50.2</v>
          </cell>
          <cell r="O71">
            <v>0</v>
          </cell>
          <cell r="U71" t="str">
            <v>Bilan</v>
          </cell>
          <cell r="V71" t="str">
            <v>Encaisse</v>
          </cell>
          <cell r="W71" t="str">
            <v>$</v>
          </cell>
          <cell r="X71">
            <v>0</v>
          </cell>
        </row>
        <row r="72">
          <cell r="C72">
            <v>2066027.21</v>
          </cell>
          <cell r="O72">
            <v>821340.59</v>
          </cell>
          <cell r="U72" t="str">
            <v>Bilan</v>
          </cell>
          <cell r="V72" t="str">
            <v>Recevables Contrats en Transit</v>
          </cell>
          <cell r="W72" t="str">
            <v>$</v>
          </cell>
          <cell r="X72">
            <v>0</v>
          </cell>
        </row>
        <row r="73">
          <cell r="C73">
            <v>53609.73</v>
          </cell>
          <cell r="O73">
            <v>31020.34</v>
          </cell>
          <cell r="U73" t="str">
            <v>Bilan</v>
          </cell>
          <cell r="V73" t="str">
            <v>Recevables Véhicules</v>
          </cell>
          <cell r="W73" t="str">
            <v>$</v>
          </cell>
          <cell r="X73">
            <v>0</v>
          </cell>
        </row>
        <row r="74">
          <cell r="C74">
            <v>224341.36</v>
          </cell>
          <cell r="O74">
            <v>131305.41</v>
          </cell>
          <cell r="U74" t="str">
            <v>Bilan</v>
          </cell>
          <cell r="V74" t="str">
            <v>Recevables Véhicules</v>
          </cell>
          <cell r="W74" t="str">
            <v>$</v>
          </cell>
          <cell r="X74">
            <v>0</v>
          </cell>
        </row>
        <row r="75">
          <cell r="C75">
            <v>43793.03</v>
          </cell>
          <cell r="O75">
            <v>1051.0899999999999</v>
          </cell>
          <cell r="U75" t="str">
            <v>Bilan</v>
          </cell>
          <cell r="V75" t="str">
            <v>Recevables Pièces et Service</v>
          </cell>
          <cell r="W75" t="str">
            <v>$</v>
          </cell>
          <cell r="X75">
            <v>0</v>
          </cell>
        </row>
        <row r="76">
          <cell r="C76">
            <v>46290.52</v>
          </cell>
          <cell r="O76">
            <v>-21433.93</v>
          </cell>
          <cell r="U76" t="str">
            <v>Bilan</v>
          </cell>
          <cell r="V76" t="str">
            <v>Recevables Carrosserie</v>
          </cell>
          <cell r="W76" t="str">
            <v>$</v>
          </cell>
          <cell r="X76">
            <v>0</v>
          </cell>
        </row>
        <row r="77">
          <cell r="C77">
            <v>37730</v>
          </cell>
          <cell r="O77">
            <v>40142</v>
          </cell>
          <cell r="U77" t="str">
            <v>Bilan</v>
          </cell>
          <cell r="V77" t="str">
            <v>Recevables Manufacturier</v>
          </cell>
          <cell r="W77" t="str">
            <v>$</v>
          </cell>
          <cell r="X77">
            <v>0</v>
          </cell>
        </row>
        <row r="78">
          <cell r="C78">
            <v>74140.34</v>
          </cell>
          <cell r="O78">
            <v>-19009.900000000001</v>
          </cell>
          <cell r="U78" t="str">
            <v>Bilan</v>
          </cell>
          <cell r="V78" t="str">
            <v>Recevables Garantie Manufacturier</v>
          </cell>
          <cell r="W78" t="str">
            <v>$</v>
          </cell>
          <cell r="X78">
            <v>0</v>
          </cell>
        </row>
        <row r="79">
          <cell r="C79">
            <v>-2504.33</v>
          </cell>
          <cell r="O79">
            <v>9566.07</v>
          </cell>
          <cell r="U79" t="str">
            <v>Bilan</v>
          </cell>
          <cell r="V79" t="str">
            <v>recevables Autres</v>
          </cell>
          <cell r="W79" t="str">
            <v>$</v>
          </cell>
          <cell r="X79">
            <v>0</v>
          </cell>
        </row>
        <row r="80">
          <cell r="C80">
            <v>88150.74</v>
          </cell>
          <cell r="O80">
            <v>-8950</v>
          </cell>
          <cell r="U80" t="str">
            <v>Bilan</v>
          </cell>
          <cell r="V80" t="str">
            <v>Recevables Manufacturier</v>
          </cell>
          <cell r="W80" t="str">
            <v>$</v>
          </cell>
          <cell r="X80">
            <v>0</v>
          </cell>
        </row>
        <row r="81">
          <cell r="C81">
            <v>90703.88</v>
          </cell>
          <cell r="O81">
            <v>0</v>
          </cell>
          <cell r="U81" t="str">
            <v>Bilan</v>
          </cell>
          <cell r="V81" t="str">
            <v>recevables Autres</v>
          </cell>
          <cell r="W81" t="str">
            <v>$</v>
          </cell>
          <cell r="X81">
            <v>0</v>
          </cell>
        </row>
        <row r="82">
          <cell r="C82">
            <v>-45000</v>
          </cell>
          <cell r="O82">
            <v>149.47</v>
          </cell>
          <cell r="U82" t="str">
            <v>Bilan</v>
          </cell>
          <cell r="V82" t="str">
            <v>Recevables Pièces et Service</v>
          </cell>
          <cell r="W82" t="str">
            <v>$</v>
          </cell>
          <cell r="X82">
            <v>0</v>
          </cell>
        </row>
        <row r="83">
          <cell r="C83">
            <v>5069007.76</v>
          </cell>
          <cell r="O83">
            <v>307009.01</v>
          </cell>
          <cell r="U83" t="str">
            <v>Bilan</v>
          </cell>
          <cell r="V83" t="str">
            <v>Inventaire Véhicules Neufs</v>
          </cell>
          <cell r="W83" t="str">
            <v>$</v>
          </cell>
          <cell r="X83">
            <v>0</v>
          </cell>
        </row>
        <row r="84">
          <cell r="O84">
            <v>17</v>
          </cell>
          <cell r="U84" t="str">
            <v>Bilan</v>
          </cell>
          <cell r="V84">
            <v>0</v>
          </cell>
          <cell r="W84" t="str">
            <v>NB</v>
          </cell>
          <cell r="X84">
            <v>0</v>
          </cell>
        </row>
        <row r="85">
          <cell r="C85">
            <v>-129664.36</v>
          </cell>
          <cell r="O85">
            <v>-8100</v>
          </cell>
          <cell r="U85" t="str">
            <v>Bilan</v>
          </cell>
          <cell r="V85" t="str">
            <v>Inventaire Véhicules Neufs</v>
          </cell>
          <cell r="W85" t="str">
            <v>$</v>
          </cell>
          <cell r="X85">
            <v>0</v>
          </cell>
        </row>
        <row r="86">
          <cell r="C86">
            <v>-37974.71</v>
          </cell>
          <cell r="O86">
            <v>-16200</v>
          </cell>
          <cell r="U86" t="str">
            <v>Bilan</v>
          </cell>
          <cell r="V86" t="str">
            <v>Inventaire Véhicules Usagés</v>
          </cell>
          <cell r="W86" t="str">
            <v>$</v>
          </cell>
          <cell r="X86">
            <v>0</v>
          </cell>
        </row>
        <row r="87">
          <cell r="C87">
            <v>1821693.5</v>
          </cell>
          <cell r="O87">
            <v>417344.62</v>
          </cell>
          <cell r="U87" t="str">
            <v>Bilan</v>
          </cell>
          <cell r="V87" t="str">
            <v>Inventaire Véhicules Usagés</v>
          </cell>
          <cell r="W87" t="str">
            <v>$</v>
          </cell>
          <cell r="X87">
            <v>0</v>
          </cell>
        </row>
        <row r="88">
          <cell r="O88">
            <v>14</v>
          </cell>
          <cell r="U88" t="str">
            <v>Bilan</v>
          </cell>
          <cell r="V88">
            <v>0</v>
          </cell>
          <cell r="W88" t="str">
            <v>NB</v>
          </cell>
          <cell r="X88">
            <v>0</v>
          </cell>
        </row>
        <row r="89">
          <cell r="O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C90">
            <v>-16980.63</v>
          </cell>
          <cell r="O90">
            <v>6055.44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C91">
            <v>-47741.22</v>
          </cell>
          <cell r="O91">
            <v>-3321.96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93341.77</v>
          </cell>
          <cell r="O92">
            <v>-35785.56</v>
          </cell>
          <cell r="U92" t="str">
            <v>Bilan</v>
          </cell>
          <cell r="V92" t="str">
            <v>Inventaire Pièces, Pneus, Huile</v>
          </cell>
          <cell r="W92" t="str">
            <v>$</v>
          </cell>
          <cell r="X92">
            <v>0</v>
          </cell>
        </row>
        <row r="93">
          <cell r="C93">
            <v>297.64</v>
          </cell>
          <cell r="O93">
            <v>267.70999999999998</v>
          </cell>
          <cell r="U93" t="str">
            <v>Bilan</v>
          </cell>
          <cell r="V93" t="str">
            <v>Inventaire Pièces, Pneus, Huile</v>
          </cell>
          <cell r="W93" t="str">
            <v>$</v>
          </cell>
          <cell r="X93">
            <v>0</v>
          </cell>
        </row>
        <row r="94">
          <cell r="C94">
            <v>243136.4</v>
          </cell>
          <cell r="O94">
            <v>43732.71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37950.519999999997</v>
          </cell>
          <cell r="O95">
            <v>3334.09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4349.26</v>
          </cell>
          <cell r="O96">
            <v>907.47</v>
          </cell>
          <cell r="U96" t="str">
            <v>Bilan</v>
          </cell>
          <cell r="V96" t="str">
            <v>Travaux en Cours</v>
          </cell>
          <cell r="W96" t="str">
            <v>$</v>
          </cell>
          <cell r="X96">
            <v>0</v>
          </cell>
        </row>
        <row r="97">
          <cell r="C97">
            <v>-4116.7299999999996</v>
          </cell>
          <cell r="O97">
            <v>21499.599999999999</v>
          </cell>
          <cell r="U97" t="str">
            <v>Bilan</v>
          </cell>
          <cell r="V97" t="str">
            <v>Sous-Traitance</v>
          </cell>
          <cell r="W97" t="str">
            <v>$</v>
          </cell>
          <cell r="X97">
            <v>0</v>
          </cell>
        </row>
        <row r="98">
          <cell r="C98">
            <v>21273.59</v>
          </cell>
          <cell r="O98">
            <v>-2800.4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55.02</v>
          </cell>
          <cell r="O99">
            <v>0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-2486.7199999999998</v>
          </cell>
          <cell r="O100">
            <v>1923.71</v>
          </cell>
          <cell r="U100" t="str">
            <v>Bilan</v>
          </cell>
          <cell r="V100" t="str">
            <v>Frais Payés d'Avance</v>
          </cell>
          <cell r="W100" t="str">
            <v>$</v>
          </cell>
          <cell r="X100">
            <v>0</v>
          </cell>
        </row>
        <row r="101">
          <cell r="C101">
            <v>-615</v>
          </cell>
          <cell r="O101">
            <v>-570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3701.95</v>
          </cell>
          <cell r="O102">
            <v>-280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9684.59</v>
          </cell>
          <cell r="O103">
            <v>329.19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1769.3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-65</v>
          </cell>
          <cell r="O105">
            <v>-65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-431.25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1264.26</v>
          </cell>
          <cell r="O107">
            <v>-1264.26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-3525.13</v>
          </cell>
          <cell r="O108">
            <v>0</v>
          </cell>
          <cell r="U108" t="str">
            <v>Bilan</v>
          </cell>
          <cell r="V108" t="str">
            <v>Autres Courus</v>
          </cell>
          <cell r="W108" t="str">
            <v>$</v>
          </cell>
          <cell r="X108">
            <v>0</v>
          </cell>
        </row>
        <row r="109">
          <cell r="C109">
            <v>0</v>
          </cell>
          <cell r="O109">
            <v>21851.61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13950.33</v>
          </cell>
          <cell r="O110">
            <v>-7699.3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757.2</v>
          </cell>
          <cell r="O111">
            <v>-310.7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141204.44</v>
          </cell>
          <cell r="O112">
            <v>-54042.46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43.59</v>
          </cell>
          <cell r="O113">
            <v>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96990.28</v>
          </cell>
          <cell r="O114">
            <v>0</v>
          </cell>
          <cell r="U114" t="str">
            <v>Bilan</v>
          </cell>
          <cell r="V114" t="str">
            <v>Améliorations Locatives</v>
          </cell>
          <cell r="W114" t="str">
            <v>$</v>
          </cell>
          <cell r="X114">
            <v>0</v>
          </cell>
        </row>
        <row r="115">
          <cell r="C115">
            <v>-101210.97</v>
          </cell>
          <cell r="O115">
            <v>5795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942882.53</v>
          </cell>
          <cell r="O116">
            <v>0</v>
          </cell>
          <cell r="U116" t="str">
            <v>Bilan</v>
          </cell>
          <cell r="V116" t="str">
            <v>Équipements Service</v>
          </cell>
          <cell r="W116" t="str">
            <v>$</v>
          </cell>
          <cell r="X116">
            <v>0</v>
          </cell>
        </row>
        <row r="117">
          <cell r="C117">
            <v>-769610.84</v>
          </cell>
          <cell r="O117">
            <v>2808</v>
          </cell>
          <cell r="U117" t="str">
            <v>Bilan</v>
          </cell>
          <cell r="V117" t="str">
            <v>Équipements Service</v>
          </cell>
          <cell r="W117" t="str">
            <v>$</v>
          </cell>
          <cell r="X117">
            <v>0</v>
          </cell>
        </row>
        <row r="118">
          <cell r="C118">
            <v>47461.59</v>
          </cell>
          <cell r="O118">
            <v>0</v>
          </cell>
          <cell r="U118" t="str">
            <v>Bilan</v>
          </cell>
          <cell r="V118" t="str">
            <v>Équipements Service</v>
          </cell>
          <cell r="W118" t="str">
            <v>$</v>
          </cell>
          <cell r="X118">
            <v>0</v>
          </cell>
        </row>
        <row r="119">
          <cell r="C119">
            <v>-48013.48</v>
          </cell>
          <cell r="O119">
            <v>672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155280.23000000001</v>
          </cell>
          <cell r="O120">
            <v>0</v>
          </cell>
          <cell r="U120" t="str">
            <v>Bilan</v>
          </cell>
          <cell r="V120" t="str">
            <v>Équipements Téléphonique</v>
          </cell>
          <cell r="W120" t="str">
            <v>$</v>
          </cell>
          <cell r="X120">
            <v>0</v>
          </cell>
        </row>
        <row r="121">
          <cell r="C121">
            <v>-155200.23000000001</v>
          </cell>
          <cell r="O121">
            <v>-80</v>
          </cell>
          <cell r="U121" t="str">
            <v>Bilan</v>
          </cell>
          <cell r="V121" t="str">
            <v>Équipements Téléphonique</v>
          </cell>
          <cell r="W121" t="str">
            <v>$</v>
          </cell>
          <cell r="X121">
            <v>0</v>
          </cell>
        </row>
        <row r="122">
          <cell r="C122">
            <v>433206.49</v>
          </cell>
          <cell r="O122">
            <v>0</v>
          </cell>
          <cell r="U122" t="str">
            <v>Bilan</v>
          </cell>
          <cell r="V122" t="str">
            <v>Mobilier</v>
          </cell>
          <cell r="W122" t="str">
            <v>$</v>
          </cell>
          <cell r="X122">
            <v>0</v>
          </cell>
        </row>
        <row r="123">
          <cell r="C123">
            <v>-401242.54</v>
          </cell>
          <cell r="O123">
            <v>2291</v>
          </cell>
          <cell r="U123" t="str">
            <v>Bilan</v>
          </cell>
          <cell r="V123" t="str">
            <v>Mobilier</v>
          </cell>
          <cell r="W123" t="str">
            <v>$</v>
          </cell>
          <cell r="X123">
            <v>0</v>
          </cell>
        </row>
        <row r="124">
          <cell r="C124">
            <v>3987.88</v>
          </cell>
          <cell r="O124">
            <v>0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-3987.88</v>
          </cell>
          <cell r="O125">
            <v>0</v>
          </cell>
          <cell r="U125" t="str">
            <v>Bilan</v>
          </cell>
          <cell r="V125" t="str">
            <v>Équipements Service</v>
          </cell>
          <cell r="W125" t="str">
            <v>$</v>
          </cell>
          <cell r="X125">
            <v>0</v>
          </cell>
        </row>
        <row r="126">
          <cell r="C126">
            <v>271520.27</v>
          </cell>
          <cell r="O126">
            <v>0</v>
          </cell>
          <cell r="U126" t="str">
            <v>Bilan</v>
          </cell>
          <cell r="V126" t="str">
            <v>Équipements Informatique</v>
          </cell>
          <cell r="W126" t="str">
            <v>$</v>
          </cell>
          <cell r="X126">
            <v>0</v>
          </cell>
        </row>
        <row r="127">
          <cell r="C127">
            <v>-251784.65</v>
          </cell>
          <cell r="O127">
            <v>2075</v>
          </cell>
          <cell r="U127" t="str">
            <v>Bilan</v>
          </cell>
          <cell r="V127" t="str">
            <v>Équipements Informatique</v>
          </cell>
          <cell r="W127" t="str">
            <v>$</v>
          </cell>
          <cell r="X127">
            <v>0</v>
          </cell>
        </row>
        <row r="128">
          <cell r="C128">
            <v>119393.66</v>
          </cell>
          <cell r="O128">
            <v>0</v>
          </cell>
          <cell r="U128" t="str">
            <v>Bilan</v>
          </cell>
          <cell r="V128" t="str">
            <v>Enseigne</v>
          </cell>
          <cell r="W128" t="str">
            <v>$</v>
          </cell>
          <cell r="X128">
            <v>0</v>
          </cell>
        </row>
        <row r="129">
          <cell r="C129">
            <v>-120133.65</v>
          </cell>
          <cell r="O129">
            <v>740</v>
          </cell>
          <cell r="U129" t="str">
            <v>Bilan</v>
          </cell>
          <cell r="V129" t="str">
            <v>Enseigne</v>
          </cell>
          <cell r="W129" t="str">
            <v>$</v>
          </cell>
          <cell r="X129">
            <v>0</v>
          </cell>
        </row>
        <row r="130">
          <cell r="C130">
            <v>1623600</v>
          </cell>
          <cell r="O130">
            <v>0</v>
          </cell>
          <cell r="U130" t="str">
            <v>Bilan</v>
          </cell>
          <cell r="V130" t="str">
            <v>Avances à Recevoir Long Terme</v>
          </cell>
          <cell r="W130" t="str">
            <v>$</v>
          </cell>
          <cell r="X130">
            <v>0</v>
          </cell>
        </row>
        <row r="131">
          <cell r="C131">
            <v>15969.75</v>
          </cell>
          <cell r="O131">
            <v>-1352.7</v>
          </cell>
          <cell r="U131" t="str">
            <v>Bilan</v>
          </cell>
          <cell r="V131" t="str">
            <v>Recevables Autres</v>
          </cell>
          <cell r="W131" t="str">
            <v>$</v>
          </cell>
          <cell r="X131">
            <v>0</v>
          </cell>
        </row>
        <row r="132">
          <cell r="C132">
            <v>-6685533.0999999996</v>
          </cell>
          <cell r="O132">
            <v>-707892.44</v>
          </cell>
          <cell r="U132" t="str">
            <v>Bilan</v>
          </cell>
          <cell r="V132" t="str">
            <v>Effet à Payer Véhicules Neufs</v>
          </cell>
          <cell r="W132" t="str">
            <v>$</v>
          </cell>
          <cell r="X132">
            <v>0</v>
          </cell>
        </row>
        <row r="133">
          <cell r="C133">
            <v>-345892.67</v>
          </cell>
          <cell r="O133">
            <v>-4966.97</v>
          </cell>
          <cell r="U133" t="str">
            <v>Bilan</v>
          </cell>
          <cell r="V133" t="str">
            <v>Effet à Payer Véhicules Usagés</v>
          </cell>
          <cell r="W133" t="str">
            <v>$</v>
          </cell>
          <cell r="X133">
            <v>0</v>
          </cell>
        </row>
        <row r="134">
          <cell r="C134">
            <v>-15810</v>
          </cell>
          <cell r="O134">
            <v>0</v>
          </cell>
          <cell r="U134" t="str">
            <v>Bilan</v>
          </cell>
          <cell r="V134" t="str">
            <v>Portion Court Terme de la Dette Long Terme</v>
          </cell>
          <cell r="W134" t="str">
            <v>$</v>
          </cell>
          <cell r="X134">
            <v>0</v>
          </cell>
        </row>
        <row r="135">
          <cell r="C135">
            <v>-119.66</v>
          </cell>
          <cell r="O135">
            <v>-277</v>
          </cell>
          <cell r="U135" t="str">
            <v>Bilan</v>
          </cell>
          <cell r="V135" t="str">
            <v>Taxes de Vente à Payer</v>
          </cell>
          <cell r="W135" t="str">
            <v>$</v>
          </cell>
          <cell r="X135">
            <v>0</v>
          </cell>
        </row>
        <row r="136">
          <cell r="C136">
            <v>-96786.37</v>
          </cell>
          <cell r="O136">
            <v>20126.16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53769.3</v>
          </cell>
          <cell r="O137">
            <v>-617.29999999999995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-297143.73</v>
          </cell>
          <cell r="O138">
            <v>-39613.870000000003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242591.76</v>
          </cell>
          <cell r="O139">
            <v>93531.98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-1647</v>
          </cell>
          <cell r="O140">
            <v>-324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-447614.91</v>
          </cell>
          <cell r="O141">
            <v>-94552.79</v>
          </cell>
          <cell r="U141" t="str">
            <v>Bilan</v>
          </cell>
          <cell r="V141" t="str">
            <v>Autres Comptes à Payer</v>
          </cell>
          <cell r="W141" t="str">
            <v>$</v>
          </cell>
          <cell r="X141">
            <v>0</v>
          </cell>
        </row>
        <row r="142">
          <cell r="C142">
            <v>-1722.5</v>
          </cell>
          <cell r="O142">
            <v>-1070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-86188.95</v>
          </cell>
          <cell r="O143">
            <v>-5735.6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-4549.72</v>
          </cell>
          <cell r="O144">
            <v>-7174.64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-59780.47</v>
          </cell>
          <cell r="O145">
            <v>-14705.89</v>
          </cell>
          <cell r="U145" t="str">
            <v>Bilan</v>
          </cell>
          <cell r="V145" t="str">
            <v>Comptes à Payer Fournisseurs</v>
          </cell>
          <cell r="W145" t="str">
            <v>$</v>
          </cell>
          <cell r="X145">
            <v>0</v>
          </cell>
        </row>
        <row r="146">
          <cell r="C146">
            <v>-37708.65</v>
          </cell>
          <cell r="O146">
            <v>37708.65</v>
          </cell>
          <cell r="U146" t="str">
            <v>Bilan</v>
          </cell>
          <cell r="V146" t="str">
            <v>Autres Comptes à Payer</v>
          </cell>
          <cell r="W146" t="str">
            <v>$</v>
          </cell>
          <cell r="X146">
            <v>0</v>
          </cell>
        </row>
        <row r="147">
          <cell r="C147">
            <v>-8448.81</v>
          </cell>
          <cell r="O147">
            <v>2251.9</v>
          </cell>
          <cell r="U147" t="str">
            <v>Bilan</v>
          </cell>
          <cell r="V147" t="str">
            <v>Autres Courus</v>
          </cell>
          <cell r="W147" t="str">
            <v>$</v>
          </cell>
          <cell r="X147">
            <v>0</v>
          </cell>
        </row>
        <row r="148">
          <cell r="C148">
            <v>-105.35</v>
          </cell>
          <cell r="O148">
            <v>-20</v>
          </cell>
          <cell r="U148" t="str">
            <v>Bilan</v>
          </cell>
          <cell r="V148" t="str">
            <v>Autres Courus</v>
          </cell>
          <cell r="W148" t="str">
            <v>$</v>
          </cell>
          <cell r="X148">
            <v>0</v>
          </cell>
        </row>
        <row r="149">
          <cell r="C149">
            <v>-13500</v>
          </cell>
          <cell r="O149">
            <v>-5400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4292.32</v>
          </cell>
          <cell r="O150">
            <v>1525.66</v>
          </cell>
          <cell r="U150" t="str">
            <v>Bilan</v>
          </cell>
          <cell r="V150" t="str">
            <v>DAS à Payer</v>
          </cell>
          <cell r="W150" t="str">
            <v>$</v>
          </cell>
          <cell r="X150">
            <v>0</v>
          </cell>
        </row>
        <row r="151">
          <cell r="C151">
            <v>168.61</v>
          </cell>
          <cell r="O151">
            <v>68.510000000000005</v>
          </cell>
          <cell r="U151" t="str">
            <v>Bilan</v>
          </cell>
          <cell r="V151" t="str">
            <v>DAS à Payer</v>
          </cell>
          <cell r="W151" t="str">
            <v>$</v>
          </cell>
          <cell r="X151">
            <v>0</v>
          </cell>
        </row>
        <row r="152">
          <cell r="C152">
            <v>-32437.62</v>
          </cell>
          <cell r="O152">
            <v>3783.87</v>
          </cell>
          <cell r="U152" t="str">
            <v>Bilan</v>
          </cell>
          <cell r="V152" t="str">
            <v>DAS à Payer</v>
          </cell>
          <cell r="W152" t="str">
            <v>$</v>
          </cell>
          <cell r="X152">
            <v>0</v>
          </cell>
        </row>
        <row r="153">
          <cell r="C153">
            <v>-602.05999999999995</v>
          </cell>
          <cell r="O153">
            <v>153.28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-253.5</v>
          </cell>
          <cell r="O154">
            <v>-252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-2440</v>
          </cell>
          <cell r="O155">
            <v>-4510</v>
          </cell>
          <cell r="U155" t="str">
            <v>Bilan</v>
          </cell>
          <cell r="V155" t="str">
            <v>Dépôts de Client</v>
          </cell>
          <cell r="W155" t="str">
            <v>$</v>
          </cell>
          <cell r="X155">
            <v>0</v>
          </cell>
        </row>
        <row r="156">
          <cell r="C156">
            <v>-33398.050000000003</v>
          </cell>
          <cell r="O156">
            <v>-5267.89</v>
          </cell>
          <cell r="U156" t="str">
            <v>Bilan</v>
          </cell>
          <cell r="V156" t="str">
            <v>Salaires à Payer</v>
          </cell>
          <cell r="W156" t="str">
            <v>$</v>
          </cell>
          <cell r="X156">
            <v>0</v>
          </cell>
        </row>
        <row r="157">
          <cell r="C157">
            <v>-170086.57</v>
          </cell>
          <cell r="O157">
            <v>-28948.67</v>
          </cell>
          <cell r="U157" t="str">
            <v>Bilan</v>
          </cell>
          <cell r="V157" t="str">
            <v>Salaires à Payer</v>
          </cell>
          <cell r="W157" t="str">
            <v>$</v>
          </cell>
          <cell r="X157">
            <v>0</v>
          </cell>
        </row>
        <row r="158">
          <cell r="C158">
            <v>-20043.259999999998</v>
          </cell>
          <cell r="O158">
            <v>425.24</v>
          </cell>
          <cell r="U158" t="str">
            <v>Bilan</v>
          </cell>
          <cell r="V158" t="str">
            <v>Salaires à Payer</v>
          </cell>
          <cell r="W158" t="str">
            <v>$</v>
          </cell>
          <cell r="X158">
            <v>0</v>
          </cell>
        </row>
        <row r="159">
          <cell r="C159">
            <v>-209217.01</v>
          </cell>
          <cell r="O159">
            <v>-17794.759999999998</v>
          </cell>
          <cell r="U159" t="str">
            <v>Bilan</v>
          </cell>
          <cell r="V159" t="str">
            <v>Salaires à Payer</v>
          </cell>
          <cell r="W159" t="str">
            <v>$</v>
          </cell>
          <cell r="X159">
            <v>0</v>
          </cell>
        </row>
        <row r="160">
          <cell r="C160">
            <v>-7127.28</v>
          </cell>
          <cell r="O160">
            <v>1727.88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-22888.75</v>
          </cell>
          <cell r="O161">
            <v>1317.5</v>
          </cell>
          <cell r="U161" t="str">
            <v>Bilan</v>
          </cell>
          <cell r="V161" t="str">
            <v>Dette à Long Terme</v>
          </cell>
          <cell r="W161" t="str">
            <v>$</v>
          </cell>
          <cell r="X161">
            <v>0</v>
          </cell>
        </row>
        <row r="162">
          <cell r="C162">
            <v>-19122.599999999999</v>
          </cell>
          <cell r="O162">
            <v>0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-2350000</v>
          </cell>
          <cell r="O163">
            <v>0</v>
          </cell>
          <cell r="U163" t="str">
            <v>Bilan</v>
          </cell>
          <cell r="V163" t="str">
            <v>Capital Actions</v>
          </cell>
          <cell r="W163" t="str">
            <v>$</v>
          </cell>
          <cell r="X163">
            <v>0</v>
          </cell>
        </row>
        <row r="164">
          <cell r="C164">
            <v>-1723617</v>
          </cell>
          <cell r="O164">
            <v>0</v>
          </cell>
          <cell r="U164" t="str">
            <v>Bilan</v>
          </cell>
          <cell r="V164" t="str">
            <v>Apport</v>
          </cell>
          <cell r="W164" t="str">
            <v>$</v>
          </cell>
          <cell r="X164">
            <v>0</v>
          </cell>
        </row>
        <row r="165">
          <cell r="C165">
            <v>-347547.5</v>
          </cell>
          <cell r="O165">
            <v>0</v>
          </cell>
          <cell r="U165" t="str">
            <v>Bilan</v>
          </cell>
          <cell r="V165" t="str">
            <v>Capital Actions</v>
          </cell>
          <cell r="W165">
            <v>0</v>
          </cell>
          <cell r="X165">
            <v>0</v>
          </cell>
        </row>
        <row r="166">
          <cell r="C166">
            <v>-973229.33</v>
          </cell>
          <cell r="O166">
            <v>0</v>
          </cell>
          <cell r="U166" t="str">
            <v>Bilan</v>
          </cell>
          <cell r="V166" t="str">
            <v>Bénéfices non répartis</v>
          </cell>
          <cell r="W166" t="str">
            <v>$</v>
          </cell>
          <cell r="X166">
            <v>0</v>
          </cell>
        </row>
        <row r="167">
          <cell r="C167">
            <v>-806636.24</v>
          </cell>
          <cell r="O167">
            <v>-222632.45</v>
          </cell>
          <cell r="U167" t="str">
            <v>Véhicules neufs</v>
          </cell>
          <cell r="V167" t="str">
            <v>Rachat bail</v>
          </cell>
          <cell r="W167" t="str">
            <v>$</v>
          </cell>
          <cell r="X167" t="str">
            <v>Oui</v>
          </cell>
        </row>
        <row r="168">
          <cell r="O168">
            <v>-10</v>
          </cell>
          <cell r="U168" t="str">
            <v>Véhicules neufs</v>
          </cell>
          <cell r="V168" t="str">
            <v>Rachat bail</v>
          </cell>
          <cell r="W168" t="str">
            <v>NB</v>
          </cell>
          <cell r="X168">
            <v>0</v>
          </cell>
        </row>
        <row r="169">
          <cell r="C169">
            <v>0</v>
          </cell>
          <cell r="O169">
            <v>-48571.26</v>
          </cell>
          <cell r="U169" t="str">
            <v>Véhicules neufs</v>
          </cell>
          <cell r="V169" t="str">
            <v>Autos détail</v>
          </cell>
          <cell r="W169" t="str">
            <v>$</v>
          </cell>
          <cell r="X169" t="str">
            <v>Oui</v>
          </cell>
        </row>
        <row r="170">
          <cell r="O170">
            <v>-1</v>
          </cell>
          <cell r="U170" t="str">
            <v>Véhicules neufs</v>
          </cell>
          <cell r="V170" t="str">
            <v>Autos détail</v>
          </cell>
          <cell r="W170" t="str">
            <v>NB</v>
          </cell>
          <cell r="X170">
            <v>0</v>
          </cell>
        </row>
        <row r="171">
          <cell r="C171">
            <v>-768807.7</v>
          </cell>
          <cell r="O171">
            <v>-357164.06</v>
          </cell>
          <cell r="U171" t="str">
            <v>Véhicules neufs</v>
          </cell>
          <cell r="V171" t="str">
            <v>Autos détail</v>
          </cell>
          <cell r="W171" t="str">
            <v>$</v>
          </cell>
          <cell r="X171" t="str">
            <v>Oui</v>
          </cell>
        </row>
        <row r="172">
          <cell r="O172">
            <v>-13</v>
          </cell>
          <cell r="U172" t="str">
            <v>Véhicules neufs</v>
          </cell>
          <cell r="V172" t="str">
            <v>Autos détail</v>
          </cell>
          <cell r="W172" t="str">
            <v>NB</v>
          </cell>
          <cell r="X172">
            <v>0</v>
          </cell>
        </row>
        <row r="173">
          <cell r="C173">
            <v>-776849.25</v>
          </cell>
          <cell r="O173">
            <v>-256276.14</v>
          </cell>
          <cell r="U173" t="str">
            <v>Véhicules neufs</v>
          </cell>
          <cell r="V173" t="str">
            <v>Autos détail</v>
          </cell>
          <cell r="W173" t="str">
            <v>$</v>
          </cell>
          <cell r="X173" t="str">
            <v>Oui</v>
          </cell>
        </row>
        <row r="174">
          <cell r="O174">
            <v>-9</v>
          </cell>
          <cell r="U174" t="str">
            <v>Véhicules neufs</v>
          </cell>
          <cell r="V174" t="str">
            <v>Autos détail</v>
          </cell>
          <cell r="W174" t="str">
            <v>NB</v>
          </cell>
          <cell r="X174">
            <v>0</v>
          </cell>
        </row>
        <row r="175">
          <cell r="C175">
            <v>-1778908.25</v>
          </cell>
          <cell r="O175">
            <v>-733241.88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O176">
            <v>-14</v>
          </cell>
          <cell r="U176" t="str">
            <v>Véhicules neufs</v>
          </cell>
          <cell r="V176" t="str">
            <v>Camions détail</v>
          </cell>
          <cell r="W176" t="str">
            <v>NB</v>
          </cell>
          <cell r="X176">
            <v>0</v>
          </cell>
        </row>
        <row r="177">
          <cell r="C177">
            <v>-133874.85999999999</v>
          </cell>
          <cell r="O177">
            <v>-97487.18</v>
          </cell>
          <cell r="U177" t="str">
            <v>Véhicules neufs</v>
          </cell>
          <cell r="V177" t="str">
            <v>Camions détail</v>
          </cell>
          <cell r="W177" t="str">
            <v>$</v>
          </cell>
          <cell r="X177" t="str">
            <v>oui</v>
          </cell>
        </row>
        <row r="178">
          <cell r="O178">
            <v>-2</v>
          </cell>
          <cell r="U178" t="str">
            <v>Véhicules neufs</v>
          </cell>
          <cell r="V178" t="str">
            <v>Camions détail</v>
          </cell>
          <cell r="W178" t="str">
            <v>NB</v>
          </cell>
          <cell r="X178">
            <v>0</v>
          </cell>
        </row>
        <row r="179">
          <cell r="C179">
            <v>-456053.99</v>
          </cell>
          <cell r="O179">
            <v>-75613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O180">
            <v>-2</v>
          </cell>
          <cell r="U180" t="str">
            <v>Véhicules neufs</v>
          </cell>
          <cell r="V180" t="str">
            <v>Autos détail</v>
          </cell>
          <cell r="W180" t="str">
            <v>NB</v>
          </cell>
          <cell r="X180">
            <v>0</v>
          </cell>
        </row>
        <row r="181">
          <cell r="C181">
            <v>-2916118.4</v>
          </cell>
          <cell r="O181">
            <v>-1639201.63</v>
          </cell>
          <cell r="U181" t="str">
            <v>Véhicules neufs</v>
          </cell>
          <cell r="V181" t="str">
            <v>Camions détail</v>
          </cell>
          <cell r="W181" t="str">
            <v>$</v>
          </cell>
          <cell r="X181" t="str">
            <v>Oui</v>
          </cell>
        </row>
        <row r="182">
          <cell r="O182">
            <v>-42</v>
          </cell>
          <cell r="U182" t="str">
            <v>Véhicules neufs</v>
          </cell>
          <cell r="V182" t="str">
            <v>Camions détail</v>
          </cell>
          <cell r="W182" t="str">
            <v>NB</v>
          </cell>
          <cell r="X182">
            <v>0</v>
          </cell>
        </row>
        <row r="183">
          <cell r="C183">
            <v>-354962.21</v>
          </cell>
          <cell r="O183">
            <v>0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O184">
            <v>0</v>
          </cell>
          <cell r="U184" t="str">
            <v>Véhicules neufs</v>
          </cell>
          <cell r="V184" t="str">
            <v>Autos détail</v>
          </cell>
          <cell r="W184" t="str">
            <v>NB</v>
          </cell>
          <cell r="X184">
            <v>0</v>
          </cell>
        </row>
        <row r="185">
          <cell r="C185">
            <v>-469780</v>
          </cell>
          <cell r="O185">
            <v>-161950</v>
          </cell>
          <cell r="U185" t="str">
            <v>Véhicules neufs</v>
          </cell>
          <cell r="V185" t="str">
            <v>Flottes</v>
          </cell>
          <cell r="W185" t="str">
            <v>$</v>
          </cell>
          <cell r="X185" t="str">
            <v>Oui</v>
          </cell>
        </row>
        <row r="186">
          <cell r="O186">
            <v>-4</v>
          </cell>
          <cell r="U186" t="str">
            <v>Véhicules neufs</v>
          </cell>
          <cell r="V186" t="str">
            <v>Flottes</v>
          </cell>
          <cell r="W186" t="str">
            <v>NB</v>
          </cell>
          <cell r="X186">
            <v>0</v>
          </cell>
        </row>
        <row r="187">
          <cell r="C187">
            <v>-881178.22</v>
          </cell>
          <cell r="O187">
            <v>-168792.39</v>
          </cell>
          <cell r="U187" t="str">
            <v>Véhicules neufs</v>
          </cell>
          <cell r="V187" t="str">
            <v>Ex-Démos et courtoisies</v>
          </cell>
          <cell r="W187" t="str">
            <v>$</v>
          </cell>
          <cell r="X187" t="str">
            <v>Oui</v>
          </cell>
        </row>
        <row r="188">
          <cell r="O188">
            <v>-4</v>
          </cell>
          <cell r="U188" t="str">
            <v>Véhicules neufs</v>
          </cell>
          <cell r="V188" t="str">
            <v>Ex-Démos et courtoisies</v>
          </cell>
          <cell r="W188" t="str">
            <v>NB</v>
          </cell>
          <cell r="X188">
            <v>0</v>
          </cell>
        </row>
        <row r="189">
          <cell r="C189">
            <v>-2632515.19</v>
          </cell>
          <cell r="O189">
            <v>-893730.4</v>
          </cell>
          <cell r="U189" t="str">
            <v>Véhicules usagés</v>
          </cell>
          <cell r="V189" t="str">
            <v>Certifié</v>
          </cell>
          <cell r="W189" t="str">
            <v>$</v>
          </cell>
          <cell r="X189" t="str">
            <v>Oui</v>
          </cell>
        </row>
        <row r="190">
          <cell r="O190">
            <v>-38</v>
          </cell>
          <cell r="U190" t="str">
            <v>Véhicules usagés</v>
          </cell>
          <cell r="V190" t="str">
            <v>Certifié</v>
          </cell>
          <cell r="W190" t="str">
            <v>NB</v>
          </cell>
          <cell r="X190">
            <v>0</v>
          </cell>
        </row>
        <row r="191">
          <cell r="C191">
            <v>-76014</v>
          </cell>
          <cell r="O191">
            <v>-16451</v>
          </cell>
          <cell r="U191" t="str">
            <v>Véhicules usagés</v>
          </cell>
          <cell r="V191" t="str">
            <v>Non Certifié</v>
          </cell>
          <cell r="W191" t="str">
            <v>$</v>
          </cell>
          <cell r="X191" t="str">
            <v>Oui</v>
          </cell>
        </row>
        <row r="192">
          <cell r="O192">
            <v>-1</v>
          </cell>
          <cell r="U192" t="str">
            <v>Véhicules usagés</v>
          </cell>
          <cell r="V192" t="str">
            <v>Non Certifié</v>
          </cell>
          <cell r="W192" t="str">
            <v>NB</v>
          </cell>
          <cell r="X192">
            <v>0</v>
          </cell>
        </row>
        <row r="193">
          <cell r="C193">
            <v>-1382566</v>
          </cell>
          <cell r="O193">
            <v>-432260</v>
          </cell>
          <cell r="U193" t="str">
            <v>Véhicules usagés</v>
          </cell>
          <cell r="V193" t="str">
            <v>Ventes au Gros</v>
          </cell>
          <cell r="W193" t="str">
            <v>$</v>
          </cell>
          <cell r="X193" t="str">
            <v>Oui</v>
          </cell>
        </row>
        <row r="194">
          <cell r="O194">
            <v>-41</v>
          </cell>
          <cell r="U194" t="str">
            <v>Véhicules usagés</v>
          </cell>
          <cell r="V194" t="str">
            <v>Ventes au Gros</v>
          </cell>
          <cell r="W194" t="str">
            <v>NB</v>
          </cell>
          <cell r="X194">
            <v>0</v>
          </cell>
        </row>
        <row r="195">
          <cell r="C195">
            <v>-365290.06</v>
          </cell>
          <cell r="O195">
            <v>-119544.87</v>
          </cell>
          <cell r="U195" t="str">
            <v>Service</v>
          </cell>
          <cell r="V195" t="str">
            <v>M/O Client</v>
          </cell>
          <cell r="W195" t="str">
            <v>$</v>
          </cell>
          <cell r="X195" t="str">
            <v>Oui</v>
          </cell>
        </row>
        <row r="196">
          <cell r="O196">
            <v>-554</v>
          </cell>
          <cell r="U196" t="str">
            <v>Service</v>
          </cell>
          <cell r="V196" t="str">
            <v>M/O Client</v>
          </cell>
          <cell r="W196" t="str">
            <v>NB</v>
          </cell>
          <cell r="X196">
            <v>0</v>
          </cell>
        </row>
        <row r="197">
          <cell r="C197">
            <v>-1618.61</v>
          </cell>
          <cell r="O197">
            <v>-504.86</v>
          </cell>
          <cell r="U197" t="str">
            <v>Service</v>
          </cell>
          <cell r="V197" t="str">
            <v>M/O Esthétique</v>
          </cell>
          <cell r="W197" t="str">
            <v>$</v>
          </cell>
          <cell r="X197" t="str">
            <v>Oui</v>
          </cell>
        </row>
        <row r="198">
          <cell r="C198">
            <v>-215251.45</v>
          </cell>
          <cell r="O198">
            <v>-59705.25</v>
          </cell>
          <cell r="U198" t="str">
            <v>Service</v>
          </cell>
          <cell r="V198" t="str">
            <v>M/O Garantie</v>
          </cell>
          <cell r="W198" t="str">
            <v>$</v>
          </cell>
          <cell r="X198" t="str">
            <v>Oui</v>
          </cell>
        </row>
        <row r="199">
          <cell r="O199">
            <v>-246</v>
          </cell>
          <cell r="U199" t="str">
            <v>Service</v>
          </cell>
          <cell r="V199" t="str">
            <v>M/O Garantie</v>
          </cell>
          <cell r="W199" t="str">
            <v>NB</v>
          </cell>
          <cell r="X199">
            <v>0</v>
          </cell>
        </row>
        <row r="200">
          <cell r="C200">
            <v>-213562.16</v>
          </cell>
          <cell r="O200">
            <v>-51693.14</v>
          </cell>
          <cell r="U200" t="str">
            <v>Service</v>
          </cell>
          <cell r="V200" t="str">
            <v>M/O Interne</v>
          </cell>
          <cell r="W200" t="str">
            <v>$</v>
          </cell>
          <cell r="X200" t="str">
            <v>Oui</v>
          </cell>
        </row>
        <row r="201">
          <cell r="O201">
            <v>-302</v>
          </cell>
          <cell r="U201" t="str">
            <v>Service</v>
          </cell>
          <cell r="V201" t="str">
            <v>M/O Interne</v>
          </cell>
          <cell r="W201" t="str">
            <v>NB</v>
          </cell>
          <cell r="X201">
            <v>0</v>
          </cell>
        </row>
        <row r="202">
          <cell r="C202">
            <v>-62000.53</v>
          </cell>
          <cell r="O202">
            <v>-17764.38</v>
          </cell>
          <cell r="U202" t="str">
            <v>Pièces</v>
          </cell>
          <cell r="V202" t="str">
            <v>Huiles et Graisse</v>
          </cell>
          <cell r="W202" t="str">
            <v>$</v>
          </cell>
          <cell r="X202" t="str">
            <v>Oui</v>
          </cell>
        </row>
        <row r="203">
          <cell r="O203">
            <v>-333</v>
          </cell>
          <cell r="U203" t="str">
            <v>Pièces</v>
          </cell>
          <cell r="V203" t="str">
            <v>Huiles et Graisse</v>
          </cell>
          <cell r="W203" t="str">
            <v>NB</v>
          </cell>
          <cell r="X203">
            <v>0</v>
          </cell>
        </row>
        <row r="204">
          <cell r="C204">
            <v>-7078.47</v>
          </cell>
          <cell r="O204">
            <v>-1529.24</v>
          </cell>
          <cell r="U204" t="str">
            <v>Service</v>
          </cell>
          <cell r="V204" t="str">
            <v>Sous-traitement</v>
          </cell>
          <cell r="W204" t="str">
            <v>$</v>
          </cell>
          <cell r="X204" t="str">
            <v>Oui</v>
          </cell>
        </row>
        <row r="205">
          <cell r="O205">
            <v>-9</v>
          </cell>
          <cell r="U205" t="str">
            <v>Service</v>
          </cell>
          <cell r="V205" t="str">
            <v>Sous-traitement</v>
          </cell>
          <cell r="W205" t="str">
            <v>NB</v>
          </cell>
          <cell r="X205">
            <v>0</v>
          </cell>
        </row>
        <row r="206">
          <cell r="C206">
            <v>-6854.6</v>
          </cell>
          <cell r="O206">
            <v>-3855.22</v>
          </cell>
          <cell r="U206" t="str">
            <v>Service</v>
          </cell>
          <cell r="V206" t="str">
            <v>Sous-traitement</v>
          </cell>
          <cell r="W206" t="str">
            <v>$</v>
          </cell>
          <cell r="X206" t="str">
            <v>Oui</v>
          </cell>
        </row>
        <row r="207">
          <cell r="O207">
            <v>-5</v>
          </cell>
          <cell r="U207" t="str">
            <v>Service</v>
          </cell>
          <cell r="V207" t="str">
            <v>Sous-traitement</v>
          </cell>
          <cell r="W207" t="str">
            <v>NB</v>
          </cell>
          <cell r="X207">
            <v>0</v>
          </cell>
        </row>
        <row r="208">
          <cell r="C208">
            <v>-69103.360000000001</v>
          </cell>
          <cell r="O208">
            <v>-24378.25</v>
          </cell>
          <cell r="U208" t="str">
            <v>Service</v>
          </cell>
          <cell r="V208" t="str">
            <v>Sous-traitement</v>
          </cell>
          <cell r="W208" t="str">
            <v>$</v>
          </cell>
          <cell r="X208" t="str">
            <v>Oui</v>
          </cell>
        </row>
        <row r="209">
          <cell r="O209">
            <v>-99</v>
          </cell>
          <cell r="U209" t="str">
            <v>Service</v>
          </cell>
          <cell r="V209" t="str">
            <v>Sous-traitement</v>
          </cell>
          <cell r="W209" t="str">
            <v>NB</v>
          </cell>
          <cell r="X209">
            <v>0</v>
          </cell>
        </row>
        <row r="210">
          <cell r="C210">
            <v>-117833.96</v>
          </cell>
          <cell r="O210">
            <v>-22884.81</v>
          </cell>
          <cell r="U210" t="str">
            <v>Carrosserie</v>
          </cell>
          <cell r="V210" t="str">
            <v>M/O Sous-traitement</v>
          </cell>
          <cell r="W210" t="str">
            <v>$</v>
          </cell>
          <cell r="X210" t="str">
            <v>Oui</v>
          </cell>
        </row>
        <row r="211">
          <cell r="O211">
            <v>-16</v>
          </cell>
          <cell r="U211" t="str">
            <v>Carrosserie</v>
          </cell>
          <cell r="V211" t="str">
            <v>M/O Sous-traitement</v>
          </cell>
          <cell r="W211" t="str">
            <v>NB</v>
          </cell>
          <cell r="X211">
            <v>0</v>
          </cell>
        </row>
        <row r="212">
          <cell r="C212">
            <v>-242695.49</v>
          </cell>
          <cell r="O212">
            <v>-21643.64</v>
          </cell>
          <cell r="U212" t="str">
            <v>Carrosserie</v>
          </cell>
          <cell r="V212" t="str">
            <v>M/O Sous-traitement</v>
          </cell>
          <cell r="W212" t="str">
            <v>$</v>
          </cell>
          <cell r="X212" t="str">
            <v>Oui</v>
          </cell>
        </row>
        <row r="213">
          <cell r="O213">
            <v>-11</v>
          </cell>
          <cell r="U213" t="str">
            <v>Carrosserie</v>
          </cell>
          <cell r="V213" t="str">
            <v>M/O Sous-traitement</v>
          </cell>
          <cell r="W213" t="str">
            <v>NB</v>
          </cell>
          <cell r="X213">
            <v>0</v>
          </cell>
        </row>
        <row r="214">
          <cell r="C214">
            <v>-16032.11</v>
          </cell>
          <cell r="O214">
            <v>-4523.79</v>
          </cell>
          <cell r="U214" t="str">
            <v>Carrosserie</v>
          </cell>
          <cell r="V214" t="str">
            <v>M/O Sous-traitement</v>
          </cell>
          <cell r="W214" t="str">
            <v>$</v>
          </cell>
          <cell r="X214" t="str">
            <v>Oui</v>
          </cell>
        </row>
        <row r="215">
          <cell r="O215">
            <v>-15</v>
          </cell>
          <cell r="U215" t="str">
            <v>Carrosserie</v>
          </cell>
          <cell r="V215" t="str">
            <v>M/O Sous-traitement</v>
          </cell>
          <cell r="W215" t="str">
            <v>NB</v>
          </cell>
          <cell r="X215">
            <v>0</v>
          </cell>
        </row>
        <row r="216">
          <cell r="C216">
            <v>-206249.96</v>
          </cell>
          <cell r="O216">
            <v>-65039.79</v>
          </cell>
          <cell r="U216" t="str">
            <v>Pièces</v>
          </cell>
          <cell r="V216" t="str">
            <v>Pièces Ro Clients</v>
          </cell>
          <cell r="W216" t="str">
            <v>$</v>
          </cell>
          <cell r="X216" t="str">
            <v>Oui</v>
          </cell>
        </row>
        <row r="217">
          <cell r="O217">
            <v>-516</v>
          </cell>
          <cell r="U217" t="str">
            <v>Pièces</v>
          </cell>
          <cell r="V217" t="str">
            <v>Pièces Ro Clients</v>
          </cell>
          <cell r="W217" t="str">
            <v>NB</v>
          </cell>
          <cell r="X217">
            <v>0</v>
          </cell>
        </row>
        <row r="218">
          <cell r="C218">
            <v>-2170.14</v>
          </cell>
          <cell r="O218">
            <v>-537.25</v>
          </cell>
          <cell r="U218" t="str">
            <v>Service</v>
          </cell>
          <cell r="V218" t="str">
            <v>M/O Client</v>
          </cell>
          <cell r="W218" t="str">
            <v>$</v>
          </cell>
          <cell r="X218" t="str">
            <v>Oui</v>
          </cell>
        </row>
        <row r="219">
          <cell r="C219">
            <v>-273084.69</v>
          </cell>
          <cell r="O219">
            <v>-79594.67</v>
          </cell>
          <cell r="U219" t="str">
            <v>Pièces</v>
          </cell>
          <cell r="V219" t="str">
            <v>P/A Garantie</v>
          </cell>
          <cell r="W219" t="str">
            <v>$</v>
          </cell>
          <cell r="X219" t="str">
            <v>Oui</v>
          </cell>
        </row>
        <row r="220">
          <cell r="O220">
            <v>-188</v>
          </cell>
          <cell r="U220" t="str">
            <v>Pièces</v>
          </cell>
          <cell r="V220" t="str">
            <v>P/A Garantie</v>
          </cell>
          <cell r="W220" t="str">
            <v>NB</v>
          </cell>
          <cell r="X220">
            <v>0</v>
          </cell>
        </row>
        <row r="221">
          <cell r="C221">
            <v>-166336.73000000001</v>
          </cell>
          <cell r="O221">
            <v>-52618.64</v>
          </cell>
          <cell r="U221" t="str">
            <v>Pièces</v>
          </cell>
          <cell r="V221" t="str">
            <v>Ventes Internes</v>
          </cell>
          <cell r="W221" t="str">
            <v>$</v>
          </cell>
          <cell r="X221" t="str">
            <v>Oui</v>
          </cell>
        </row>
        <row r="222">
          <cell r="O222">
            <v>-271</v>
          </cell>
          <cell r="U222" t="str">
            <v>Pièces</v>
          </cell>
          <cell r="V222" t="str">
            <v>Ventes Internes</v>
          </cell>
          <cell r="W222" t="str">
            <v>NB</v>
          </cell>
          <cell r="X222">
            <v>0</v>
          </cell>
        </row>
        <row r="223">
          <cell r="C223">
            <v>-2417.7399999999998</v>
          </cell>
          <cell r="O223">
            <v>-879.85</v>
          </cell>
          <cell r="U223" t="str">
            <v>Service</v>
          </cell>
          <cell r="V223" t="str">
            <v>M/O Interne</v>
          </cell>
          <cell r="W223" t="str">
            <v>$</v>
          </cell>
          <cell r="X223" t="str">
            <v>Oui</v>
          </cell>
        </row>
        <row r="224">
          <cell r="C224">
            <v>-17951.32</v>
          </cell>
          <cell r="O224">
            <v>-3034.38</v>
          </cell>
          <cell r="U224" t="str">
            <v>Pièces</v>
          </cell>
          <cell r="V224" t="str">
            <v>Pièces Ro Clients</v>
          </cell>
          <cell r="W224" t="str">
            <v>$</v>
          </cell>
          <cell r="X224" t="str">
            <v>Oui</v>
          </cell>
        </row>
        <row r="225">
          <cell r="O225">
            <v>-105</v>
          </cell>
          <cell r="U225" t="str">
            <v>Pièces</v>
          </cell>
          <cell r="V225" t="str">
            <v>Pièces Ro Clients</v>
          </cell>
          <cell r="W225" t="str">
            <v>NB</v>
          </cell>
          <cell r="X225">
            <v>0</v>
          </cell>
        </row>
        <row r="226">
          <cell r="C226">
            <v>-29349.65</v>
          </cell>
          <cell r="O226">
            <v>-5771.32</v>
          </cell>
          <cell r="U226" t="str">
            <v>Pièces</v>
          </cell>
          <cell r="V226" t="str">
            <v>Pièces Ro Carrosserie</v>
          </cell>
          <cell r="W226" t="str">
            <v>$</v>
          </cell>
          <cell r="X226" t="str">
            <v>Oui</v>
          </cell>
        </row>
        <row r="227">
          <cell r="O227">
            <v>-7</v>
          </cell>
          <cell r="U227" t="str">
            <v>Pièces</v>
          </cell>
          <cell r="V227" t="str">
            <v>Pièces Ro Carrosserie</v>
          </cell>
          <cell r="W227" t="str">
            <v>NB</v>
          </cell>
          <cell r="X227">
            <v>0</v>
          </cell>
        </row>
        <row r="228">
          <cell r="C228">
            <v>-160615.14000000001</v>
          </cell>
          <cell r="O228">
            <v>-21290.2</v>
          </cell>
          <cell r="U228" t="str">
            <v>Pièces</v>
          </cell>
          <cell r="V228" t="str">
            <v>Pièces Ro Carrosserie</v>
          </cell>
          <cell r="W228" t="str">
            <v>$</v>
          </cell>
          <cell r="X228" t="str">
            <v>Oui</v>
          </cell>
        </row>
        <row r="229">
          <cell r="O229">
            <v>-10</v>
          </cell>
          <cell r="U229" t="str">
            <v>Pièces</v>
          </cell>
          <cell r="V229" t="str">
            <v>Pièces Ro Carrosserie</v>
          </cell>
          <cell r="W229" t="str">
            <v>NB</v>
          </cell>
          <cell r="X229">
            <v>0</v>
          </cell>
        </row>
        <row r="230">
          <cell r="C230">
            <v>-1873.32</v>
          </cell>
          <cell r="O230">
            <v>-123</v>
          </cell>
          <cell r="U230" t="str">
            <v>Pièces</v>
          </cell>
          <cell r="V230" t="str">
            <v>Pièces Ro Carrosserie</v>
          </cell>
          <cell r="W230" t="str">
            <v>$</v>
          </cell>
          <cell r="X230" t="str">
            <v>Oui</v>
          </cell>
        </row>
        <row r="231">
          <cell r="O231">
            <v>-3</v>
          </cell>
          <cell r="U231" t="str">
            <v>Pièces</v>
          </cell>
          <cell r="V231" t="str">
            <v>Pièces Ro Carrosserie</v>
          </cell>
          <cell r="W231" t="str">
            <v>NB</v>
          </cell>
          <cell r="X231">
            <v>0</v>
          </cell>
        </row>
        <row r="232">
          <cell r="C232">
            <v>-56339.93</v>
          </cell>
          <cell r="O232">
            <v>-14457.31</v>
          </cell>
          <cell r="U232" t="str">
            <v>Pièces</v>
          </cell>
          <cell r="V232" t="str">
            <v>Ventes Détails</v>
          </cell>
          <cell r="W232" t="str">
            <v>$</v>
          </cell>
          <cell r="X232" t="str">
            <v>Oui</v>
          </cell>
        </row>
        <row r="233">
          <cell r="O233">
            <v>-172</v>
          </cell>
          <cell r="U233" t="str">
            <v>Pièces</v>
          </cell>
          <cell r="V233" t="str">
            <v>Ventes Détails</v>
          </cell>
          <cell r="W233" t="str">
            <v>NB</v>
          </cell>
          <cell r="X233">
            <v>0</v>
          </cell>
        </row>
        <row r="234">
          <cell r="C234">
            <v>-160807.18</v>
          </cell>
          <cell r="O234">
            <v>-33246.97</v>
          </cell>
          <cell r="U234" t="str">
            <v>Pièces</v>
          </cell>
          <cell r="V234" t="str">
            <v>Ventes de Gros</v>
          </cell>
          <cell r="W234" t="str">
            <v>$</v>
          </cell>
          <cell r="X234" t="str">
            <v>Oui</v>
          </cell>
        </row>
        <row r="235">
          <cell r="O235">
            <v>-167</v>
          </cell>
          <cell r="U235" t="str">
            <v>Pièces</v>
          </cell>
          <cell r="V235" t="str">
            <v>Ventes de Gros</v>
          </cell>
          <cell r="W235" t="str">
            <v>NB</v>
          </cell>
          <cell r="X235">
            <v>0</v>
          </cell>
        </row>
        <row r="236">
          <cell r="C236">
            <v>-111694.28</v>
          </cell>
          <cell r="O236">
            <v>-41678.730000000003</v>
          </cell>
          <cell r="U236" t="str">
            <v>Pièces</v>
          </cell>
          <cell r="V236" t="str">
            <v>Ventes Pneus</v>
          </cell>
          <cell r="W236" t="str">
            <v>$</v>
          </cell>
          <cell r="X236" t="str">
            <v>Oui</v>
          </cell>
        </row>
        <row r="237">
          <cell r="O237">
            <v>-55</v>
          </cell>
          <cell r="U237" t="str">
            <v>Pièces</v>
          </cell>
          <cell r="V237" t="str">
            <v>Ventes Pneus</v>
          </cell>
          <cell r="W237" t="str">
            <v>NB</v>
          </cell>
          <cell r="X237">
            <v>0</v>
          </cell>
        </row>
        <row r="238">
          <cell r="C238">
            <v>-554.75</v>
          </cell>
          <cell r="O238">
            <v>0</v>
          </cell>
          <cell r="U238" t="str">
            <v>Pièces</v>
          </cell>
          <cell r="V238" t="str">
            <v>Ventes Pneus</v>
          </cell>
          <cell r="W238" t="str">
            <v>$</v>
          </cell>
          <cell r="X238" t="str">
            <v>Oui</v>
          </cell>
        </row>
        <row r="239">
          <cell r="C239">
            <v>787478.5</v>
          </cell>
          <cell r="O239">
            <v>216490.46</v>
          </cell>
          <cell r="U239" t="str">
            <v>Véhicules neufs</v>
          </cell>
          <cell r="V239" t="str">
            <v>Rachat bail</v>
          </cell>
          <cell r="W239" t="str">
            <v>$</v>
          </cell>
          <cell r="X239">
            <v>0</v>
          </cell>
        </row>
        <row r="240">
          <cell r="C240">
            <v>0</v>
          </cell>
          <cell r="O240">
            <v>48088.800000000003</v>
          </cell>
          <cell r="U240" t="str">
            <v>Véhicules neufs</v>
          </cell>
          <cell r="V240" t="str">
            <v>Autos détail</v>
          </cell>
          <cell r="W240" t="str">
            <v>$</v>
          </cell>
          <cell r="X240">
            <v>0</v>
          </cell>
        </row>
        <row r="241">
          <cell r="C241">
            <v>737167.74</v>
          </cell>
          <cell r="O241">
            <v>343372.37</v>
          </cell>
          <cell r="U241" t="str">
            <v>Véhicules neufs</v>
          </cell>
          <cell r="V241" t="str">
            <v>Autos détail</v>
          </cell>
          <cell r="W241" t="str">
            <v>$</v>
          </cell>
          <cell r="X241">
            <v>0</v>
          </cell>
        </row>
        <row r="242">
          <cell r="C242">
            <v>746858.94</v>
          </cell>
          <cell r="O242">
            <v>248078.42</v>
          </cell>
          <cell r="U242" t="str">
            <v>Véhicules neufs</v>
          </cell>
          <cell r="V242" t="str">
            <v>Autos détail</v>
          </cell>
          <cell r="W242" t="str">
            <v>$</v>
          </cell>
          <cell r="X242">
            <v>0</v>
          </cell>
        </row>
        <row r="243">
          <cell r="C243">
            <v>14956.52</v>
          </cell>
          <cell r="O243">
            <v>0</v>
          </cell>
          <cell r="U243" t="str">
            <v>Véhicules neufs</v>
          </cell>
          <cell r="V243" t="str">
            <v>Autos détail</v>
          </cell>
          <cell r="W243" t="str">
            <v>$</v>
          </cell>
          <cell r="X243">
            <v>0</v>
          </cell>
        </row>
        <row r="244">
          <cell r="C244">
            <v>1681370.62</v>
          </cell>
          <cell r="O244">
            <v>698729.5</v>
          </cell>
          <cell r="U244" t="str">
            <v>Véhicules neufs</v>
          </cell>
          <cell r="V244" t="str">
            <v>Camions détail</v>
          </cell>
          <cell r="W244" t="str">
            <v>$</v>
          </cell>
          <cell r="X244">
            <v>0</v>
          </cell>
        </row>
        <row r="245">
          <cell r="C245">
            <v>126720.36</v>
          </cell>
          <cell r="O245">
            <v>92022.39</v>
          </cell>
          <cell r="U245" t="str">
            <v>Véhicules neufs</v>
          </cell>
          <cell r="V245" t="str">
            <v>Camions détail</v>
          </cell>
          <cell r="W245" t="str">
            <v>$</v>
          </cell>
          <cell r="X245">
            <v>0</v>
          </cell>
        </row>
        <row r="246">
          <cell r="C246">
            <v>434050.79</v>
          </cell>
          <cell r="O246">
            <v>72563.97</v>
          </cell>
          <cell r="U246" t="str">
            <v>Véhicules neufs</v>
          </cell>
          <cell r="V246" t="str">
            <v>Autos détail</v>
          </cell>
          <cell r="W246" t="str">
            <v>$</v>
          </cell>
          <cell r="X246">
            <v>0</v>
          </cell>
        </row>
        <row r="247">
          <cell r="C247">
            <v>2787780.31</v>
          </cell>
          <cell r="O247">
            <v>1555842.66</v>
          </cell>
          <cell r="U247" t="str">
            <v>Véhicules neufs</v>
          </cell>
          <cell r="V247" t="str">
            <v>Camions détail</v>
          </cell>
          <cell r="W247" t="str">
            <v>$</v>
          </cell>
          <cell r="X247">
            <v>0</v>
          </cell>
        </row>
        <row r="248">
          <cell r="C248">
            <v>351563.35</v>
          </cell>
          <cell r="O248">
            <v>0</v>
          </cell>
          <cell r="U248" t="str">
            <v>Véhicules neufs</v>
          </cell>
          <cell r="V248" t="str">
            <v>Autos détail</v>
          </cell>
          <cell r="W248" t="str">
            <v>$</v>
          </cell>
          <cell r="X248">
            <v>0</v>
          </cell>
        </row>
        <row r="249">
          <cell r="C249">
            <v>449713.17</v>
          </cell>
          <cell r="O249">
            <v>150791.54999999999</v>
          </cell>
          <cell r="U249" t="str">
            <v>Véhicules neufs</v>
          </cell>
          <cell r="V249" t="str">
            <v>Flottes</v>
          </cell>
          <cell r="W249" t="str">
            <v>$</v>
          </cell>
          <cell r="X249">
            <v>0</v>
          </cell>
        </row>
        <row r="250">
          <cell r="C250">
            <v>859114.68</v>
          </cell>
          <cell r="O250">
            <v>159083.29</v>
          </cell>
          <cell r="U250" t="str">
            <v>Véhicules neufs</v>
          </cell>
          <cell r="V250" t="str">
            <v>Ex-Démos et courtoisies</v>
          </cell>
          <cell r="W250" t="str">
            <v>$</v>
          </cell>
          <cell r="X250">
            <v>0</v>
          </cell>
        </row>
        <row r="251">
          <cell r="C251">
            <v>2276594.04</v>
          </cell>
          <cell r="O251">
            <v>762576.45</v>
          </cell>
          <cell r="U251" t="str">
            <v>Véhicules usagés</v>
          </cell>
          <cell r="V251" t="str">
            <v>Certifié</v>
          </cell>
          <cell r="W251" t="str">
            <v>$</v>
          </cell>
          <cell r="X251">
            <v>0</v>
          </cell>
        </row>
        <row r="252">
          <cell r="C252">
            <v>239899.42</v>
          </cell>
          <cell r="O252">
            <v>81016.37</v>
          </cell>
          <cell r="U252" t="str">
            <v>Véhicules usagés</v>
          </cell>
          <cell r="V252" t="str">
            <v>Certifié</v>
          </cell>
          <cell r="W252" t="str">
            <v>$</v>
          </cell>
          <cell r="X252">
            <v>0</v>
          </cell>
        </row>
        <row r="253">
          <cell r="C253">
            <v>615</v>
          </cell>
          <cell r="O253">
            <v>570</v>
          </cell>
          <cell r="U253" t="str">
            <v>Véhicules usagés</v>
          </cell>
          <cell r="V253" t="str">
            <v>Non Certifié</v>
          </cell>
          <cell r="W253" t="str">
            <v>$</v>
          </cell>
          <cell r="X253">
            <v>0</v>
          </cell>
        </row>
        <row r="254">
          <cell r="C254">
            <v>659.42</v>
          </cell>
          <cell r="O254">
            <v>0</v>
          </cell>
          <cell r="U254" t="str">
            <v>Véhicules usagés</v>
          </cell>
          <cell r="V254" t="str">
            <v>Non Certifié</v>
          </cell>
          <cell r="W254" t="str">
            <v>$</v>
          </cell>
          <cell r="X254">
            <v>0</v>
          </cell>
        </row>
        <row r="255">
          <cell r="C255">
            <v>70495</v>
          </cell>
          <cell r="O255">
            <v>16315</v>
          </cell>
          <cell r="U255" t="str">
            <v>Véhicules usagés</v>
          </cell>
          <cell r="V255" t="str">
            <v>Non Certifié</v>
          </cell>
          <cell r="W255" t="str">
            <v>$</v>
          </cell>
          <cell r="X255">
            <v>0</v>
          </cell>
        </row>
        <row r="256">
          <cell r="C256">
            <v>2018.49</v>
          </cell>
          <cell r="O256">
            <v>93.8</v>
          </cell>
          <cell r="U256" t="str">
            <v>Véhicules usagés</v>
          </cell>
          <cell r="V256" t="str">
            <v>Intérêts sur prêt</v>
          </cell>
          <cell r="W256" t="str">
            <v>$</v>
          </cell>
          <cell r="X256">
            <v>0</v>
          </cell>
        </row>
        <row r="257">
          <cell r="C257">
            <v>1366233.18</v>
          </cell>
          <cell r="O257">
            <v>407183.21</v>
          </cell>
          <cell r="U257" t="str">
            <v>Véhicules usagés</v>
          </cell>
          <cell r="V257" t="str">
            <v>Ventes au Gros</v>
          </cell>
          <cell r="W257" t="str">
            <v>$</v>
          </cell>
          <cell r="X257">
            <v>0</v>
          </cell>
        </row>
        <row r="258">
          <cell r="C258">
            <v>88392.62</v>
          </cell>
          <cell r="O258">
            <v>27839.599999999999</v>
          </cell>
          <cell r="U258" t="str">
            <v>Service</v>
          </cell>
          <cell r="V258" t="str">
            <v>M/O Client</v>
          </cell>
          <cell r="W258" t="str">
            <v>$</v>
          </cell>
          <cell r="X258">
            <v>0</v>
          </cell>
        </row>
        <row r="259">
          <cell r="C259">
            <v>199.58</v>
          </cell>
          <cell r="O259">
            <v>36.78</v>
          </cell>
          <cell r="U259" t="str">
            <v>Service</v>
          </cell>
          <cell r="V259" t="str">
            <v>M/O Esthétique</v>
          </cell>
          <cell r="W259" t="str">
            <v>$</v>
          </cell>
          <cell r="X259">
            <v>0</v>
          </cell>
        </row>
        <row r="260">
          <cell r="C260">
            <v>64119.06</v>
          </cell>
          <cell r="O260">
            <v>17284.62</v>
          </cell>
          <cell r="U260" t="str">
            <v>Service</v>
          </cell>
          <cell r="V260" t="str">
            <v>M/O Garantie</v>
          </cell>
          <cell r="W260" t="str">
            <v>$</v>
          </cell>
          <cell r="X260">
            <v>0</v>
          </cell>
        </row>
        <row r="261">
          <cell r="C261">
            <v>56874.23</v>
          </cell>
          <cell r="O261">
            <v>12510</v>
          </cell>
          <cell r="U261" t="str">
            <v>Service</v>
          </cell>
          <cell r="V261" t="str">
            <v>M/O Interne</v>
          </cell>
          <cell r="W261" t="str">
            <v>$</v>
          </cell>
          <cell r="X261">
            <v>0</v>
          </cell>
        </row>
        <row r="262">
          <cell r="C262">
            <v>10999.11</v>
          </cell>
          <cell r="O262">
            <v>4646.71</v>
          </cell>
          <cell r="U262" t="str">
            <v>Service</v>
          </cell>
          <cell r="V262" t="str">
            <v>Ajustement M/O</v>
          </cell>
          <cell r="W262" t="str">
            <v>$</v>
          </cell>
          <cell r="X262">
            <v>0</v>
          </cell>
        </row>
        <row r="263">
          <cell r="C263">
            <v>44128.66</v>
          </cell>
          <cell r="O263">
            <v>12512.8</v>
          </cell>
          <cell r="U263" t="str">
            <v>Pièces</v>
          </cell>
          <cell r="V263" t="str">
            <v>Huiles et Graisse</v>
          </cell>
          <cell r="W263" t="str">
            <v>$</v>
          </cell>
          <cell r="X263">
            <v>0</v>
          </cell>
        </row>
        <row r="264">
          <cell r="C264">
            <v>5721</v>
          </cell>
          <cell r="O264">
            <v>1100</v>
          </cell>
          <cell r="U264" t="str">
            <v>Service</v>
          </cell>
          <cell r="V264" t="str">
            <v>Sous-traitement</v>
          </cell>
          <cell r="W264" t="str">
            <v>$</v>
          </cell>
          <cell r="X264">
            <v>0</v>
          </cell>
        </row>
        <row r="265">
          <cell r="C265">
            <v>7526.41</v>
          </cell>
          <cell r="O265">
            <v>4013.97</v>
          </cell>
          <cell r="U265" t="str">
            <v>Service</v>
          </cell>
          <cell r="V265" t="str">
            <v>Sous-traitement</v>
          </cell>
          <cell r="W265" t="str">
            <v>$</v>
          </cell>
          <cell r="X265">
            <v>0</v>
          </cell>
        </row>
        <row r="266">
          <cell r="C266">
            <v>51838.64</v>
          </cell>
          <cell r="O266">
            <v>19269</v>
          </cell>
          <cell r="U266" t="str">
            <v>Service</v>
          </cell>
          <cell r="V266" t="str">
            <v>Sous-traitement</v>
          </cell>
          <cell r="W266" t="str">
            <v>$</v>
          </cell>
          <cell r="X266">
            <v>0</v>
          </cell>
        </row>
        <row r="267">
          <cell r="C267">
            <v>45603.72</v>
          </cell>
          <cell r="O267">
            <v>13350.13</v>
          </cell>
          <cell r="U267" t="str">
            <v>Carrosserie</v>
          </cell>
          <cell r="V267" t="str">
            <v>M/O Sous-traitement</v>
          </cell>
          <cell r="W267" t="str">
            <v>$</v>
          </cell>
          <cell r="X267">
            <v>0</v>
          </cell>
        </row>
        <row r="268">
          <cell r="C268">
            <v>242520.49</v>
          </cell>
          <cell r="O268">
            <v>21667.03</v>
          </cell>
          <cell r="U268" t="str">
            <v>Carrosserie</v>
          </cell>
          <cell r="V268" t="str">
            <v>M/O Sous-traitement</v>
          </cell>
          <cell r="W268" t="str">
            <v>$</v>
          </cell>
          <cell r="X268">
            <v>0</v>
          </cell>
        </row>
        <row r="269">
          <cell r="C269">
            <v>11453.49</v>
          </cell>
          <cell r="O269">
            <v>3430.22</v>
          </cell>
          <cell r="U269" t="str">
            <v>Carrosserie</v>
          </cell>
          <cell r="V269" t="str">
            <v>M/O Sous-traitement</v>
          </cell>
          <cell r="W269" t="str">
            <v>$</v>
          </cell>
          <cell r="X269">
            <v>0</v>
          </cell>
        </row>
        <row r="270">
          <cell r="C270">
            <v>131085.18</v>
          </cell>
          <cell r="O270">
            <v>40960.01</v>
          </cell>
          <cell r="U270" t="str">
            <v>Pièces</v>
          </cell>
          <cell r="V270" t="str">
            <v>Pièces Ro Clients</v>
          </cell>
          <cell r="W270" t="str">
            <v>$</v>
          </cell>
          <cell r="X270">
            <v>0</v>
          </cell>
        </row>
        <row r="271">
          <cell r="C271">
            <v>1468.15</v>
          </cell>
          <cell r="O271">
            <v>363.83</v>
          </cell>
          <cell r="U271" t="str">
            <v>Service</v>
          </cell>
          <cell r="V271" t="str">
            <v>M/O Client</v>
          </cell>
          <cell r="W271" t="str">
            <v>$</v>
          </cell>
          <cell r="X271">
            <v>0</v>
          </cell>
        </row>
        <row r="272">
          <cell r="C272">
            <v>207649.24</v>
          </cell>
          <cell r="O272">
            <v>60790.31</v>
          </cell>
          <cell r="U272" t="str">
            <v>Pièces</v>
          </cell>
          <cell r="V272" t="str">
            <v>P/A Garantie</v>
          </cell>
          <cell r="W272" t="str">
            <v>$</v>
          </cell>
          <cell r="X272">
            <v>0</v>
          </cell>
        </row>
        <row r="273">
          <cell r="C273">
            <v>111479.32</v>
          </cell>
          <cell r="O273">
            <v>37201.51</v>
          </cell>
          <cell r="U273" t="str">
            <v>Pièces</v>
          </cell>
          <cell r="V273" t="str">
            <v>Ventes Internes</v>
          </cell>
          <cell r="W273" t="str">
            <v>$</v>
          </cell>
          <cell r="X273">
            <v>0</v>
          </cell>
        </row>
        <row r="274">
          <cell r="C274">
            <v>1799.5</v>
          </cell>
          <cell r="O274">
            <v>696.39</v>
          </cell>
          <cell r="U274" t="str">
            <v>Service</v>
          </cell>
          <cell r="V274" t="str">
            <v>M/O Interne</v>
          </cell>
          <cell r="W274" t="str">
            <v>$</v>
          </cell>
          <cell r="X274">
            <v>0</v>
          </cell>
        </row>
        <row r="275">
          <cell r="C275">
            <v>13527.14</v>
          </cell>
          <cell r="O275">
            <v>2262.56</v>
          </cell>
          <cell r="U275" t="str">
            <v>Pièces</v>
          </cell>
          <cell r="V275" t="str">
            <v>Pièces Ro Clients</v>
          </cell>
          <cell r="W275" t="str">
            <v>$</v>
          </cell>
          <cell r="X275">
            <v>0</v>
          </cell>
        </row>
        <row r="276">
          <cell r="C276">
            <v>20033.689999999999</v>
          </cell>
          <cell r="O276">
            <v>4018.79</v>
          </cell>
          <cell r="U276" t="str">
            <v>Pièces</v>
          </cell>
          <cell r="V276" t="str">
            <v>Pièces Ro Carrosserie</v>
          </cell>
          <cell r="W276" t="str">
            <v>$</v>
          </cell>
          <cell r="X276">
            <v>0</v>
          </cell>
        </row>
        <row r="277">
          <cell r="C277">
            <v>123549.69</v>
          </cell>
          <cell r="O277">
            <v>16393.060000000001</v>
          </cell>
          <cell r="U277" t="str">
            <v>Pièces</v>
          </cell>
          <cell r="V277" t="str">
            <v>Pièces Ro Carrosserie</v>
          </cell>
          <cell r="W277" t="str">
            <v>$</v>
          </cell>
          <cell r="X277">
            <v>0</v>
          </cell>
        </row>
        <row r="278">
          <cell r="C278">
            <v>1195.06</v>
          </cell>
          <cell r="O278">
            <v>69.41</v>
          </cell>
          <cell r="U278" t="str">
            <v>Pièces</v>
          </cell>
          <cell r="V278" t="str">
            <v>Pièces Ro Carrosserie</v>
          </cell>
          <cell r="W278" t="str">
            <v>$</v>
          </cell>
          <cell r="X278">
            <v>0</v>
          </cell>
        </row>
        <row r="279">
          <cell r="C279">
            <v>40448.1</v>
          </cell>
          <cell r="O279">
            <v>10261.19</v>
          </cell>
          <cell r="U279" t="str">
            <v>Pièces</v>
          </cell>
          <cell r="V279" t="str">
            <v>Ventes Détails</v>
          </cell>
          <cell r="W279" t="str">
            <v>$</v>
          </cell>
          <cell r="X279">
            <v>0</v>
          </cell>
        </row>
        <row r="280">
          <cell r="C280">
            <v>131643.49</v>
          </cell>
          <cell r="O280">
            <v>27266.18</v>
          </cell>
          <cell r="U280" t="str">
            <v>Pièces</v>
          </cell>
          <cell r="V280" t="str">
            <v>Ventes de Gros</v>
          </cell>
          <cell r="W280" t="str">
            <v>$</v>
          </cell>
          <cell r="X280">
            <v>0</v>
          </cell>
        </row>
        <row r="281">
          <cell r="C281">
            <v>91478.720000000001</v>
          </cell>
          <cell r="O281">
            <v>34534.74</v>
          </cell>
          <cell r="U281" t="str">
            <v>Pièces</v>
          </cell>
          <cell r="V281" t="str">
            <v>Ventes Pneus</v>
          </cell>
          <cell r="W281" t="str">
            <v>$</v>
          </cell>
          <cell r="X281">
            <v>0</v>
          </cell>
        </row>
        <row r="282">
          <cell r="C282">
            <v>403.34</v>
          </cell>
          <cell r="O282">
            <v>0</v>
          </cell>
          <cell r="U282" t="str">
            <v>Pièces</v>
          </cell>
          <cell r="V282" t="str">
            <v>Ventes Pneus</v>
          </cell>
          <cell r="W282" t="str">
            <v>$</v>
          </cell>
          <cell r="X282">
            <v>0</v>
          </cell>
        </row>
        <row r="283">
          <cell r="C283">
            <v>-735.21</v>
          </cell>
          <cell r="O283">
            <v>-1504.42</v>
          </cell>
          <cell r="U283" t="str">
            <v>Pièces</v>
          </cell>
          <cell r="V283" t="str">
            <v>Escomptes</v>
          </cell>
          <cell r="W283" t="str">
            <v>$</v>
          </cell>
          <cell r="X283">
            <v>0</v>
          </cell>
        </row>
        <row r="284">
          <cell r="C284">
            <v>131053.92</v>
          </cell>
          <cell r="O284">
            <v>53186.03</v>
          </cell>
          <cell r="U284" t="str">
            <v>Véhicules neufs</v>
          </cell>
          <cell r="V284" t="str">
            <v>Comm. vendeurs</v>
          </cell>
          <cell r="W284" t="str">
            <v>$</v>
          </cell>
          <cell r="X284">
            <v>0</v>
          </cell>
        </row>
        <row r="285">
          <cell r="C285">
            <v>49155.46</v>
          </cell>
          <cell r="O285">
            <v>20948.72</v>
          </cell>
          <cell r="U285" t="str">
            <v>Véhicules neufs</v>
          </cell>
          <cell r="V285" t="str">
            <v>Comm. F&amp;I</v>
          </cell>
          <cell r="W285" t="str">
            <v>$</v>
          </cell>
          <cell r="X285">
            <v>0</v>
          </cell>
        </row>
        <row r="286">
          <cell r="C286">
            <v>1216.3900000000001</v>
          </cell>
          <cell r="O286">
            <v>596.52</v>
          </cell>
          <cell r="U286" t="str">
            <v>Véhicules neufs</v>
          </cell>
          <cell r="V286" t="str">
            <v>Service gratuit 1</v>
          </cell>
          <cell r="W286" t="str">
            <v>$</v>
          </cell>
          <cell r="X286">
            <v>0</v>
          </cell>
        </row>
        <row r="287">
          <cell r="C287">
            <v>2219.63</v>
          </cell>
          <cell r="O287">
            <v>1170</v>
          </cell>
          <cell r="U287" t="str">
            <v>Véhicules neufs</v>
          </cell>
          <cell r="V287" t="str">
            <v>Entretien stock</v>
          </cell>
          <cell r="W287" t="str">
            <v>$</v>
          </cell>
          <cell r="X287">
            <v>0</v>
          </cell>
        </row>
        <row r="288">
          <cell r="C288">
            <v>52123.94</v>
          </cell>
          <cell r="O288">
            <v>14012.64</v>
          </cell>
          <cell r="U288" t="str">
            <v>Véhicules neufs</v>
          </cell>
          <cell r="V288" t="str">
            <v>Intérêt de gros</v>
          </cell>
          <cell r="W288" t="str">
            <v>$</v>
          </cell>
          <cell r="X288">
            <v>0</v>
          </cell>
        </row>
        <row r="289">
          <cell r="C289">
            <v>34868.07</v>
          </cell>
          <cell r="O289">
            <v>6503.31</v>
          </cell>
          <cell r="U289" t="str">
            <v>Véhicules neufs</v>
          </cell>
          <cell r="V289" t="str">
            <v>Frais de livraison</v>
          </cell>
          <cell r="W289" t="str">
            <v>$</v>
          </cell>
          <cell r="X289">
            <v>0</v>
          </cell>
        </row>
        <row r="290">
          <cell r="C290">
            <v>57934.67</v>
          </cell>
          <cell r="O290">
            <v>19134.86</v>
          </cell>
          <cell r="U290" t="str">
            <v>Véhicules neufs</v>
          </cell>
          <cell r="V290" t="str">
            <v>Publicité 1</v>
          </cell>
          <cell r="W290" t="str">
            <v>$</v>
          </cell>
          <cell r="X290">
            <v>0</v>
          </cell>
        </row>
        <row r="291">
          <cell r="C291">
            <v>-21700</v>
          </cell>
          <cell r="O291">
            <v>-8700</v>
          </cell>
          <cell r="U291" t="str">
            <v>Véhicules neufs</v>
          </cell>
          <cell r="V291" t="str">
            <v>Publicité 1</v>
          </cell>
          <cell r="W291" t="str">
            <v>$</v>
          </cell>
          <cell r="X291">
            <v>0</v>
          </cell>
        </row>
        <row r="292">
          <cell r="C292">
            <v>3733.32</v>
          </cell>
          <cell r="O292">
            <v>747.6</v>
          </cell>
          <cell r="U292" t="str">
            <v>Véhicules neufs</v>
          </cell>
          <cell r="V292" t="str">
            <v>Salaires propriétaire</v>
          </cell>
          <cell r="W292" t="str">
            <v>$</v>
          </cell>
          <cell r="X292">
            <v>0</v>
          </cell>
        </row>
        <row r="293">
          <cell r="C293">
            <v>84017.63</v>
          </cell>
          <cell r="O293">
            <v>21334.91</v>
          </cell>
          <cell r="U293" t="str">
            <v>Véhicules neufs</v>
          </cell>
          <cell r="V293" t="str">
            <v>Salaires cadres</v>
          </cell>
          <cell r="W293" t="str">
            <v>$</v>
          </cell>
          <cell r="X293">
            <v>0</v>
          </cell>
        </row>
        <row r="294">
          <cell r="C294">
            <v>31543.85</v>
          </cell>
          <cell r="O294">
            <v>9816.59</v>
          </cell>
          <cell r="U294" t="str">
            <v>Véhicules neufs</v>
          </cell>
          <cell r="V294" t="str">
            <v>Salaires commis</v>
          </cell>
          <cell r="W294" t="str">
            <v>$</v>
          </cell>
          <cell r="X294">
            <v>0</v>
          </cell>
        </row>
        <row r="295">
          <cell r="C295">
            <v>28633.73</v>
          </cell>
          <cell r="O295">
            <v>8653.41</v>
          </cell>
          <cell r="U295" t="str">
            <v>Véhicules neufs</v>
          </cell>
          <cell r="V295" t="str">
            <v>Salaires autres</v>
          </cell>
          <cell r="W295" t="str">
            <v>$</v>
          </cell>
          <cell r="X295">
            <v>0</v>
          </cell>
        </row>
        <row r="296">
          <cell r="C296">
            <v>41601.9</v>
          </cell>
          <cell r="O296">
            <v>15115.93</v>
          </cell>
          <cell r="U296" t="str">
            <v>Véhicules neufs</v>
          </cell>
          <cell r="V296" t="str">
            <v>Salaires en absences</v>
          </cell>
          <cell r="W296" t="str">
            <v>$</v>
          </cell>
          <cell r="X296">
            <v>0</v>
          </cell>
        </row>
        <row r="297">
          <cell r="C297">
            <v>15339.81</v>
          </cell>
          <cell r="O297">
            <v>2048.21</v>
          </cell>
          <cell r="U297" t="str">
            <v>Véhicules neufs</v>
          </cell>
          <cell r="V297" t="str">
            <v>Csst</v>
          </cell>
          <cell r="W297" t="str">
            <v>$</v>
          </cell>
          <cell r="X297">
            <v>0</v>
          </cell>
        </row>
        <row r="298">
          <cell r="C298">
            <v>38038.81</v>
          </cell>
          <cell r="O298">
            <v>12289.25</v>
          </cell>
          <cell r="U298" t="str">
            <v>Véhicules neufs</v>
          </cell>
          <cell r="V298" t="str">
            <v>Déduction à la source</v>
          </cell>
          <cell r="W298" t="str">
            <v>$</v>
          </cell>
          <cell r="X298">
            <v>0</v>
          </cell>
        </row>
        <row r="299">
          <cell r="C299">
            <v>27261.14</v>
          </cell>
          <cell r="O299">
            <v>8807.2900000000009</v>
          </cell>
          <cell r="U299" t="str">
            <v>Véhicules neufs</v>
          </cell>
          <cell r="V299" t="str">
            <v>Bénéfices marginaux</v>
          </cell>
          <cell r="W299" t="str">
            <v>$</v>
          </cell>
          <cell r="X299">
            <v>0</v>
          </cell>
        </row>
        <row r="300">
          <cell r="C300">
            <v>477.01</v>
          </cell>
          <cell r="O300">
            <v>74.930000000000007</v>
          </cell>
          <cell r="U300" t="str">
            <v>Véhicules neufs</v>
          </cell>
          <cell r="V300" t="str">
            <v>Fournitures autres</v>
          </cell>
          <cell r="W300" t="str">
            <v>$</v>
          </cell>
          <cell r="X300">
            <v>0</v>
          </cell>
        </row>
        <row r="301">
          <cell r="C301">
            <v>2093.3200000000002</v>
          </cell>
          <cell r="O301">
            <v>843.33</v>
          </cell>
          <cell r="U301" t="str">
            <v>Véhicules neufs</v>
          </cell>
          <cell r="V301" t="str">
            <v>Formation</v>
          </cell>
          <cell r="W301" t="str">
            <v>$</v>
          </cell>
          <cell r="X301">
            <v>0</v>
          </cell>
        </row>
        <row r="302">
          <cell r="C302">
            <v>21677.67</v>
          </cell>
          <cell r="O302">
            <v>6376</v>
          </cell>
          <cell r="U302" t="str">
            <v>Véhicules neufs</v>
          </cell>
          <cell r="V302" t="str">
            <v>Frais véhicules de cie</v>
          </cell>
          <cell r="W302" t="str">
            <v>$</v>
          </cell>
          <cell r="X302">
            <v>0</v>
          </cell>
        </row>
        <row r="303">
          <cell r="C303">
            <v>414.5</v>
          </cell>
          <cell r="O303">
            <v>162.85</v>
          </cell>
          <cell r="U303" t="str">
            <v>Véhicules neufs</v>
          </cell>
          <cell r="V303" t="str">
            <v>Frais postaux</v>
          </cell>
          <cell r="W303" t="str">
            <v>$</v>
          </cell>
          <cell r="X303">
            <v>0</v>
          </cell>
        </row>
        <row r="304">
          <cell r="C304">
            <v>22050.69</v>
          </cell>
          <cell r="O304">
            <v>6391.27</v>
          </cell>
          <cell r="U304" t="str">
            <v>Véhicules neufs</v>
          </cell>
          <cell r="V304" t="str">
            <v>Informatique</v>
          </cell>
          <cell r="W304" t="str">
            <v>$</v>
          </cell>
          <cell r="X304">
            <v>0</v>
          </cell>
        </row>
        <row r="305">
          <cell r="C305">
            <v>1973.18</v>
          </cell>
          <cell r="O305">
            <v>755.68</v>
          </cell>
          <cell r="U305" t="str">
            <v>Véhicules neufs</v>
          </cell>
          <cell r="V305" t="str">
            <v>Papeterie</v>
          </cell>
          <cell r="W305" t="str">
            <v>$</v>
          </cell>
          <cell r="X305">
            <v>0</v>
          </cell>
        </row>
        <row r="306">
          <cell r="C306">
            <v>1287.21</v>
          </cell>
          <cell r="O306">
            <v>257.26</v>
          </cell>
          <cell r="U306" t="str">
            <v>Véhicules neufs</v>
          </cell>
          <cell r="V306" t="str">
            <v>Téléphone</v>
          </cell>
          <cell r="W306" t="str">
            <v>$</v>
          </cell>
          <cell r="X306">
            <v>0</v>
          </cell>
        </row>
        <row r="307">
          <cell r="C307">
            <v>4343.8999999999996</v>
          </cell>
          <cell r="O307">
            <v>1198.42</v>
          </cell>
          <cell r="U307" t="str">
            <v>Véhicules neufs</v>
          </cell>
          <cell r="V307" t="str">
            <v>Divers</v>
          </cell>
          <cell r="W307" t="str">
            <v>$</v>
          </cell>
          <cell r="X307">
            <v>0</v>
          </cell>
        </row>
        <row r="308">
          <cell r="C308">
            <v>968.23</v>
          </cell>
          <cell r="O308">
            <v>612.46</v>
          </cell>
          <cell r="U308" t="str">
            <v>Véhicules neufs</v>
          </cell>
          <cell r="V308" t="str">
            <v>Frais de déplacement</v>
          </cell>
          <cell r="W308" t="str">
            <v>$</v>
          </cell>
          <cell r="X308">
            <v>0</v>
          </cell>
        </row>
        <row r="309">
          <cell r="C309">
            <v>30020.83</v>
          </cell>
          <cell r="O309">
            <v>7206.23</v>
          </cell>
          <cell r="U309" t="str">
            <v>Véhicules neufs</v>
          </cell>
          <cell r="V309" t="str">
            <v>Services extérieurs</v>
          </cell>
          <cell r="W309" t="str">
            <v>$</v>
          </cell>
          <cell r="X309">
            <v>0</v>
          </cell>
        </row>
        <row r="310">
          <cell r="C310">
            <v>11733.76</v>
          </cell>
          <cell r="O310">
            <v>-4576.32</v>
          </cell>
          <cell r="U310" t="str">
            <v>Véhicules neufs</v>
          </cell>
          <cell r="V310" t="str">
            <v>Amortissement</v>
          </cell>
          <cell r="W310" t="str">
            <v>$</v>
          </cell>
          <cell r="X310">
            <v>0</v>
          </cell>
        </row>
        <row r="311">
          <cell r="C311">
            <v>3211.86</v>
          </cell>
          <cell r="O311">
            <v>1091.54</v>
          </cell>
          <cell r="U311" t="str">
            <v>Véhicules neufs</v>
          </cell>
          <cell r="V311" t="str">
            <v>Chauffage, éclairage</v>
          </cell>
          <cell r="W311" t="str">
            <v>$</v>
          </cell>
          <cell r="X311">
            <v>0</v>
          </cell>
        </row>
        <row r="312">
          <cell r="C312">
            <v>33280</v>
          </cell>
          <cell r="O312">
            <v>8320</v>
          </cell>
          <cell r="U312" t="str">
            <v>Véhicules neufs</v>
          </cell>
          <cell r="V312" t="str">
            <v>Loyer</v>
          </cell>
          <cell r="W312" t="str">
            <v>$</v>
          </cell>
          <cell r="X312">
            <v>0</v>
          </cell>
        </row>
        <row r="313">
          <cell r="C313">
            <v>4746.3999999999996</v>
          </cell>
          <cell r="O313">
            <v>1186.5999999999999</v>
          </cell>
          <cell r="U313" t="str">
            <v>Véhicules neufs</v>
          </cell>
          <cell r="V313" t="str">
            <v>Assurances</v>
          </cell>
          <cell r="W313" t="str">
            <v>$</v>
          </cell>
          <cell r="X313">
            <v>0</v>
          </cell>
        </row>
        <row r="314">
          <cell r="C314">
            <v>6156.8</v>
          </cell>
          <cell r="O314">
            <v>1539.2</v>
          </cell>
          <cell r="U314" t="str">
            <v>Véhicules neufs</v>
          </cell>
          <cell r="V314" t="str">
            <v>Taxes foncières</v>
          </cell>
          <cell r="W314" t="str">
            <v>$</v>
          </cell>
          <cell r="X314">
            <v>0</v>
          </cell>
        </row>
        <row r="315">
          <cell r="C315">
            <v>4096</v>
          </cell>
          <cell r="O315">
            <v>1024</v>
          </cell>
          <cell r="U315" t="str">
            <v>Véhicules neufs</v>
          </cell>
          <cell r="V315" t="str">
            <v>Taxes d`affaires</v>
          </cell>
          <cell r="W315" t="str">
            <v>$</v>
          </cell>
          <cell r="X315">
            <v>0</v>
          </cell>
        </row>
        <row r="316">
          <cell r="C316">
            <v>8236.6299999999992</v>
          </cell>
          <cell r="O316">
            <v>2283.58</v>
          </cell>
          <cell r="U316" t="str">
            <v>Véhicules neufs</v>
          </cell>
          <cell r="V316" t="str">
            <v>Honoraires</v>
          </cell>
          <cell r="W316" t="str">
            <v>$</v>
          </cell>
          <cell r="X316">
            <v>0</v>
          </cell>
        </row>
        <row r="317">
          <cell r="C317">
            <v>56638.86</v>
          </cell>
          <cell r="O317">
            <v>18860.02</v>
          </cell>
          <cell r="U317" t="str">
            <v>Véhicules usagés</v>
          </cell>
          <cell r="V317" t="str">
            <v>Comm. vendeurs</v>
          </cell>
          <cell r="W317" t="str">
            <v>$</v>
          </cell>
          <cell r="X317">
            <v>0</v>
          </cell>
        </row>
        <row r="318">
          <cell r="C318">
            <v>63731.31</v>
          </cell>
          <cell r="O318">
            <v>24245.08</v>
          </cell>
          <cell r="U318" t="str">
            <v>Véhicules usagés</v>
          </cell>
          <cell r="V318" t="str">
            <v>Comm. F&amp;I</v>
          </cell>
          <cell r="W318" t="str">
            <v>$</v>
          </cell>
          <cell r="X318">
            <v>0</v>
          </cell>
        </row>
        <row r="319">
          <cell r="C319">
            <v>1275.54</v>
          </cell>
          <cell r="O319">
            <v>121.19</v>
          </cell>
          <cell r="U319" t="str">
            <v>Véhicules usagés</v>
          </cell>
          <cell r="V319" t="str">
            <v>Service gratuit 1</v>
          </cell>
          <cell r="W319" t="str">
            <v>$</v>
          </cell>
          <cell r="X319">
            <v>0</v>
          </cell>
        </row>
        <row r="320">
          <cell r="C320">
            <v>13214.54</v>
          </cell>
          <cell r="O320">
            <v>4451.63</v>
          </cell>
          <cell r="U320" t="str">
            <v>Véhicules usagés</v>
          </cell>
          <cell r="V320" t="str">
            <v>Entretien stock</v>
          </cell>
          <cell r="W320" t="str">
            <v>$</v>
          </cell>
          <cell r="X320">
            <v>0</v>
          </cell>
        </row>
        <row r="321">
          <cell r="C321">
            <v>2360.1</v>
          </cell>
          <cell r="O321">
            <v>558.25</v>
          </cell>
          <cell r="U321" t="str">
            <v>Véhicules usagés</v>
          </cell>
          <cell r="V321" t="str">
            <v>Intérêt de gros</v>
          </cell>
          <cell r="W321" t="str">
            <v>$</v>
          </cell>
          <cell r="X321">
            <v>0</v>
          </cell>
        </row>
        <row r="322">
          <cell r="C322">
            <v>8705.09</v>
          </cell>
          <cell r="O322">
            <v>2458.7199999999998</v>
          </cell>
          <cell r="U322" t="str">
            <v>Véhicules usagés</v>
          </cell>
          <cell r="V322" t="str">
            <v>Frais de livraison</v>
          </cell>
          <cell r="W322" t="str">
            <v>$</v>
          </cell>
          <cell r="X322">
            <v>0</v>
          </cell>
        </row>
        <row r="323">
          <cell r="C323">
            <v>31144.75</v>
          </cell>
          <cell r="O323">
            <v>4593.08</v>
          </cell>
          <cell r="U323" t="str">
            <v>Véhicules usagés</v>
          </cell>
          <cell r="V323" t="str">
            <v>Publicité 1</v>
          </cell>
          <cell r="W323" t="str">
            <v>$</v>
          </cell>
          <cell r="X323">
            <v>0</v>
          </cell>
        </row>
        <row r="324">
          <cell r="C324">
            <v>-12600</v>
          </cell>
          <cell r="O324">
            <v>-3900</v>
          </cell>
          <cell r="U324" t="str">
            <v>Véhicules usagés</v>
          </cell>
          <cell r="V324" t="str">
            <v>Publicité 1</v>
          </cell>
          <cell r="W324" t="str">
            <v>$</v>
          </cell>
          <cell r="X324">
            <v>0</v>
          </cell>
        </row>
        <row r="325">
          <cell r="C325">
            <v>1400</v>
          </cell>
          <cell r="O325">
            <v>280.35000000000002</v>
          </cell>
          <cell r="U325" t="str">
            <v>Véhicules usagés</v>
          </cell>
          <cell r="V325" t="str">
            <v>Salaires propriétaire</v>
          </cell>
          <cell r="W325" t="str">
            <v>$</v>
          </cell>
          <cell r="X325">
            <v>0</v>
          </cell>
        </row>
        <row r="326">
          <cell r="C326">
            <v>42302.93</v>
          </cell>
          <cell r="O326">
            <v>7917.04</v>
          </cell>
          <cell r="U326" t="str">
            <v>Véhicules usagés</v>
          </cell>
          <cell r="V326" t="str">
            <v>Salaires cadres</v>
          </cell>
          <cell r="W326" t="str">
            <v>$</v>
          </cell>
          <cell r="X326">
            <v>0</v>
          </cell>
        </row>
        <row r="327">
          <cell r="C327">
            <v>7863.71</v>
          </cell>
          <cell r="O327">
            <v>2181.4699999999998</v>
          </cell>
          <cell r="U327" t="str">
            <v>Véhicules usagés</v>
          </cell>
          <cell r="V327" t="str">
            <v>Salaires commis</v>
          </cell>
          <cell r="W327" t="str">
            <v>$</v>
          </cell>
          <cell r="X327">
            <v>0</v>
          </cell>
        </row>
        <row r="328">
          <cell r="C328">
            <v>26139.5</v>
          </cell>
          <cell r="O328">
            <v>7209.56</v>
          </cell>
          <cell r="U328" t="str">
            <v>Véhicules usagés</v>
          </cell>
          <cell r="V328" t="str">
            <v>Salaires autres</v>
          </cell>
          <cell r="W328" t="str">
            <v>$</v>
          </cell>
          <cell r="X328">
            <v>0</v>
          </cell>
        </row>
        <row r="329">
          <cell r="C329">
            <v>12607.68</v>
          </cell>
          <cell r="O329">
            <v>3223.57</v>
          </cell>
          <cell r="U329" t="str">
            <v>Véhicules usagés</v>
          </cell>
          <cell r="V329" t="str">
            <v>Salaires en absences</v>
          </cell>
          <cell r="W329" t="str">
            <v>$</v>
          </cell>
          <cell r="X329">
            <v>0</v>
          </cell>
        </row>
        <row r="330">
          <cell r="C330">
            <v>2910.52</v>
          </cell>
          <cell r="O330">
            <v>1117.46</v>
          </cell>
          <cell r="U330" t="str">
            <v>Véhicules usagés</v>
          </cell>
          <cell r="V330" t="str">
            <v>Csst</v>
          </cell>
          <cell r="W330" t="str">
            <v>$</v>
          </cell>
          <cell r="X330">
            <v>0</v>
          </cell>
        </row>
        <row r="331">
          <cell r="C331">
            <v>17463.14</v>
          </cell>
          <cell r="O331">
            <v>6704.76</v>
          </cell>
          <cell r="U331" t="str">
            <v>Véhicules usagés</v>
          </cell>
          <cell r="V331" t="str">
            <v>Déduction à la source</v>
          </cell>
          <cell r="W331" t="str">
            <v>$</v>
          </cell>
          <cell r="X331">
            <v>0</v>
          </cell>
        </row>
        <row r="332">
          <cell r="C332">
            <v>12515.25</v>
          </cell>
          <cell r="O332">
            <v>4805.08</v>
          </cell>
          <cell r="U332" t="str">
            <v>Véhicules usagés</v>
          </cell>
          <cell r="V332" t="str">
            <v>Bénéfices marginaux</v>
          </cell>
          <cell r="W332" t="str">
            <v>$</v>
          </cell>
          <cell r="X332">
            <v>0</v>
          </cell>
        </row>
        <row r="333">
          <cell r="C333">
            <v>413.76</v>
          </cell>
          <cell r="O333">
            <v>28.09</v>
          </cell>
          <cell r="U333" t="str">
            <v>Véhicules usagés</v>
          </cell>
          <cell r="V333" t="str">
            <v>Fournitures autres</v>
          </cell>
          <cell r="W333" t="str">
            <v>$</v>
          </cell>
          <cell r="X333">
            <v>0</v>
          </cell>
        </row>
        <row r="334">
          <cell r="C334">
            <v>42.48</v>
          </cell>
          <cell r="O334">
            <v>130.62</v>
          </cell>
          <cell r="U334" t="str">
            <v>Véhicules usagés</v>
          </cell>
          <cell r="V334" t="str">
            <v>Formation</v>
          </cell>
          <cell r="W334" t="str">
            <v>$</v>
          </cell>
          <cell r="X334">
            <v>0</v>
          </cell>
        </row>
        <row r="335">
          <cell r="C335">
            <v>-1502.35</v>
          </cell>
          <cell r="O335">
            <v>-351.13</v>
          </cell>
          <cell r="U335" t="str">
            <v>Véhicules usagés</v>
          </cell>
          <cell r="V335" t="str">
            <v>Frais véhicules de cie</v>
          </cell>
          <cell r="W335" t="str">
            <v>$</v>
          </cell>
          <cell r="X335">
            <v>0</v>
          </cell>
        </row>
        <row r="336">
          <cell r="C336">
            <v>237.47</v>
          </cell>
          <cell r="O336">
            <v>57.32</v>
          </cell>
          <cell r="U336" t="str">
            <v>Véhicules usagés</v>
          </cell>
          <cell r="V336" t="str">
            <v>Frais postaux</v>
          </cell>
          <cell r="W336" t="str">
            <v>$</v>
          </cell>
          <cell r="X336">
            <v>0</v>
          </cell>
        </row>
        <row r="337">
          <cell r="C337">
            <v>7586.1</v>
          </cell>
          <cell r="O337">
            <v>1770.17</v>
          </cell>
          <cell r="U337" t="str">
            <v>Véhicules usagés</v>
          </cell>
          <cell r="V337" t="str">
            <v>Informatique</v>
          </cell>
          <cell r="W337" t="str">
            <v>$</v>
          </cell>
          <cell r="X337">
            <v>0</v>
          </cell>
        </row>
        <row r="338">
          <cell r="C338">
            <v>1026.08</v>
          </cell>
          <cell r="O338">
            <v>239.58</v>
          </cell>
          <cell r="U338" t="str">
            <v>Véhicules usagés</v>
          </cell>
          <cell r="V338" t="str">
            <v>Papeterie</v>
          </cell>
          <cell r="W338" t="str">
            <v>$</v>
          </cell>
          <cell r="X338">
            <v>0</v>
          </cell>
        </row>
        <row r="339">
          <cell r="C339">
            <v>386.84</v>
          </cell>
          <cell r="O339">
            <v>48.54</v>
          </cell>
          <cell r="U339" t="str">
            <v>Véhicules usagés</v>
          </cell>
          <cell r="V339" t="str">
            <v>Téléphone</v>
          </cell>
          <cell r="W339" t="str">
            <v>$</v>
          </cell>
          <cell r="X339">
            <v>0</v>
          </cell>
        </row>
        <row r="340">
          <cell r="C340">
            <v>1052.8900000000001</v>
          </cell>
          <cell r="O340">
            <v>449.41</v>
          </cell>
          <cell r="U340" t="str">
            <v>Véhicules usagés</v>
          </cell>
          <cell r="V340" t="str">
            <v>Divers</v>
          </cell>
          <cell r="W340" t="str">
            <v>$</v>
          </cell>
          <cell r="X340">
            <v>0</v>
          </cell>
        </row>
        <row r="341">
          <cell r="C341">
            <v>349.5</v>
          </cell>
          <cell r="O341">
            <v>229.67</v>
          </cell>
          <cell r="U341" t="str">
            <v>Véhicules usagés</v>
          </cell>
          <cell r="V341" t="str">
            <v>Frais de déplacement</v>
          </cell>
          <cell r="W341" t="str">
            <v>$</v>
          </cell>
          <cell r="X341">
            <v>0</v>
          </cell>
        </row>
        <row r="342">
          <cell r="C342">
            <v>4229.78</v>
          </cell>
          <cell r="O342">
            <v>1235.5</v>
          </cell>
          <cell r="U342" t="str">
            <v>Véhicules usagés</v>
          </cell>
          <cell r="V342" t="str">
            <v>Services extérieurs</v>
          </cell>
          <cell r="W342" t="str">
            <v>$</v>
          </cell>
          <cell r="X342">
            <v>0</v>
          </cell>
        </row>
        <row r="343">
          <cell r="C343">
            <v>4400.16</v>
          </cell>
          <cell r="O343">
            <v>-1716.12</v>
          </cell>
          <cell r="U343" t="str">
            <v>Véhicules usagés</v>
          </cell>
          <cell r="V343" t="str">
            <v>Amortissement</v>
          </cell>
          <cell r="W343" t="str">
            <v>$</v>
          </cell>
          <cell r="X343">
            <v>0</v>
          </cell>
        </row>
        <row r="344">
          <cell r="C344">
            <v>1204.46</v>
          </cell>
          <cell r="O344">
            <v>409.33</v>
          </cell>
          <cell r="U344" t="str">
            <v>Véhicules usagés</v>
          </cell>
          <cell r="V344" t="str">
            <v>Chauffage, éclairage</v>
          </cell>
          <cell r="W344" t="str">
            <v>$</v>
          </cell>
          <cell r="X344">
            <v>0</v>
          </cell>
        </row>
        <row r="345">
          <cell r="C345">
            <v>12480</v>
          </cell>
          <cell r="O345">
            <v>3120</v>
          </cell>
          <cell r="U345" t="str">
            <v>Véhicules usagés</v>
          </cell>
          <cell r="V345" t="str">
            <v>Loyer</v>
          </cell>
          <cell r="W345" t="str">
            <v>$</v>
          </cell>
          <cell r="X345">
            <v>0</v>
          </cell>
        </row>
        <row r="346">
          <cell r="C346">
            <v>1779.88</v>
          </cell>
          <cell r="O346">
            <v>444.97</v>
          </cell>
          <cell r="U346" t="str">
            <v>Véhicules usagés</v>
          </cell>
          <cell r="V346" t="str">
            <v>Assurances</v>
          </cell>
          <cell r="W346" t="str">
            <v>$</v>
          </cell>
          <cell r="X346">
            <v>0</v>
          </cell>
        </row>
        <row r="347">
          <cell r="C347">
            <v>2308.8000000000002</v>
          </cell>
          <cell r="O347">
            <v>577.20000000000005</v>
          </cell>
          <cell r="U347" t="str">
            <v>Véhicules usagés</v>
          </cell>
          <cell r="V347" t="str">
            <v>Taxes foncières</v>
          </cell>
          <cell r="W347" t="str">
            <v>$</v>
          </cell>
          <cell r="X347">
            <v>0</v>
          </cell>
        </row>
        <row r="348">
          <cell r="C348">
            <v>1536</v>
          </cell>
          <cell r="O348">
            <v>384</v>
          </cell>
          <cell r="U348" t="str">
            <v>Véhicules usagés</v>
          </cell>
          <cell r="V348" t="str">
            <v>Taxes d`affaires</v>
          </cell>
          <cell r="W348" t="str">
            <v>$</v>
          </cell>
          <cell r="X348">
            <v>0</v>
          </cell>
        </row>
        <row r="349">
          <cell r="C349">
            <v>3088.77</v>
          </cell>
          <cell r="O349">
            <v>856.35</v>
          </cell>
          <cell r="U349" t="str">
            <v>Véhicules usagés</v>
          </cell>
          <cell r="V349" t="str">
            <v>Honoraires</v>
          </cell>
          <cell r="W349" t="str">
            <v>$</v>
          </cell>
          <cell r="X349">
            <v>0</v>
          </cell>
        </row>
        <row r="350">
          <cell r="C350">
            <v>9752.09</v>
          </cell>
          <cell r="O350">
            <v>4146.0600000000004</v>
          </cell>
          <cell r="U350" t="str">
            <v>Service</v>
          </cell>
          <cell r="V350" t="str">
            <v>Service gratuit 2</v>
          </cell>
          <cell r="W350" t="str">
            <v>$</v>
          </cell>
          <cell r="X350">
            <v>0</v>
          </cell>
        </row>
        <row r="351">
          <cell r="C351">
            <v>293.87</v>
          </cell>
          <cell r="O351">
            <v>633.53</v>
          </cell>
          <cell r="U351" t="str">
            <v>Service</v>
          </cell>
          <cell r="V351" t="str">
            <v>Service gratuit 2</v>
          </cell>
          <cell r="W351" t="str">
            <v>$</v>
          </cell>
          <cell r="X351">
            <v>0</v>
          </cell>
        </row>
        <row r="352">
          <cell r="C352">
            <v>24326.39</v>
          </cell>
          <cell r="O352">
            <v>6869.4</v>
          </cell>
          <cell r="U352" t="str">
            <v>Service</v>
          </cell>
          <cell r="V352" t="str">
            <v>Publicité 2</v>
          </cell>
          <cell r="W352" t="str">
            <v>$</v>
          </cell>
          <cell r="X352">
            <v>0</v>
          </cell>
        </row>
        <row r="353">
          <cell r="C353">
            <v>2800</v>
          </cell>
          <cell r="O353">
            <v>560.70000000000005</v>
          </cell>
          <cell r="U353" t="str">
            <v>Service</v>
          </cell>
          <cell r="V353" t="str">
            <v>Salaires propriétaire</v>
          </cell>
          <cell r="W353" t="str">
            <v>$</v>
          </cell>
          <cell r="X353">
            <v>0</v>
          </cell>
        </row>
        <row r="354">
          <cell r="C354">
            <v>48999.65</v>
          </cell>
          <cell r="O354">
            <v>10025.44</v>
          </cell>
          <cell r="U354" t="str">
            <v>Service</v>
          </cell>
          <cell r="V354" t="str">
            <v>Salaires cadres</v>
          </cell>
          <cell r="W354" t="str">
            <v>$</v>
          </cell>
          <cell r="X354">
            <v>0</v>
          </cell>
        </row>
        <row r="355">
          <cell r="C355">
            <v>32261.97</v>
          </cell>
          <cell r="O355">
            <v>8664.7900000000009</v>
          </cell>
          <cell r="U355" t="str">
            <v>Service</v>
          </cell>
          <cell r="V355" t="str">
            <v>Salaires commis</v>
          </cell>
          <cell r="W355" t="str">
            <v>$</v>
          </cell>
          <cell r="X355">
            <v>0</v>
          </cell>
        </row>
        <row r="356">
          <cell r="C356">
            <v>51927.61</v>
          </cell>
          <cell r="O356">
            <v>8179.31</v>
          </cell>
          <cell r="U356" t="str">
            <v>Service</v>
          </cell>
          <cell r="V356" t="str">
            <v>Salaires autres</v>
          </cell>
          <cell r="W356" t="str">
            <v>$</v>
          </cell>
          <cell r="X356">
            <v>0</v>
          </cell>
        </row>
        <row r="357">
          <cell r="C357">
            <v>88588.37</v>
          </cell>
          <cell r="O357">
            <v>24491.9</v>
          </cell>
          <cell r="U357" t="str">
            <v>Service</v>
          </cell>
          <cell r="V357" t="str">
            <v>Salaires spécialistes</v>
          </cell>
          <cell r="W357" t="str">
            <v>$</v>
          </cell>
          <cell r="X357">
            <v>0</v>
          </cell>
        </row>
        <row r="358">
          <cell r="C358">
            <v>56038.879999999997</v>
          </cell>
          <cell r="O358">
            <v>14099.96</v>
          </cell>
          <cell r="U358" t="str">
            <v>Service</v>
          </cell>
          <cell r="V358" t="str">
            <v>Salaires en absences</v>
          </cell>
          <cell r="W358" t="str">
            <v>$</v>
          </cell>
          <cell r="X358">
            <v>0</v>
          </cell>
        </row>
        <row r="359">
          <cell r="C359">
            <v>10177.83</v>
          </cell>
          <cell r="O359">
            <v>2554.23</v>
          </cell>
          <cell r="U359" t="str">
            <v>Service</v>
          </cell>
          <cell r="V359" t="str">
            <v>Csst</v>
          </cell>
          <cell r="W359" t="str">
            <v>$</v>
          </cell>
          <cell r="X359">
            <v>0</v>
          </cell>
        </row>
        <row r="360">
          <cell r="C360">
            <v>61066.98</v>
          </cell>
          <cell r="O360">
            <v>15325.37</v>
          </cell>
          <cell r="U360" t="str">
            <v>Service</v>
          </cell>
          <cell r="V360" t="str">
            <v>Déduction à la source</v>
          </cell>
          <cell r="W360" t="str">
            <v>$</v>
          </cell>
          <cell r="X360">
            <v>0</v>
          </cell>
        </row>
        <row r="361">
          <cell r="C361">
            <v>926.37</v>
          </cell>
          <cell r="O361">
            <v>257.54000000000002</v>
          </cell>
          <cell r="U361" t="str">
            <v>Service</v>
          </cell>
          <cell r="V361" t="str">
            <v>Bénéfices marginaux</v>
          </cell>
          <cell r="W361" t="str">
            <v>$</v>
          </cell>
          <cell r="X361">
            <v>0</v>
          </cell>
        </row>
        <row r="362">
          <cell r="C362">
            <v>42838.29</v>
          </cell>
          <cell r="O362">
            <v>10725.64</v>
          </cell>
          <cell r="U362" t="str">
            <v>Service</v>
          </cell>
          <cell r="V362" t="str">
            <v>Bénéfices marginaux</v>
          </cell>
          <cell r="W362" t="str">
            <v>$</v>
          </cell>
          <cell r="X362">
            <v>0</v>
          </cell>
        </row>
        <row r="363">
          <cell r="C363">
            <v>494.4</v>
          </cell>
          <cell r="O363">
            <v>76.62</v>
          </cell>
          <cell r="U363" t="str">
            <v>Service</v>
          </cell>
          <cell r="V363" t="str">
            <v>Service gratuit 2</v>
          </cell>
          <cell r="W363" t="str">
            <v>$</v>
          </cell>
          <cell r="X363">
            <v>0</v>
          </cell>
        </row>
        <row r="364">
          <cell r="C364">
            <v>3987.73</v>
          </cell>
          <cell r="O364">
            <v>1377.24</v>
          </cell>
          <cell r="U364" t="str">
            <v>Service</v>
          </cell>
          <cell r="V364" t="str">
            <v>Fournitures autres</v>
          </cell>
          <cell r="W364" t="str">
            <v>$</v>
          </cell>
          <cell r="X364">
            <v>0</v>
          </cell>
        </row>
        <row r="365">
          <cell r="C365">
            <v>2707.08</v>
          </cell>
          <cell r="O365">
            <v>423.83</v>
          </cell>
          <cell r="U365" t="str">
            <v>Service</v>
          </cell>
          <cell r="V365" t="str">
            <v>Uniformes</v>
          </cell>
          <cell r="W365" t="str">
            <v>$</v>
          </cell>
          <cell r="X365">
            <v>0</v>
          </cell>
        </row>
        <row r="366">
          <cell r="C366">
            <v>4673.96</v>
          </cell>
          <cell r="O366">
            <v>2298.75</v>
          </cell>
          <cell r="U366" t="str">
            <v>Service</v>
          </cell>
          <cell r="V366" t="str">
            <v>Formation</v>
          </cell>
          <cell r="W366" t="str">
            <v>$</v>
          </cell>
          <cell r="X366">
            <v>0</v>
          </cell>
        </row>
        <row r="367">
          <cell r="C367">
            <v>53475.55</v>
          </cell>
          <cell r="O367">
            <v>18069.37</v>
          </cell>
          <cell r="U367" t="str">
            <v>Service</v>
          </cell>
          <cell r="V367" t="str">
            <v>Frais véhicules de cie</v>
          </cell>
          <cell r="W367" t="str">
            <v>$</v>
          </cell>
          <cell r="X367">
            <v>0</v>
          </cell>
        </row>
        <row r="368">
          <cell r="C368">
            <v>322.38</v>
          </cell>
          <cell r="O368">
            <v>114.64</v>
          </cell>
          <cell r="U368" t="str">
            <v>Service</v>
          </cell>
          <cell r="V368" t="str">
            <v>Frais postaux</v>
          </cell>
          <cell r="W368" t="str">
            <v>$</v>
          </cell>
          <cell r="X368">
            <v>0</v>
          </cell>
        </row>
        <row r="369">
          <cell r="C369">
            <v>15374.88</v>
          </cell>
          <cell r="O369">
            <v>3896.62</v>
          </cell>
          <cell r="U369" t="str">
            <v>Service</v>
          </cell>
          <cell r="V369" t="str">
            <v>Informatique</v>
          </cell>
          <cell r="W369" t="str">
            <v>$</v>
          </cell>
          <cell r="X369">
            <v>0</v>
          </cell>
        </row>
        <row r="370">
          <cell r="C370">
            <v>1340.55</v>
          </cell>
          <cell r="O370">
            <v>479.16</v>
          </cell>
          <cell r="U370" t="str">
            <v>Service</v>
          </cell>
          <cell r="V370" t="str">
            <v>Papeterie</v>
          </cell>
          <cell r="W370" t="str">
            <v>$</v>
          </cell>
          <cell r="X370">
            <v>0</v>
          </cell>
        </row>
        <row r="371">
          <cell r="C371">
            <v>1141.42</v>
          </cell>
          <cell r="O371">
            <v>203.5</v>
          </cell>
          <cell r="U371" t="str">
            <v>Service</v>
          </cell>
          <cell r="V371" t="str">
            <v>Téléphone</v>
          </cell>
          <cell r="W371" t="str">
            <v>$</v>
          </cell>
          <cell r="X371">
            <v>0</v>
          </cell>
        </row>
        <row r="372">
          <cell r="C372">
            <v>2105.8000000000002</v>
          </cell>
          <cell r="O372">
            <v>898.81</v>
          </cell>
          <cell r="U372" t="str">
            <v>Service</v>
          </cell>
          <cell r="V372" t="str">
            <v>Divers</v>
          </cell>
          <cell r="W372" t="str">
            <v>$</v>
          </cell>
          <cell r="X372">
            <v>0</v>
          </cell>
        </row>
        <row r="373">
          <cell r="C373">
            <v>698.96</v>
          </cell>
          <cell r="O373">
            <v>687.77</v>
          </cell>
          <cell r="U373" t="str">
            <v>Service</v>
          </cell>
          <cell r="V373" t="str">
            <v>Frais de déplacement</v>
          </cell>
          <cell r="W373" t="str">
            <v>$</v>
          </cell>
          <cell r="X373">
            <v>0</v>
          </cell>
        </row>
        <row r="374">
          <cell r="C374">
            <v>8459.59</v>
          </cell>
          <cell r="O374">
            <v>2669.35</v>
          </cell>
          <cell r="U374" t="str">
            <v>Service</v>
          </cell>
          <cell r="V374" t="str">
            <v>Services extérieurs</v>
          </cell>
          <cell r="W374" t="str">
            <v>$</v>
          </cell>
          <cell r="X374">
            <v>0</v>
          </cell>
        </row>
        <row r="375">
          <cell r="C375">
            <v>8800.32</v>
          </cell>
          <cell r="O375">
            <v>-3432.24</v>
          </cell>
          <cell r="U375" t="str">
            <v>Service</v>
          </cell>
          <cell r="V375" t="str">
            <v>Amortissement</v>
          </cell>
          <cell r="W375" t="str">
            <v>$</v>
          </cell>
          <cell r="X375">
            <v>0</v>
          </cell>
        </row>
        <row r="376">
          <cell r="C376">
            <v>3550.63</v>
          </cell>
          <cell r="O376">
            <v>856.63</v>
          </cell>
          <cell r="U376" t="str">
            <v>Service</v>
          </cell>
          <cell r="V376" t="str">
            <v>Réparation équipement</v>
          </cell>
          <cell r="W376" t="str">
            <v>$</v>
          </cell>
          <cell r="X376">
            <v>0</v>
          </cell>
        </row>
        <row r="377">
          <cell r="C377">
            <v>2408.91</v>
          </cell>
          <cell r="O377">
            <v>818.66</v>
          </cell>
          <cell r="U377" t="str">
            <v>Service</v>
          </cell>
          <cell r="V377" t="str">
            <v>Chauffage, éclairage</v>
          </cell>
          <cell r="W377" t="str">
            <v>$</v>
          </cell>
          <cell r="X377">
            <v>0</v>
          </cell>
        </row>
        <row r="378">
          <cell r="C378">
            <v>24960</v>
          </cell>
          <cell r="O378">
            <v>6240</v>
          </cell>
          <cell r="U378" t="str">
            <v>Service</v>
          </cell>
          <cell r="V378" t="str">
            <v>Loyer</v>
          </cell>
          <cell r="W378" t="str">
            <v>$</v>
          </cell>
          <cell r="X378">
            <v>0</v>
          </cell>
        </row>
        <row r="379">
          <cell r="C379">
            <v>3559.8</v>
          </cell>
          <cell r="O379">
            <v>889.95</v>
          </cell>
          <cell r="U379" t="str">
            <v>Service</v>
          </cell>
          <cell r="V379" t="str">
            <v>Assurances</v>
          </cell>
          <cell r="W379" t="str">
            <v>$</v>
          </cell>
          <cell r="X379">
            <v>0</v>
          </cell>
        </row>
        <row r="380">
          <cell r="C380">
            <v>4617.6000000000004</v>
          </cell>
          <cell r="O380">
            <v>1154.4000000000001</v>
          </cell>
          <cell r="U380" t="str">
            <v>Service</v>
          </cell>
          <cell r="V380" t="str">
            <v>Taxes foncières</v>
          </cell>
          <cell r="W380" t="str">
            <v>$</v>
          </cell>
          <cell r="X380">
            <v>0</v>
          </cell>
        </row>
        <row r="381">
          <cell r="C381">
            <v>3072</v>
          </cell>
          <cell r="O381">
            <v>768</v>
          </cell>
          <cell r="U381" t="str">
            <v>Service</v>
          </cell>
          <cell r="V381" t="str">
            <v>Taxes d`affaires</v>
          </cell>
          <cell r="W381" t="str">
            <v>$</v>
          </cell>
          <cell r="X381">
            <v>0</v>
          </cell>
        </row>
        <row r="382">
          <cell r="C382">
            <v>6177.46</v>
          </cell>
          <cell r="O382">
            <v>1712.68</v>
          </cell>
          <cell r="U382" t="str">
            <v>Service</v>
          </cell>
          <cell r="V382" t="str">
            <v>Honoraires</v>
          </cell>
          <cell r="W382" t="str">
            <v>$</v>
          </cell>
          <cell r="X382">
            <v>0</v>
          </cell>
        </row>
        <row r="383">
          <cell r="C383">
            <v>55.33</v>
          </cell>
          <cell r="O383">
            <v>201.75</v>
          </cell>
          <cell r="U383" t="str">
            <v>Carrosserie</v>
          </cell>
          <cell r="V383" t="str">
            <v>Service gratuit 2</v>
          </cell>
          <cell r="W383" t="str">
            <v>$</v>
          </cell>
          <cell r="X383">
            <v>0</v>
          </cell>
        </row>
        <row r="384">
          <cell r="C384">
            <v>100.37</v>
          </cell>
          <cell r="O384">
            <v>7.0000000000000007E-2</v>
          </cell>
          <cell r="U384" t="str">
            <v>Carrosserie</v>
          </cell>
          <cell r="V384" t="str">
            <v>Publicité 2</v>
          </cell>
          <cell r="W384" t="str">
            <v>$</v>
          </cell>
          <cell r="X384">
            <v>0</v>
          </cell>
        </row>
        <row r="385">
          <cell r="C385">
            <v>816.68</v>
          </cell>
          <cell r="O385">
            <v>163.54</v>
          </cell>
          <cell r="U385" t="str">
            <v>Carrosserie</v>
          </cell>
          <cell r="V385" t="str">
            <v>Salaires propriétaire</v>
          </cell>
          <cell r="W385" t="str">
            <v>$</v>
          </cell>
          <cell r="X385">
            <v>0</v>
          </cell>
        </row>
        <row r="386">
          <cell r="C386">
            <v>3236.48</v>
          </cell>
          <cell r="O386">
            <v>809.12</v>
          </cell>
          <cell r="U386" t="str">
            <v>Carrosserie</v>
          </cell>
          <cell r="V386" t="str">
            <v>Salaires cadres</v>
          </cell>
          <cell r="W386" t="str">
            <v>$</v>
          </cell>
          <cell r="X386">
            <v>0</v>
          </cell>
        </row>
        <row r="387">
          <cell r="C387">
            <v>2664.64</v>
          </cell>
          <cell r="O387">
            <v>545.36</v>
          </cell>
          <cell r="U387" t="str">
            <v>Carrosserie</v>
          </cell>
          <cell r="V387" t="str">
            <v>Salaires commis</v>
          </cell>
          <cell r="W387" t="str">
            <v>$</v>
          </cell>
          <cell r="X387">
            <v>0</v>
          </cell>
        </row>
        <row r="388">
          <cell r="C388">
            <v>14832.55</v>
          </cell>
          <cell r="O388">
            <v>3707.1</v>
          </cell>
          <cell r="U388" t="str">
            <v>Carrosserie</v>
          </cell>
          <cell r="V388" t="str">
            <v>Salaires autres</v>
          </cell>
          <cell r="W388" t="str">
            <v>$</v>
          </cell>
          <cell r="X388">
            <v>0</v>
          </cell>
        </row>
        <row r="389">
          <cell r="C389">
            <v>11280.9</v>
          </cell>
          <cell r="O389">
            <v>2023.11</v>
          </cell>
          <cell r="U389" t="str">
            <v>Carrosserie</v>
          </cell>
          <cell r="V389" t="str">
            <v>Salaires spécialistes</v>
          </cell>
          <cell r="W389" t="str">
            <v>$</v>
          </cell>
          <cell r="X389">
            <v>0</v>
          </cell>
        </row>
        <row r="390">
          <cell r="C390">
            <v>2105.6</v>
          </cell>
          <cell r="O390">
            <v>379.21</v>
          </cell>
          <cell r="U390" t="str">
            <v>Carrosserie</v>
          </cell>
          <cell r="V390" t="str">
            <v>Salaires en absences</v>
          </cell>
          <cell r="W390" t="str">
            <v>$</v>
          </cell>
          <cell r="X390">
            <v>0</v>
          </cell>
        </row>
        <row r="391">
          <cell r="C391">
            <v>634.5</v>
          </cell>
          <cell r="O391">
            <v>127.36</v>
          </cell>
          <cell r="U391" t="str">
            <v>Carrosserie</v>
          </cell>
          <cell r="V391" t="str">
            <v>Csst</v>
          </cell>
          <cell r="W391" t="str">
            <v>$</v>
          </cell>
          <cell r="X391">
            <v>0</v>
          </cell>
        </row>
        <row r="392">
          <cell r="C392">
            <v>3806.98</v>
          </cell>
          <cell r="O392">
            <v>764.14</v>
          </cell>
          <cell r="U392" t="str">
            <v>Carrosserie</v>
          </cell>
          <cell r="V392" t="str">
            <v>Déduction à la source</v>
          </cell>
          <cell r="W392" t="str">
            <v>$</v>
          </cell>
          <cell r="X392">
            <v>0</v>
          </cell>
        </row>
        <row r="393">
          <cell r="C393">
            <v>2728.33</v>
          </cell>
          <cell r="O393">
            <v>547.63</v>
          </cell>
          <cell r="U393" t="str">
            <v>Carrosserie</v>
          </cell>
          <cell r="V393" t="str">
            <v>Bénéfices marginaux</v>
          </cell>
          <cell r="W393" t="str">
            <v>$</v>
          </cell>
          <cell r="X393">
            <v>0</v>
          </cell>
        </row>
        <row r="394">
          <cell r="C394">
            <v>104.35</v>
          </cell>
          <cell r="O394">
            <v>16.39</v>
          </cell>
          <cell r="U394" t="str">
            <v>Carrosserie</v>
          </cell>
          <cell r="V394" t="str">
            <v>Fournitures autres</v>
          </cell>
          <cell r="W394" t="str">
            <v>$</v>
          </cell>
          <cell r="X394">
            <v>0</v>
          </cell>
        </row>
        <row r="395">
          <cell r="C395">
            <v>24.8</v>
          </cell>
          <cell r="O395">
            <v>76.2</v>
          </cell>
          <cell r="U395" t="str">
            <v>Carrosserie</v>
          </cell>
          <cell r="V395" t="str">
            <v>Formation</v>
          </cell>
          <cell r="W395" t="str">
            <v>$</v>
          </cell>
          <cell r="X395">
            <v>0</v>
          </cell>
        </row>
        <row r="396">
          <cell r="C396">
            <v>3084.91</v>
          </cell>
          <cell r="O396">
            <v>483.44</v>
          </cell>
          <cell r="U396" t="str">
            <v>Carrosserie</v>
          </cell>
          <cell r="V396" t="str">
            <v>Frais véhicules de cie</v>
          </cell>
          <cell r="W396" t="str">
            <v>$</v>
          </cell>
          <cell r="X396">
            <v>0</v>
          </cell>
        </row>
        <row r="397">
          <cell r="C397">
            <v>90.71</v>
          </cell>
          <cell r="O397">
            <v>33.44</v>
          </cell>
          <cell r="U397" t="str">
            <v>Carrosserie</v>
          </cell>
          <cell r="V397" t="str">
            <v>Frais postaux</v>
          </cell>
          <cell r="W397" t="str">
            <v>$</v>
          </cell>
          <cell r="X397">
            <v>0</v>
          </cell>
        </row>
        <row r="398">
          <cell r="C398">
            <v>5360.47</v>
          </cell>
          <cell r="O398">
            <v>1319.76</v>
          </cell>
          <cell r="U398" t="str">
            <v>Carrosserie</v>
          </cell>
          <cell r="V398" t="str">
            <v>Informatique</v>
          </cell>
          <cell r="W398" t="str">
            <v>$</v>
          </cell>
          <cell r="X398">
            <v>0</v>
          </cell>
        </row>
        <row r="399">
          <cell r="C399">
            <v>357.56</v>
          </cell>
          <cell r="O399">
            <v>139.76</v>
          </cell>
          <cell r="U399" t="str">
            <v>Carrosserie</v>
          </cell>
          <cell r="V399" t="str">
            <v>Papeterie</v>
          </cell>
          <cell r="W399" t="str">
            <v>$</v>
          </cell>
          <cell r="X399">
            <v>0</v>
          </cell>
        </row>
        <row r="400">
          <cell r="C400">
            <v>395.55</v>
          </cell>
          <cell r="O400">
            <v>62.78</v>
          </cell>
          <cell r="U400" t="str">
            <v>Carrosserie</v>
          </cell>
          <cell r="V400" t="str">
            <v>Téléphone</v>
          </cell>
          <cell r="W400" t="str">
            <v>$</v>
          </cell>
          <cell r="X400">
            <v>0</v>
          </cell>
        </row>
        <row r="401">
          <cell r="C401">
            <v>614.16999999999996</v>
          </cell>
          <cell r="O401">
            <v>262.16000000000003</v>
          </cell>
          <cell r="U401" t="str">
            <v>Carrosserie</v>
          </cell>
          <cell r="V401" t="str">
            <v>Divers</v>
          </cell>
          <cell r="W401" t="str">
            <v>$</v>
          </cell>
          <cell r="X401">
            <v>0</v>
          </cell>
        </row>
        <row r="402">
          <cell r="C402">
            <v>203.88</v>
          </cell>
          <cell r="O402">
            <v>133.97</v>
          </cell>
          <cell r="U402" t="str">
            <v>Carrosserie</v>
          </cell>
          <cell r="V402" t="str">
            <v>Frais de déplacement</v>
          </cell>
          <cell r="W402" t="str">
            <v>$</v>
          </cell>
          <cell r="X402">
            <v>0</v>
          </cell>
        </row>
        <row r="403">
          <cell r="C403">
            <v>1957.55</v>
          </cell>
          <cell r="O403">
            <v>631.61</v>
          </cell>
          <cell r="U403" t="str">
            <v>Carrosserie</v>
          </cell>
          <cell r="V403" t="str">
            <v>Services extérieurs</v>
          </cell>
          <cell r="W403" t="str">
            <v>$</v>
          </cell>
          <cell r="X403">
            <v>0</v>
          </cell>
        </row>
        <row r="404">
          <cell r="C404">
            <v>2566.7600000000002</v>
          </cell>
          <cell r="O404">
            <v>-1001.07</v>
          </cell>
          <cell r="U404" t="str">
            <v>Carrosserie</v>
          </cell>
          <cell r="V404" t="str">
            <v>Amortissement</v>
          </cell>
          <cell r="W404" t="str">
            <v>$</v>
          </cell>
          <cell r="X404">
            <v>0</v>
          </cell>
        </row>
        <row r="405">
          <cell r="C405">
            <v>702.58</v>
          </cell>
          <cell r="O405">
            <v>238.78</v>
          </cell>
          <cell r="U405" t="str">
            <v>Carrosserie</v>
          </cell>
          <cell r="V405" t="str">
            <v>Chauffage, éclairage</v>
          </cell>
          <cell r="W405" t="str">
            <v>$</v>
          </cell>
          <cell r="X405">
            <v>0</v>
          </cell>
        </row>
        <row r="406">
          <cell r="C406">
            <v>7280</v>
          </cell>
          <cell r="O406">
            <v>1820</v>
          </cell>
          <cell r="U406" t="str">
            <v>Carrosserie</v>
          </cell>
          <cell r="V406" t="str">
            <v>Loyer</v>
          </cell>
          <cell r="W406" t="str">
            <v>$</v>
          </cell>
          <cell r="X406">
            <v>0</v>
          </cell>
        </row>
        <row r="407">
          <cell r="C407">
            <v>1038.28</v>
          </cell>
          <cell r="O407">
            <v>259.57</v>
          </cell>
          <cell r="U407" t="str">
            <v>Carrosserie</v>
          </cell>
          <cell r="V407" t="str">
            <v>Assurances</v>
          </cell>
          <cell r="W407" t="str">
            <v>$</v>
          </cell>
          <cell r="X407">
            <v>0</v>
          </cell>
        </row>
        <row r="408">
          <cell r="C408">
            <v>1346.8</v>
          </cell>
          <cell r="O408">
            <v>336.7</v>
          </cell>
          <cell r="U408" t="str">
            <v>Carrosserie</v>
          </cell>
          <cell r="V408" t="str">
            <v>Taxes foncières</v>
          </cell>
          <cell r="W408" t="str">
            <v>$</v>
          </cell>
          <cell r="X408">
            <v>0</v>
          </cell>
        </row>
        <row r="409">
          <cell r="C409">
            <v>896</v>
          </cell>
          <cell r="O409">
            <v>224</v>
          </cell>
          <cell r="U409" t="str">
            <v>Carrosserie</v>
          </cell>
          <cell r="V409" t="str">
            <v>Taxes d`affaires</v>
          </cell>
          <cell r="W409" t="str">
            <v>$</v>
          </cell>
          <cell r="X409">
            <v>0</v>
          </cell>
        </row>
        <row r="410">
          <cell r="C410">
            <v>1801.78</v>
          </cell>
          <cell r="O410">
            <v>499.54</v>
          </cell>
          <cell r="U410" t="str">
            <v>Carrosserie</v>
          </cell>
          <cell r="V410" t="str">
            <v>Honoraires</v>
          </cell>
          <cell r="W410" t="str">
            <v>$</v>
          </cell>
          <cell r="X410">
            <v>0</v>
          </cell>
        </row>
        <row r="411">
          <cell r="C411">
            <v>346.23</v>
          </cell>
          <cell r="O411">
            <v>0</v>
          </cell>
          <cell r="U411" t="str">
            <v>Pièces</v>
          </cell>
          <cell r="V411" t="str">
            <v>Service gratuit 2</v>
          </cell>
          <cell r="W411" t="str">
            <v>$</v>
          </cell>
          <cell r="X411">
            <v>0</v>
          </cell>
        </row>
        <row r="412">
          <cell r="C412">
            <v>15103.92</v>
          </cell>
          <cell r="O412">
            <v>3940.17</v>
          </cell>
          <cell r="U412" t="str">
            <v>Pièces</v>
          </cell>
          <cell r="V412" t="str">
            <v>Publicité 2</v>
          </cell>
          <cell r="W412" t="str">
            <v>$</v>
          </cell>
          <cell r="X412">
            <v>0</v>
          </cell>
        </row>
        <row r="413">
          <cell r="C413">
            <v>2916.68</v>
          </cell>
          <cell r="O413">
            <v>584.05999999999995</v>
          </cell>
          <cell r="U413" t="str">
            <v>Pièces</v>
          </cell>
          <cell r="V413" t="str">
            <v>Salaires propriétaire</v>
          </cell>
          <cell r="W413" t="str">
            <v>$</v>
          </cell>
          <cell r="X413">
            <v>0</v>
          </cell>
        </row>
        <row r="414">
          <cell r="C414">
            <v>24029.49</v>
          </cell>
          <cell r="O414">
            <v>5861.34</v>
          </cell>
          <cell r="U414" t="str">
            <v>Pièces</v>
          </cell>
          <cell r="V414" t="str">
            <v>Salaires cadres</v>
          </cell>
          <cell r="W414" t="str">
            <v>$</v>
          </cell>
          <cell r="X414">
            <v>0</v>
          </cell>
        </row>
        <row r="415">
          <cell r="C415">
            <v>15902.1</v>
          </cell>
          <cell r="O415">
            <v>4362.93</v>
          </cell>
          <cell r="U415" t="str">
            <v>Pièces</v>
          </cell>
          <cell r="V415" t="str">
            <v>Salaires commis</v>
          </cell>
          <cell r="W415" t="str">
            <v>$</v>
          </cell>
          <cell r="X415">
            <v>0</v>
          </cell>
        </row>
        <row r="416">
          <cell r="C416">
            <v>78281.19</v>
          </cell>
          <cell r="O416">
            <v>23595.43</v>
          </cell>
          <cell r="U416" t="str">
            <v>Pièces</v>
          </cell>
          <cell r="V416" t="str">
            <v>Salaires autres</v>
          </cell>
          <cell r="W416" t="str">
            <v>$</v>
          </cell>
          <cell r="X416">
            <v>0</v>
          </cell>
        </row>
        <row r="417">
          <cell r="C417">
            <v>11661.17</v>
          </cell>
          <cell r="O417">
            <v>3534.98</v>
          </cell>
          <cell r="U417" t="str">
            <v>Pièces</v>
          </cell>
          <cell r="V417" t="str">
            <v>Salaires en absences</v>
          </cell>
          <cell r="W417" t="str">
            <v>$</v>
          </cell>
          <cell r="X417">
            <v>0</v>
          </cell>
        </row>
        <row r="418">
          <cell r="C418">
            <v>-14516.6</v>
          </cell>
          <cell r="O418">
            <v>-5906.4</v>
          </cell>
          <cell r="U418" t="str">
            <v>Pièces</v>
          </cell>
          <cell r="V418" t="str">
            <v>Csst</v>
          </cell>
          <cell r="W418" t="str">
            <v>$</v>
          </cell>
          <cell r="X418">
            <v>0</v>
          </cell>
        </row>
        <row r="419">
          <cell r="C419">
            <v>32419.42</v>
          </cell>
          <cell r="O419">
            <v>10179.530000000001</v>
          </cell>
          <cell r="U419" t="str">
            <v>Pièces</v>
          </cell>
          <cell r="V419" t="str">
            <v>Csst</v>
          </cell>
          <cell r="W419" t="str">
            <v>$</v>
          </cell>
          <cell r="X419">
            <v>0</v>
          </cell>
        </row>
        <row r="420">
          <cell r="C420">
            <v>163.49</v>
          </cell>
          <cell r="O420">
            <v>45.44</v>
          </cell>
          <cell r="U420" t="str">
            <v>Pièces</v>
          </cell>
          <cell r="V420" t="str">
            <v>Déduction à la source</v>
          </cell>
          <cell r="W420" t="str">
            <v>$</v>
          </cell>
          <cell r="X420">
            <v>0</v>
          </cell>
        </row>
        <row r="421">
          <cell r="C421">
            <v>10129.4</v>
          </cell>
          <cell r="O421">
            <v>2652.84</v>
          </cell>
          <cell r="U421" t="str">
            <v>Pièces</v>
          </cell>
          <cell r="V421" t="str">
            <v>Bénéfices marginaux</v>
          </cell>
          <cell r="W421" t="str">
            <v>$</v>
          </cell>
          <cell r="X421">
            <v>0</v>
          </cell>
        </row>
        <row r="422">
          <cell r="C422">
            <v>969.76</v>
          </cell>
          <cell r="O422">
            <v>58.53</v>
          </cell>
          <cell r="U422" t="str">
            <v>Pièces</v>
          </cell>
          <cell r="V422" t="str">
            <v>Fournitures autres</v>
          </cell>
          <cell r="W422" t="str">
            <v>$</v>
          </cell>
          <cell r="X422">
            <v>0</v>
          </cell>
        </row>
        <row r="423">
          <cell r="C423">
            <v>88.56</v>
          </cell>
          <cell r="O423">
            <v>272.14</v>
          </cell>
          <cell r="U423" t="str">
            <v>Pièces</v>
          </cell>
          <cell r="V423" t="str">
            <v>Formation</v>
          </cell>
          <cell r="W423" t="str">
            <v>$</v>
          </cell>
          <cell r="X423">
            <v>0</v>
          </cell>
        </row>
        <row r="424">
          <cell r="C424">
            <v>1102.6199999999999</v>
          </cell>
          <cell r="O424">
            <v>297.88</v>
          </cell>
          <cell r="U424" t="str">
            <v>Pièces</v>
          </cell>
          <cell r="V424" t="str">
            <v>Frais véhicules de cie</v>
          </cell>
          <cell r="W424" t="str">
            <v>$</v>
          </cell>
          <cell r="X424">
            <v>0</v>
          </cell>
        </row>
        <row r="425">
          <cell r="C425">
            <v>57</v>
          </cell>
          <cell r="O425">
            <v>-47.98</v>
          </cell>
          <cell r="U425" t="str">
            <v>Pièces</v>
          </cell>
          <cell r="V425" t="str">
            <v>Frais postaux</v>
          </cell>
          <cell r="W425" t="str">
            <v>$</v>
          </cell>
          <cell r="X425">
            <v>0</v>
          </cell>
        </row>
        <row r="426">
          <cell r="C426">
            <v>14744.77</v>
          </cell>
          <cell r="O426">
            <v>3646.53</v>
          </cell>
          <cell r="U426" t="str">
            <v>Pièces</v>
          </cell>
          <cell r="V426" t="str">
            <v>Informatique</v>
          </cell>
          <cell r="W426" t="str">
            <v>$</v>
          </cell>
          <cell r="X426">
            <v>0</v>
          </cell>
        </row>
        <row r="427">
          <cell r="C427">
            <v>1506.35</v>
          </cell>
          <cell r="O427">
            <v>1034.04</v>
          </cell>
          <cell r="U427" t="str">
            <v>Pièces</v>
          </cell>
          <cell r="V427" t="str">
            <v>Papeterie</v>
          </cell>
          <cell r="W427" t="str">
            <v>$</v>
          </cell>
          <cell r="X427">
            <v>0</v>
          </cell>
        </row>
        <row r="428">
          <cell r="C428">
            <v>805.95</v>
          </cell>
          <cell r="O428">
            <v>101.15</v>
          </cell>
          <cell r="U428" t="str">
            <v>Pièces</v>
          </cell>
          <cell r="V428" t="str">
            <v>Téléphone</v>
          </cell>
          <cell r="W428" t="str">
            <v>$</v>
          </cell>
          <cell r="X428">
            <v>0</v>
          </cell>
        </row>
        <row r="429">
          <cell r="C429">
            <v>2193.5100000000002</v>
          </cell>
          <cell r="O429">
            <v>936.25</v>
          </cell>
          <cell r="U429" t="str">
            <v>Pièces</v>
          </cell>
          <cell r="V429" t="str">
            <v>Divers</v>
          </cell>
          <cell r="W429" t="str">
            <v>$</v>
          </cell>
          <cell r="X429">
            <v>0</v>
          </cell>
        </row>
        <row r="430">
          <cell r="C430">
            <v>728.05</v>
          </cell>
          <cell r="O430">
            <v>478.48</v>
          </cell>
          <cell r="U430" t="str">
            <v>Pièces</v>
          </cell>
          <cell r="V430" t="str">
            <v>Frais de déplacement</v>
          </cell>
          <cell r="W430" t="str">
            <v>$</v>
          </cell>
          <cell r="X430">
            <v>0</v>
          </cell>
        </row>
        <row r="431">
          <cell r="C431">
            <v>24358.28</v>
          </cell>
          <cell r="O431">
            <v>5740.51</v>
          </cell>
          <cell r="U431" t="str">
            <v>Pièces</v>
          </cell>
          <cell r="V431" t="str">
            <v>Services extérieurs</v>
          </cell>
          <cell r="W431" t="str">
            <v>$</v>
          </cell>
          <cell r="X431">
            <v>0</v>
          </cell>
        </row>
        <row r="432">
          <cell r="C432">
            <v>9167</v>
          </cell>
          <cell r="O432">
            <v>-3575.25</v>
          </cell>
          <cell r="U432" t="str">
            <v>Pièces</v>
          </cell>
          <cell r="V432" t="str">
            <v>Amortissement</v>
          </cell>
          <cell r="W432" t="str">
            <v>$</v>
          </cell>
          <cell r="X432">
            <v>0</v>
          </cell>
        </row>
        <row r="433">
          <cell r="C433">
            <v>2509.33</v>
          </cell>
          <cell r="O433">
            <v>852.74</v>
          </cell>
          <cell r="U433" t="str">
            <v>Pièces</v>
          </cell>
          <cell r="V433" t="str">
            <v>Chauffage, éclairage</v>
          </cell>
          <cell r="W433" t="str">
            <v>$</v>
          </cell>
          <cell r="X433">
            <v>0</v>
          </cell>
        </row>
        <row r="434">
          <cell r="C434">
            <v>26000</v>
          </cell>
          <cell r="O434">
            <v>6500</v>
          </cell>
          <cell r="U434" t="str">
            <v>Pièces</v>
          </cell>
          <cell r="V434" t="str">
            <v>Loyer</v>
          </cell>
          <cell r="W434" t="str">
            <v>$</v>
          </cell>
          <cell r="X434">
            <v>0</v>
          </cell>
        </row>
        <row r="435">
          <cell r="C435">
            <v>3708.08</v>
          </cell>
          <cell r="O435">
            <v>927.02</v>
          </cell>
          <cell r="U435" t="str">
            <v>Pièces</v>
          </cell>
          <cell r="V435" t="str">
            <v>Assurances</v>
          </cell>
          <cell r="W435" t="str">
            <v>$</v>
          </cell>
          <cell r="X435">
            <v>0</v>
          </cell>
        </row>
        <row r="436">
          <cell r="C436">
            <v>4810</v>
          </cell>
          <cell r="O436">
            <v>1202.5</v>
          </cell>
          <cell r="U436" t="str">
            <v>Pièces</v>
          </cell>
          <cell r="V436" t="str">
            <v>Taxes foncières</v>
          </cell>
          <cell r="W436" t="str">
            <v>$</v>
          </cell>
          <cell r="X436">
            <v>0</v>
          </cell>
        </row>
        <row r="437">
          <cell r="C437">
            <v>3200</v>
          </cell>
          <cell r="O437">
            <v>800</v>
          </cell>
          <cell r="U437" t="str">
            <v>Pièces</v>
          </cell>
          <cell r="V437" t="str">
            <v>Taxes d`affaires</v>
          </cell>
          <cell r="W437" t="str">
            <v>$</v>
          </cell>
          <cell r="X437">
            <v>0</v>
          </cell>
        </row>
        <row r="438">
          <cell r="C438">
            <v>6434.82</v>
          </cell>
          <cell r="O438">
            <v>1784.04</v>
          </cell>
          <cell r="U438" t="str">
            <v>Pièces</v>
          </cell>
          <cell r="V438" t="str">
            <v>Honoraires</v>
          </cell>
          <cell r="W438" t="str">
            <v>$</v>
          </cell>
          <cell r="X438">
            <v>0</v>
          </cell>
        </row>
        <row r="439">
          <cell r="C439">
            <v>-294569</v>
          </cell>
          <cell r="O439">
            <v>-102678</v>
          </cell>
          <cell r="U439" t="str">
            <v>Véhicules neufs</v>
          </cell>
          <cell r="V439" t="str">
            <v>Holdbacks</v>
          </cell>
          <cell r="W439" t="str">
            <v>$</v>
          </cell>
          <cell r="X439">
            <v>0</v>
          </cell>
        </row>
        <row r="440">
          <cell r="C440">
            <v>-21699.24</v>
          </cell>
          <cell r="O440">
            <v>-8746.83</v>
          </cell>
          <cell r="U440" t="str">
            <v>Pièces</v>
          </cell>
          <cell r="V440" t="str">
            <v>Escomptes</v>
          </cell>
          <cell r="W440" t="str">
            <v>$</v>
          </cell>
          <cell r="X440">
            <v>0</v>
          </cell>
        </row>
        <row r="441">
          <cell r="C441">
            <v>-65776.52</v>
          </cell>
          <cell r="O441">
            <v>0</v>
          </cell>
          <cell r="U441" t="str">
            <v>Véhicules neufs</v>
          </cell>
          <cell r="V441" t="str">
            <v>Programme neuf 1</v>
          </cell>
          <cell r="W441" t="str">
            <v>$</v>
          </cell>
          <cell r="X441">
            <v>0</v>
          </cell>
        </row>
        <row r="442">
          <cell r="C442">
            <v>-5305.48</v>
          </cell>
          <cell r="O442">
            <v>0</v>
          </cell>
          <cell r="U442" t="str">
            <v>Véhicules neufs</v>
          </cell>
          <cell r="V442" t="str">
            <v>Rev. Finances</v>
          </cell>
          <cell r="W442" t="str">
            <v>$</v>
          </cell>
          <cell r="X442">
            <v>0</v>
          </cell>
        </row>
        <row r="443">
          <cell r="C443">
            <v>-65551.28</v>
          </cell>
          <cell r="O443">
            <v>-31187.279999999999</v>
          </cell>
          <cell r="U443" t="str">
            <v>Véhicules usagés</v>
          </cell>
          <cell r="V443" t="str">
            <v>Rev. Finances</v>
          </cell>
          <cell r="W443" t="str">
            <v>$</v>
          </cell>
          <cell r="X443">
            <v>0</v>
          </cell>
        </row>
        <row r="444">
          <cell r="C444">
            <v>-4818.49</v>
          </cell>
          <cell r="O444">
            <v>-1573.17</v>
          </cell>
          <cell r="U444" t="str">
            <v>Véhicules neufs</v>
          </cell>
          <cell r="V444" t="str">
            <v>Rev. Autres</v>
          </cell>
          <cell r="W444" t="str">
            <v>$</v>
          </cell>
          <cell r="X444">
            <v>0</v>
          </cell>
        </row>
        <row r="445">
          <cell r="C445">
            <v>-4949.87</v>
          </cell>
          <cell r="O445">
            <v>-1636.38</v>
          </cell>
          <cell r="U445" t="str">
            <v>Véhicules usagés</v>
          </cell>
          <cell r="V445" t="str">
            <v>Rev. Autres</v>
          </cell>
          <cell r="W445" t="str">
            <v>$</v>
          </cell>
          <cell r="X445">
            <v>0</v>
          </cell>
        </row>
        <row r="446">
          <cell r="C446">
            <v>-24054</v>
          </cell>
          <cell r="O446">
            <v>-9325</v>
          </cell>
          <cell r="U446" t="str">
            <v>Véhicules neufs</v>
          </cell>
          <cell r="V446" t="str">
            <v>Rev. Protections</v>
          </cell>
          <cell r="W446" t="str">
            <v>$</v>
          </cell>
          <cell r="X446">
            <v>0</v>
          </cell>
        </row>
        <row r="447">
          <cell r="C447">
            <v>-128044.45</v>
          </cell>
          <cell r="O447">
            <v>-57250.42</v>
          </cell>
          <cell r="U447" t="str">
            <v>Véhicules neufs</v>
          </cell>
          <cell r="V447" t="str">
            <v>Rev. Protections</v>
          </cell>
          <cell r="W447" t="str">
            <v>$</v>
          </cell>
          <cell r="X447">
            <v>0</v>
          </cell>
        </row>
        <row r="448">
          <cell r="C448">
            <v>-88219.92</v>
          </cell>
          <cell r="O448">
            <v>-34193</v>
          </cell>
          <cell r="U448" t="str">
            <v>Véhicules usagés</v>
          </cell>
          <cell r="V448" t="str">
            <v>Rev. Protections</v>
          </cell>
          <cell r="W448" t="str">
            <v>$</v>
          </cell>
          <cell r="X448">
            <v>0</v>
          </cell>
        </row>
        <row r="449">
          <cell r="C449">
            <v>-47424.63</v>
          </cell>
          <cell r="O449">
            <v>-15938.48</v>
          </cell>
          <cell r="U449" t="str">
            <v>Véhicules usagés</v>
          </cell>
          <cell r="V449" t="str">
            <v>Rev. Protections</v>
          </cell>
          <cell r="W449" t="str">
            <v>$</v>
          </cell>
          <cell r="X449">
            <v>0</v>
          </cell>
        </row>
        <row r="450">
          <cell r="C450">
            <v>-105386.7</v>
          </cell>
          <cell r="O450">
            <v>-38988</v>
          </cell>
          <cell r="U450" t="str">
            <v>Véhicules neufs</v>
          </cell>
          <cell r="V450" t="str">
            <v>Frais administration</v>
          </cell>
          <cell r="W450" t="str">
            <v>$</v>
          </cell>
          <cell r="X450">
            <v>0</v>
          </cell>
        </row>
        <row r="451">
          <cell r="C451">
            <v>-150653.06</v>
          </cell>
          <cell r="O451">
            <v>-6192.67</v>
          </cell>
          <cell r="U451" t="str">
            <v>TOTAL  DES  REVENUS  ET  DÉPENSES</v>
          </cell>
          <cell r="V451" t="str">
            <v>Revenus autres</v>
          </cell>
          <cell r="W451" t="str">
            <v>$</v>
          </cell>
          <cell r="X451">
            <v>0</v>
          </cell>
        </row>
        <row r="452">
          <cell r="C452">
            <v>1593.36</v>
          </cell>
          <cell r="O452">
            <v>398.34</v>
          </cell>
          <cell r="U452" t="str">
            <v>TOTAL  DES  REVENUS  ET  DÉPENSES</v>
          </cell>
          <cell r="V452" t="str">
            <v>Intérêts sur prêt</v>
          </cell>
          <cell r="W452" t="str">
            <v>$</v>
          </cell>
          <cell r="X452">
            <v>0</v>
          </cell>
        </row>
        <row r="453">
          <cell r="C453">
            <v>-5761.76</v>
          </cell>
          <cell r="O453">
            <v>268.04000000000002</v>
          </cell>
          <cell r="U453" t="str">
            <v>TOTAL  DES  REVENUS  ET  DÉPENSES</v>
          </cell>
          <cell r="V453" t="str">
            <v>Intérêts sur marge</v>
          </cell>
          <cell r="W453" t="str">
            <v>$</v>
          </cell>
          <cell r="X453">
            <v>0</v>
          </cell>
        </row>
        <row r="454">
          <cell r="C454">
            <v>689</v>
          </cell>
          <cell r="O454">
            <v>172.25</v>
          </cell>
          <cell r="U454" t="str">
            <v>TOTAL  DES  REVENUS  ET  DÉPENSES</v>
          </cell>
          <cell r="V454" t="str">
            <v>Intérêts sur prêt</v>
          </cell>
          <cell r="W454" t="str">
            <v>$</v>
          </cell>
          <cell r="X454">
            <v>0</v>
          </cell>
        </row>
        <row r="455">
          <cell r="C455">
            <v>25260.63</v>
          </cell>
          <cell r="O455">
            <v>6895.21</v>
          </cell>
          <cell r="U455" t="str">
            <v>Véhicules neufs</v>
          </cell>
          <cell r="V455" t="str">
            <v>Frais bancaires</v>
          </cell>
          <cell r="W455" t="str">
            <v>$</v>
          </cell>
          <cell r="X455">
            <v>0</v>
          </cell>
        </row>
        <row r="456">
          <cell r="O456">
            <v>0</v>
          </cell>
          <cell r="U456" t="e">
            <v>#N/A</v>
          </cell>
          <cell r="V456" t="e">
            <v>#N/A</v>
          </cell>
          <cell r="W456" t="e">
            <v>#N/A</v>
          </cell>
          <cell r="X456" t="e">
            <v>#N/A</v>
          </cell>
        </row>
        <row r="457">
          <cell r="O457">
            <v>0</v>
          </cell>
          <cell r="U457" t="e">
            <v>#N/A</v>
          </cell>
          <cell r="V457" t="e">
            <v>#N/A</v>
          </cell>
          <cell r="W457" t="e">
            <v>#N/A</v>
          </cell>
          <cell r="X457" t="e">
            <v>#N/A</v>
          </cell>
        </row>
        <row r="458">
          <cell r="O458">
            <v>0</v>
          </cell>
          <cell r="U458" t="e">
            <v>#N/A</v>
          </cell>
          <cell r="V458" t="e">
            <v>#N/A</v>
          </cell>
          <cell r="W458" t="e">
            <v>#N/A</v>
          </cell>
          <cell r="X458" t="e">
            <v>#N/A</v>
          </cell>
        </row>
        <row r="459">
          <cell r="O459">
            <v>0</v>
          </cell>
          <cell r="U459" t="e">
            <v>#N/A</v>
          </cell>
          <cell r="V459" t="e">
            <v>#N/A</v>
          </cell>
          <cell r="W459" t="e">
            <v>#N/A</v>
          </cell>
          <cell r="X459" t="e">
            <v>#N/A</v>
          </cell>
        </row>
        <row r="460">
          <cell r="O460">
            <v>0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</row>
        <row r="461">
          <cell r="O461">
            <v>0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</row>
        <row r="462">
          <cell r="O462">
            <v>0</v>
          </cell>
          <cell r="U462" t="e">
            <v>#N/A</v>
          </cell>
          <cell r="V462" t="e">
            <v>#N/A</v>
          </cell>
          <cell r="W462" t="e">
            <v>#N/A</v>
          </cell>
          <cell r="X462" t="e">
            <v>#N/A</v>
          </cell>
        </row>
        <row r="463">
          <cell r="O463">
            <v>0</v>
          </cell>
          <cell r="U463" t="e">
            <v>#N/A</v>
          </cell>
          <cell r="V463" t="e">
            <v>#N/A</v>
          </cell>
          <cell r="W463" t="e">
            <v>#N/A</v>
          </cell>
          <cell r="X463" t="e">
            <v>#N/A</v>
          </cell>
        </row>
        <row r="464">
          <cell r="O464">
            <v>0</v>
          </cell>
          <cell r="U464" t="e">
            <v>#N/A</v>
          </cell>
          <cell r="V464" t="e">
            <v>#N/A</v>
          </cell>
          <cell r="W464" t="e">
            <v>#N/A</v>
          </cell>
          <cell r="X464" t="e">
            <v>#N/A</v>
          </cell>
        </row>
        <row r="465">
          <cell r="O465">
            <v>0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</row>
        <row r="466">
          <cell r="O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</row>
        <row r="467">
          <cell r="O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  <cell r="X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  <cell r="X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  <cell r="X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  <cell r="X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  <cell r="X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  <cell r="X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  <cell r="X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  <cell r="X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  <cell r="X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  <cell r="X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  <cell r="X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  <cell r="X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  <cell r="X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  <cell r="X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  <cell r="X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  <cell r="X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  <cell r="X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  <cell r="X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  <cell r="X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  <cell r="X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  <cell r="X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  <cell r="X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  <cell r="X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  <cell r="X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  <cell r="X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  <cell r="X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  <cell r="X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  <cell r="X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  <cell r="X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  <cell r="X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  <cell r="X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  <cell r="X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  <cell r="X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  <cell r="X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  <cell r="X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  <cell r="X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  <cell r="X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  <cell r="X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  <cell r="X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  <cell r="X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  <cell r="X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  <cell r="X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  <cell r="X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  <cell r="X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  <cell r="X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  <cell r="X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  <cell r="X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  <cell r="X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  <cell r="X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  <cell r="X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  <cell r="X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  <cell r="X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  <cell r="X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  <cell r="X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  <cell r="X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  <cell r="X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  <cell r="X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  <cell r="X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  <cell r="X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  <cell r="X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  <cell r="X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  <cell r="X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  <cell r="X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  <cell r="X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  <cell r="X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  <cell r="X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  <cell r="X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  <cell r="X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  <cell r="X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  <cell r="X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  <cell r="X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  <cell r="X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  <cell r="X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  <cell r="X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  <cell r="X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  <cell r="X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  <cell r="X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  <cell r="X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  <cell r="X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  <cell r="X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  <cell r="X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  <cell r="X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  <cell r="X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  <cell r="X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  <cell r="X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  <cell r="X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  <cell r="X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  <cell r="X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  <cell r="X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  <cell r="X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  <cell r="X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  <cell r="X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  <cell r="X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  <cell r="X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  <cell r="X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  <cell r="X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  <cell r="X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  <cell r="X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  <cell r="X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  <cell r="X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  <cell r="X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  <cell r="X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  <cell r="X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  <cell r="X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  <cell r="X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  <cell r="X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  <cell r="X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  <cell r="X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  <cell r="X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  <cell r="X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  <cell r="X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  <cell r="X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  <cell r="X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  <cell r="X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  <cell r="X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  <cell r="X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  <cell r="X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  <cell r="X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  <cell r="X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  <cell r="X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  <cell r="X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  <cell r="X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  <cell r="X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  <cell r="X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  <cell r="X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  <cell r="X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  <cell r="X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  <cell r="X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  <cell r="X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  <cell r="X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  <cell r="X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  <cell r="X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  <cell r="X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  <cell r="X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  <cell r="X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  <cell r="X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  <cell r="X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  <cell r="X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  <cell r="X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  <cell r="X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  <cell r="X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  <cell r="X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  <cell r="X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  <cell r="X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  <cell r="X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  <cell r="X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  <cell r="X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  <cell r="X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  <cell r="X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  <cell r="X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  <cell r="X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  <cell r="X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  <cell r="X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  <cell r="X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  <cell r="X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  <cell r="X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  <cell r="X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  <cell r="X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  <cell r="X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  <cell r="X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  <cell r="X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  <cell r="X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  <cell r="X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  <cell r="X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  <cell r="X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  <cell r="X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  <cell r="X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  <cell r="X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  <cell r="X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  <cell r="X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  <cell r="X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  <cell r="X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  <cell r="X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  <cell r="X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  <cell r="X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  <cell r="X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  <cell r="X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  <cell r="X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  <cell r="X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  <cell r="X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  <cell r="X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  <cell r="X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  <cell r="X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  <cell r="X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  <cell r="X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  <cell r="X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  <cell r="X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  <cell r="X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  <cell r="X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  <cell r="X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  <cell r="X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  <cell r="X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  <cell r="X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  <cell r="X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  <cell r="X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  <cell r="X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  <cell r="X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  <cell r="X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  <cell r="X1054" t="e">
            <v>#N/A</v>
          </cell>
        </row>
      </sheetData>
      <sheetData sheetId="8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64309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4.33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50.97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24.84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23.25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27.6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1075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767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484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2349.34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28439.98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15215.89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59900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17140.84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19049.71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47029.27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32791.81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</row>
        <row r="29">
          <cell r="O29">
            <v>0</v>
          </cell>
          <cell r="U29" t="e">
            <v>#N/A</v>
          </cell>
          <cell r="V29" t="e">
            <v>#N/A</v>
          </cell>
          <cell r="W29" t="e">
            <v>#N/A</v>
          </cell>
          <cell r="X29" t="e">
            <v>#N/A</v>
          </cell>
        </row>
        <row r="30">
          <cell r="O30">
            <v>0.05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94295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0.91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0.38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C74">
            <v>681568.41</v>
          </cell>
          <cell r="O74">
            <v>-471442.42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150</v>
          </cell>
          <cell r="O75">
            <v>0</v>
          </cell>
          <cell r="U75" t="str">
            <v>Bilan</v>
          </cell>
          <cell r="V75" t="str">
            <v>Encaisse</v>
          </cell>
          <cell r="W75" t="str">
            <v>$</v>
          </cell>
          <cell r="X75">
            <v>0</v>
          </cell>
        </row>
        <row r="76">
          <cell r="C76">
            <v>2289113.19</v>
          </cell>
          <cell r="O76">
            <v>-384494.7</v>
          </cell>
          <cell r="U76" t="str">
            <v>Bilan</v>
          </cell>
          <cell r="V76" t="str">
            <v>Recevables Contrats en Transit</v>
          </cell>
          <cell r="W76" t="str">
            <v>$</v>
          </cell>
          <cell r="X76">
            <v>0</v>
          </cell>
        </row>
        <row r="77">
          <cell r="C77">
            <v>93009.16</v>
          </cell>
          <cell r="O77">
            <v>-12123.7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-50648.6</v>
          </cell>
          <cell r="O78">
            <v>283744.49</v>
          </cell>
          <cell r="U78" t="str">
            <v>Bilan</v>
          </cell>
          <cell r="V78" t="str">
            <v>Recevables Véhicules</v>
          </cell>
          <cell r="W78" t="str">
            <v>$</v>
          </cell>
          <cell r="X78">
            <v>0</v>
          </cell>
        </row>
        <row r="79">
          <cell r="C79">
            <v>76652.179999999993</v>
          </cell>
          <cell r="O79">
            <v>-14480.44</v>
          </cell>
          <cell r="U79" t="str">
            <v>Bilan</v>
          </cell>
          <cell r="V79" t="str">
            <v>Recevables Pièces et Service</v>
          </cell>
          <cell r="W79" t="str">
            <v>$</v>
          </cell>
          <cell r="X79">
            <v>0</v>
          </cell>
        </row>
        <row r="80">
          <cell r="C80">
            <v>64374.81</v>
          </cell>
          <cell r="O80">
            <v>2262.06</v>
          </cell>
          <cell r="U80" t="str">
            <v>Bilan</v>
          </cell>
          <cell r="V80" t="str">
            <v>Recevables Carrosserie</v>
          </cell>
          <cell r="W80" t="str">
            <v>$</v>
          </cell>
          <cell r="X80">
            <v>0</v>
          </cell>
        </row>
        <row r="81">
          <cell r="C81">
            <v>397616</v>
          </cell>
          <cell r="O81">
            <v>-161030</v>
          </cell>
          <cell r="U81" t="str">
            <v>Bilan</v>
          </cell>
          <cell r="V81" t="str">
            <v>Recevables Manufacturier</v>
          </cell>
          <cell r="W81" t="str">
            <v>$</v>
          </cell>
          <cell r="X81">
            <v>0</v>
          </cell>
        </row>
        <row r="82">
          <cell r="C82">
            <v>86800.95</v>
          </cell>
          <cell r="O82">
            <v>93547.28</v>
          </cell>
          <cell r="U82" t="str">
            <v>Bilan</v>
          </cell>
          <cell r="V82" t="str">
            <v>Recevables Garantie Manufacturier</v>
          </cell>
          <cell r="W82" t="str">
            <v>$</v>
          </cell>
          <cell r="X82">
            <v>0</v>
          </cell>
        </row>
        <row r="83">
          <cell r="C83">
            <v>24346.31</v>
          </cell>
          <cell r="O83">
            <v>11696.97</v>
          </cell>
          <cell r="U83" t="str">
            <v>Bilan</v>
          </cell>
          <cell r="V83" t="str">
            <v>recevables Autres</v>
          </cell>
          <cell r="W83" t="str">
            <v>$</v>
          </cell>
          <cell r="X83">
            <v>0</v>
          </cell>
        </row>
        <row r="84">
          <cell r="C84">
            <v>148669.81</v>
          </cell>
          <cell r="O84">
            <v>30922</v>
          </cell>
          <cell r="U84" t="str">
            <v>Bilan</v>
          </cell>
          <cell r="V84" t="str">
            <v>Recevables Manufacturier</v>
          </cell>
          <cell r="W84" t="str">
            <v>$</v>
          </cell>
          <cell r="X84">
            <v>0</v>
          </cell>
        </row>
        <row r="85">
          <cell r="C85">
            <v>1600</v>
          </cell>
          <cell r="O85">
            <v>400</v>
          </cell>
          <cell r="U85" t="str">
            <v>Bilan</v>
          </cell>
          <cell r="V85" t="str">
            <v>recevables Autres</v>
          </cell>
          <cell r="W85" t="str">
            <v>$</v>
          </cell>
          <cell r="X85">
            <v>0</v>
          </cell>
        </row>
        <row r="86">
          <cell r="C86">
            <v>9668572.9199999999</v>
          </cell>
          <cell r="O86">
            <v>-205851.39</v>
          </cell>
          <cell r="U86" t="str">
            <v>Bilan</v>
          </cell>
          <cell r="V86" t="str">
            <v>Inventaire Véhicules Neufs</v>
          </cell>
          <cell r="W86" t="str">
            <v>$</v>
          </cell>
          <cell r="X86">
            <v>0</v>
          </cell>
        </row>
        <row r="87">
          <cell r="O87">
            <v>3</v>
          </cell>
          <cell r="U87" t="str">
            <v>Bilan</v>
          </cell>
          <cell r="V87">
            <v>0</v>
          </cell>
          <cell r="W87" t="str">
            <v>NB</v>
          </cell>
          <cell r="X87">
            <v>0</v>
          </cell>
        </row>
        <row r="88">
          <cell r="C88">
            <v>-1458.12</v>
          </cell>
          <cell r="O88">
            <v>792.73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-130.63</v>
          </cell>
          <cell r="O89">
            <v>0</v>
          </cell>
          <cell r="U89" t="e">
            <v>#N/A</v>
          </cell>
          <cell r="V89" t="e">
            <v>#N/A</v>
          </cell>
          <cell r="W89" t="e">
            <v>#N/A</v>
          </cell>
          <cell r="X89" t="e">
            <v>#N/A</v>
          </cell>
        </row>
        <row r="90">
          <cell r="C90">
            <v>-37222.129999999997</v>
          </cell>
          <cell r="O90">
            <v>-10800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1498424.5</v>
          </cell>
          <cell r="O91">
            <v>-3999.77</v>
          </cell>
          <cell r="U91" t="str">
            <v>Bilan</v>
          </cell>
          <cell r="V91" t="str">
            <v>Inventaire Véhicules Usagés</v>
          </cell>
          <cell r="W91" t="str">
            <v>$</v>
          </cell>
          <cell r="X91">
            <v>0</v>
          </cell>
        </row>
        <row r="92">
          <cell r="O92">
            <v>9</v>
          </cell>
          <cell r="U92" t="str">
            <v>Bilan</v>
          </cell>
          <cell r="V92">
            <v>0</v>
          </cell>
          <cell r="W92" t="str">
            <v>NB</v>
          </cell>
          <cell r="X92">
            <v>0</v>
          </cell>
        </row>
        <row r="93">
          <cell r="O93">
            <v>-4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O94">
            <v>3</v>
          </cell>
          <cell r="U94" t="e">
            <v>#N/A</v>
          </cell>
          <cell r="V94" t="e">
            <v>#N/A</v>
          </cell>
          <cell r="W94" t="e">
            <v>#N/A</v>
          </cell>
          <cell r="X94" t="e">
            <v>#N/A</v>
          </cell>
        </row>
        <row r="95">
          <cell r="C95">
            <v>220117.55</v>
          </cell>
          <cell r="O95">
            <v>-17387.07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0</v>
          </cell>
          <cell r="O96">
            <v>265.5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</row>
        <row r="97">
          <cell r="C97">
            <v>56230.47</v>
          </cell>
          <cell r="O97">
            <v>12251.99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17746.240000000002</v>
          </cell>
          <cell r="O98">
            <v>1374.7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16887.23</v>
          </cell>
          <cell r="O99">
            <v>-7862.13</v>
          </cell>
          <cell r="U99" t="str">
            <v>Bilan</v>
          </cell>
          <cell r="V99" t="str">
            <v>Travaux en Cours</v>
          </cell>
          <cell r="W99" t="str">
            <v>$</v>
          </cell>
          <cell r="X99">
            <v>0</v>
          </cell>
        </row>
        <row r="100">
          <cell r="C100">
            <v>-3874.86</v>
          </cell>
          <cell r="O100">
            <v>-11576.43</v>
          </cell>
          <cell r="U100" t="str">
            <v>Bilan</v>
          </cell>
          <cell r="V100" t="str">
            <v>Sous-Traitance</v>
          </cell>
          <cell r="W100" t="str">
            <v>$</v>
          </cell>
          <cell r="X100">
            <v>0</v>
          </cell>
        </row>
        <row r="101">
          <cell r="C101">
            <v>24339.919999999998</v>
          </cell>
          <cell r="O101">
            <v>1760.64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48922.6</v>
          </cell>
          <cell r="O102">
            <v>5557.91</v>
          </cell>
          <cell r="U102" t="str">
            <v>Bilan</v>
          </cell>
          <cell r="V102" t="str">
            <v>Inventaire Pièces, Pneus, Huile</v>
          </cell>
          <cell r="W102" t="str">
            <v>$</v>
          </cell>
          <cell r="X102">
            <v>0</v>
          </cell>
        </row>
        <row r="103">
          <cell r="C103">
            <v>30353.64</v>
          </cell>
          <cell r="O103">
            <v>-18909.060000000001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8637.75</v>
          </cell>
          <cell r="O104">
            <v>-9642.16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6157.13</v>
          </cell>
          <cell r="O105">
            <v>3741.78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0</v>
          </cell>
          <cell r="O106">
            <v>239.8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976</v>
          </cell>
          <cell r="O107">
            <v>2686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13457.39</v>
          </cell>
          <cell r="O108">
            <v>-87.03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8686</v>
          </cell>
          <cell r="O109">
            <v>-2310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1154</v>
          </cell>
          <cell r="O110">
            <v>-385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</row>
        <row r="111">
          <cell r="C111">
            <v>-6061.34</v>
          </cell>
          <cell r="O111">
            <v>15796.05</v>
          </cell>
          <cell r="U111" t="str">
            <v>Bilan</v>
          </cell>
          <cell r="V111" t="str">
            <v>Autres Courus</v>
          </cell>
          <cell r="W111" t="str">
            <v>$</v>
          </cell>
          <cell r="X111">
            <v>0</v>
          </cell>
        </row>
        <row r="112">
          <cell r="C112">
            <v>5437.41</v>
          </cell>
          <cell r="O112">
            <v>-298.87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1513.95</v>
          </cell>
          <cell r="O113">
            <v>-200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840.98</v>
          </cell>
          <cell r="O114">
            <v>816.51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-13980.07</v>
          </cell>
          <cell r="O115">
            <v>-2253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-16737.93</v>
          </cell>
          <cell r="O116">
            <v>-4688.29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10105.120000000001</v>
          </cell>
          <cell r="O117">
            <v>-1769.77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5829.89</v>
          </cell>
          <cell r="O118">
            <v>-1170</v>
          </cell>
          <cell r="U118" t="str">
            <v>Bilan</v>
          </cell>
          <cell r="V118" t="str">
            <v>Autres Courus</v>
          </cell>
          <cell r="W118" t="str">
            <v>$</v>
          </cell>
          <cell r="X118">
            <v>0</v>
          </cell>
        </row>
        <row r="119">
          <cell r="C119">
            <v>-3956.91</v>
          </cell>
          <cell r="O119">
            <v>1375.4</v>
          </cell>
          <cell r="U119" t="str">
            <v>Bilan</v>
          </cell>
          <cell r="V119" t="str">
            <v>Autres Courus</v>
          </cell>
          <cell r="W119" t="str">
            <v>$</v>
          </cell>
          <cell r="X119">
            <v>0</v>
          </cell>
        </row>
        <row r="120">
          <cell r="C120">
            <v>11569.5</v>
          </cell>
          <cell r="O120">
            <v>-17875.599999999999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26861.24</v>
          </cell>
          <cell r="O121">
            <v>-4275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-11700</v>
          </cell>
          <cell r="O122">
            <v>-2925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-608.27</v>
          </cell>
          <cell r="O123">
            <v>-650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109775.05</v>
          </cell>
          <cell r="O124">
            <v>-3991.63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-8725.2199999999993</v>
          </cell>
          <cell r="O125">
            <v>-2410.85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2059.6</v>
          </cell>
          <cell r="O126">
            <v>493.45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1414.02</v>
          </cell>
          <cell r="O127">
            <v>0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133189.21</v>
          </cell>
          <cell r="O128">
            <v>0</v>
          </cell>
          <cell r="U128" t="str">
            <v>Bilan</v>
          </cell>
          <cell r="V128" t="str">
            <v>Améliorations Locatives</v>
          </cell>
          <cell r="W128" t="str">
            <v>$</v>
          </cell>
          <cell r="X128">
            <v>0</v>
          </cell>
        </row>
        <row r="129">
          <cell r="C129">
            <v>-73622.87</v>
          </cell>
          <cell r="O129">
            <v>-1600</v>
          </cell>
          <cell r="U129" t="str">
            <v>Bilan</v>
          </cell>
          <cell r="V129" t="str">
            <v>Améliorations Locatives</v>
          </cell>
          <cell r="W129" t="str">
            <v>$</v>
          </cell>
          <cell r="X129">
            <v>0</v>
          </cell>
        </row>
        <row r="130">
          <cell r="C130">
            <v>867202.23</v>
          </cell>
          <cell r="O130">
            <v>0</v>
          </cell>
          <cell r="U130" t="str">
            <v>Bilan</v>
          </cell>
          <cell r="V130" t="str">
            <v>Équipements Service</v>
          </cell>
          <cell r="W130" t="str">
            <v>$</v>
          </cell>
          <cell r="X130">
            <v>0</v>
          </cell>
        </row>
        <row r="131">
          <cell r="C131">
            <v>-687820.53</v>
          </cell>
          <cell r="O131">
            <v>-3600</v>
          </cell>
          <cell r="U131" t="str">
            <v>Bilan</v>
          </cell>
          <cell r="V131" t="str">
            <v>Équipements Service</v>
          </cell>
          <cell r="W131" t="str">
            <v>$</v>
          </cell>
          <cell r="X131">
            <v>0</v>
          </cell>
        </row>
        <row r="132">
          <cell r="C132">
            <v>47461.59</v>
          </cell>
          <cell r="O132">
            <v>0</v>
          </cell>
          <cell r="U132" t="str">
            <v>Bilan</v>
          </cell>
          <cell r="V132" t="str">
            <v>Équipements Service</v>
          </cell>
          <cell r="W132" t="str">
            <v>$</v>
          </cell>
          <cell r="X132">
            <v>0</v>
          </cell>
        </row>
        <row r="133">
          <cell r="C133">
            <v>-45517.66</v>
          </cell>
          <cell r="O133">
            <v>-250</v>
          </cell>
          <cell r="U133" t="str">
            <v>Bilan</v>
          </cell>
          <cell r="V133" t="str">
            <v>Équipements Service</v>
          </cell>
          <cell r="W133" t="str">
            <v>$</v>
          </cell>
          <cell r="X133">
            <v>0</v>
          </cell>
        </row>
        <row r="134">
          <cell r="C134">
            <v>155280.23000000001</v>
          </cell>
          <cell r="O134">
            <v>0</v>
          </cell>
          <cell r="U134" t="str">
            <v>Bilan</v>
          </cell>
          <cell r="V134" t="str">
            <v>Équipements Téléphonique</v>
          </cell>
          <cell r="W134" t="str">
            <v>$</v>
          </cell>
          <cell r="X134">
            <v>0</v>
          </cell>
        </row>
        <row r="135">
          <cell r="C135">
            <v>-148917.57</v>
          </cell>
          <cell r="O135">
            <v>-520</v>
          </cell>
          <cell r="U135" t="str">
            <v>Bilan</v>
          </cell>
          <cell r="V135" t="str">
            <v>Équipements Téléphonique</v>
          </cell>
          <cell r="W135" t="str">
            <v>$</v>
          </cell>
          <cell r="X135">
            <v>0</v>
          </cell>
        </row>
        <row r="136">
          <cell r="C136">
            <v>432661.54</v>
          </cell>
          <cell r="O136">
            <v>0</v>
          </cell>
          <cell r="U136" t="str">
            <v>Bilan</v>
          </cell>
          <cell r="V136" t="str">
            <v>Mobilier</v>
          </cell>
          <cell r="W136" t="str">
            <v>$</v>
          </cell>
          <cell r="X136">
            <v>0</v>
          </cell>
        </row>
        <row r="137">
          <cell r="C137">
            <v>-378458.12</v>
          </cell>
          <cell r="O137">
            <v>-1300</v>
          </cell>
          <cell r="U137" t="str">
            <v>Bilan</v>
          </cell>
          <cell r="V137" t="str">
            <v>Mobilier</v>
          </cell>
          <cell r="W137" t="str">
            <v>$</v>
          </cell>
          <cell r="X137">
            <v>0</v>
          </cell>
        </row>
        <row r="138">
          <cell r="C138">
            <v>3987.88</v>
          </cell>
          <cell r="O138">
            <v>0</v>
          </cell>
          <cell r="U138" t="str">
            <v>Bilan</v>
          </cell>
          <cell r="V138" t="str">
            <v>Équipements Service</v>
          </cell>
          <cell r="W138" t="str">
            <v>$</v>
          </cell>
          <cell r="X138">
            <v>0</v>
          </cell>
        </row>
        <row r="139">
          <cell r="C139">
            <v>-3987.88</v>
          </cell>
          <cell r="O139">
            <v>0</v>
          </cell>
          <cell r="U139" t="str">
            <v>Bilan</v>
          </cell>
          <cell r="V139" t="str">
            <v>Équipements Service</v>
          </cell>
          <cell r="W139" t="str">
            <v>$</v>
          </cell>
          <cell r="X139">
            <v>0</v>
          </cell>
        </row>
        <row r="140">
          <cell r="C140">
            <v>259964.9</v>
          </cell>
          <cell r="O140">
            <v>911.59</v>
          </cell>
          <cell r="U140" t="str">
            <v>Bilan</v>
          </cell>
          <cell r="V140" t="str">
            <v>Équipements Informatique</v>
          </cell>
          <cell r="W140" t="str">
            <v>$</v>
          </cell>
          <cell r="X140">
            <v>0</v>
          </cell>
        </row>
        <row r="141">
          <cell r="C141">
            <v>-216039.73</v>
          </cell>
          <cell r="O141">
            <v>-1380</v>
          </cell>
          <cell r="U141" t="str">
            <v>Bilan</v>
          </cell>
          <cell r="V141" t="str">
            <v>Équipements Informatique</v>
          </cell>
          <cell r="W141" t="str">
            <v>$</v>
          </cell>
          <cell r="X141">
            <v>0</v>
          </cell>
        </row>
        <row r="142">
          <cell r="C142">
            <v>119393.66</v>
          </cell>
          <cell r="O142">
            <v>0</v>
          </cell>
          <cell r="U142" t="str">
            <v>Bilan</v>
          </cell>
          <cell r="V142" t="str">
            <v>Enseigne</v>
          </cell>
          <cell r="W142" t="str">
            <v>$</v>
          </cell>
          <cell r="X142">
            <v>0</v>
          </cell>
        </row>
        <row r="143">
          <cell r="C143">
            <v>-115510.48</v>
          </cell>
          <cell r="O143">
            <v>-350</v>
          </cell>
          <cell r="U143" t="str">
            <v>Bilan</v>
          </cell>
          <cell r="V143" t="str">
            <v>Enseigne</v>
          </cell>
          <cell r="W143" t="str">
            <v>$</v>
          </cell>
          <cell r="X143">
            <v>0</v>
          </cell>
        </row>
        <row r="144">
          <cell r="C144">
            <v>1623600</v>
          </cell>
          <cell r="O144">
            <v>0</v>
          </cell>
          <cell r="U144" t="str">
            <v>Bilan</v>
          </cell>
          <cell r="V144" t="str">
            <v>Avances à Recevoir Long Terme</v>
          </cell>
          <cell r="W144" t="str">
            <v>$</v>
          </cell>
          <cell r="X144">
            <v>0</v>
          </cell>
        </row>
        <row r="145">
          <cell r="C145">
            <v>15362.39</v>
          </cell>
          <cell r="O145">
            <v>-12095.72</v>
          </cell>
          <cell r="U145" t="str">
            <v>Bilan</v>
          </cell>
          <cell r="V145" t="str">
            <v>Recevables Autres</v>
          </cell>
          <cell r="W145" t="str">
            <v>$</v>
          </cell>
          <cell r="X145">
            <v>0</v>
          </cell>
        </row>
        <row r="146">
          <cell r="C146">
            <v>-11418677.01</v>
          </cell>
          <cell r="O146">
            <v>830285.05</v>
          </cell>
          <cell r="U146" t="str">
            <v>Bilan</v>
          </cell>
          <cell r="V146" t="str">
            <v>Effet à Payer Véhicules Neufs</v>
          </cell>
          <cell r="W146" t="str">
            <v>$</v>
          </cell>
          <cell r="X146">
            <v>0</v>
          </cell>
        </row>
        <row r="147">
          <cell r="C147">
            <v>-167232.18</v>
          </cell>
          <cell r="O147">
            <v>66061.5</v>
          </cell>
          <cell r="U147" t="str">
            <v>Bilan</v>
          </cell>
          <cell r="V147" t="str">
            <v>Effet à Payer Véhicules Usagés</v>
          </cell>
          <cell r="W147" t="str">
            <v>$</v>
          </cell>
          <cell r="X147">
            <v>0</v>
          </cell>
        </row>
        <row r="148">
          <cell r="C148">
            <v>-15810</v>
          </cell>
          <cell r="O148">
            <v>0</v>
          </cell>
          <cell r="U148" t="str">
            <v>Bilan</v>
          </cell>
          <cell r="V148" t="str">
            <v>Portion Court Terme de la Dette Long Terme</v>
          </cell>
          <cell r="W148" t="str">
            <v>$</v>
          </cell>
          <cell r="X148">
            <v>0</v>
          </cell>
        </row>
        <row r="149">
          <cell r="C149">
            <v>-1431.36</v>
          </cell>
          <cell r="O149">
            <v>1091.4100000000001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-99093.18</v>
          </cell>
          <cell r="O150">
            <v>13723.79</v>
          </cell>
          <cell r="U150" t="str">
            <v>Bilan</v>
          </cell>
          <cell r="V150" t="str">
            <v>Taxes de Vente à Payer</v>
          </cell>
          <cell r="W150" t="str">
            <v>$</v>
          </cell>
          <cell r="X150">
            <v>0</v>
          </cell>
        </row>
        <row r="151">
          <cell r="C151">
            <v>53046.22</v>
          </cell>
          <cell r="O151">
            <v>2502.41</v>
          </cell>
          <cell r="U151" t="str">
            <v>Bilan</v>
          </cell>
          <cell r="V151" t="str">
            <v>Taxes de Vente à Payer</v>
          </cell>
          <cell r="W151" t="str">
            <v>$</v>
          </cell>
          <cell r="X151">
            <v>0</v>
          </cell>
        </row>
        <row r="152">
          <cell r="C152">
            <v>-269308.64</v>
          </cell>
          <cell r="O152">
            <v>-20321.95</v>
          </cell>
          <cell r="U152" t="str">
            <v>Bilan</v>
          </cell>
          <cell r="V152" t="str">
            <v>Taxes de Vente à Payer</v>
          </cell>
          <cell r="W152" t="str">
            <v>$</v>
          </cell>
          <cell r="X152">
            <v>0</v>
          </cell>
        </row>
        <row r="153">
          <cell r="C153">
            <v>297511.40000000002</v>
          </cell>
          <cell r="O153">
            <v>-35953</v>
          </cell>
          <cell r="U153" t="str">
            <v>Bilan</v>
          </cell>
          <cell r="V153" t="str">
            <v>Taxes de Vente à Payer</v>
          </cell>
          <cell r="W153" t="str">
            <v>$</v>
          </cell>
          <cell r="X153">
            <v>0</v>
          </cell>
        </row>
        <row r="154">
          <cell r="C154">
            <v>-1617</v>
          </cell>
          <cell r="O154">
            <v>-120</v>
          </cell>
          <cell r="U154" t="str">
            <v>Bilan</v>
          </cell>
          <cell r="V154" t="str">
            <v>Taxes de Vente à Payer</v>
          </cell>
          <cell r="W154" t="str">
            <v>$</v>
          </cell>
          <cell r="X154">
            <v>0</v>
          </cell>
        </row>
        <row r="155">
          <cell r="C155">
            <v>-110264.91</v>
          </cell>
          <cell r="O155">
            <v>250.96</v>
          </cell>
          <cell r="U155" t="str">
            <v>Bilan</v>
          </cell>
          <cell r="V155" t="str">
            <v>Autres Comptes à Payer</v>
          </cell>
          <cell r="W155" t="str">
            <v>$</v>
          </cell>
          <cell r="X155">
            <v>0</v>
          </cell>
        </row>
        <row r="156">
          <cell r="C156">
            <v>-3910</v>
          </cell>
          <cell r="O156">
            <v>-755.25</v>
          </cell>
          <cell r="U156" t="str">
            <v>Bilan</v>
          </cell>
          <cell r="V156" t="str">
            <v>Autres Comptes à Payer</v>
          </cell>
          <cell r="W156" t="str">
            <v>$</v>
          </cell>
          <cell r="X156">
            <v>0</v>
          </cell>
        </row>
        <row r="157">
          <cell r="C157">
            <v>-91797.48</v>
          </cell>
          <cell r="O157">
            <v>14930.78</v>
          </cell>
          <cell r="U157" t="str">
            <v>Bilan</v>
          </cell>
          <cell r="V157" t="str">
            <v>Autres Comptes à Payer</v>
          </cell>
          <cell r="W157" t="str">
            <v>$</v>
          </cell>
          <cell r="X157">
            <v>0</v>
          </cell>
        </row>
        <row r="158">
          <cell r="C158">
            <v>-16633.2</v>
          </cell>
          <cell r="O158">
            <v>11860.81</v>
          </cell>
          <cell r="U158" t="str">
            <v>Bilan</v>
          </cell>
          <cell r="V158" t="str">
            <v>Autres Comptes à Payer</v>
          </cell>
          <cell r="W158" t="str">
            <v>$</v>
          </cell>
          <cell r="X158">
            <v>0</v>
          </cell>
        </row>
        <row r="159">
          <cell r="C159">
            <v>-374651.05</v>
          </cell>
          <cell r="O159">
            <v>92769.63</v>
          </cell>
          <cell r="U159" t="str">
            <v>Bilan</v>
          </cell>
          <cell r="V159" t="str">
            <v>Comptes à Payer Fournisseurs</v>
          </cell>
          <cell r="W159" t="str">
            <v>$</v>
          </cell>
          <cell r="X159">
            <v>0</v>
          </cell>
        </row>
        <row r="160">
          <cell r="C160">
            <v>-11652.9</v>
          </cell>
          <cell r="O160">
            <v>-14697.12</v>
          </cell>
          <cell r="U160" t="str">
            <v>Bilan</v>
          </cell>
          <cell r="V160" t="str">
            <v>Autres Comptes à Payer</v>
          </cell>
          <cell r="W160" t="str">
            <v>$</v>
          </cell>
          <cell r="X160">
            <v>0</v>
          </cell>
        </row>
        <row r="161">
          <cell r="C161">
            <v>-9068.56</v>
          </cell>
          <cell r="O161">
            <v>1037.4000000000001</v>
          </cell>
          <cell r="U161" t="str">
            <v>Bilan</v>
          </cell>
          <cell r="V161" t="str">
            <v>Autres Courus</v>
          </cell>
          <cell r="W161" t="str">
            <v>$</v>
          </cell>
          <cell r="X161">
            <v>0</v>
          </cell>
        </row>
        <row r="162">
          <cell r="C162">
            <v>-30.06</v>
          </cell>
          <cell r="O162">
            <v>-10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-18450</v>
          </cell>
          <cell r="O163">
            <v>-4750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7223.05</v>
          </cell>
          <cell r="O164">
            <v>-3421.15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2337.39</v>
          </cell>
          <cell r="O165">
            <v>172.37</v>
          </cell>
          <cell r="U165" t="str">
            <v>Bilan</v>
          </cell>
          <cell r="V165" t="str">
            <v>DAS à Payer</v>
          </cell>
          <cell r="W165" t="str">
            <v>$</v>
          </cell>
          <cell r="X165">
            <v>0</v>
          </cell>
        </row>
        <row r="166">
          <cell r="C166">
            <v>-24692.99</v>
          </cell>
          <cell r="O166">
            <v>-7141.59</v>
          </cell>
          <cell r="U166" t="str">
            <v>Bilan</v>
          </cell>
          <cell r="V166" t="str">
            <v>DAS à Payer</v>
          </cell>
          <cell r="W166" t="str">
            <v>$</v>
          </cell>
          <cell r="X166">
            <v>0</v>
          </cell>
        </row>
        <row r="167">
          <cell r="C167">
            <v>-838.5</v>
          </cell>
          <cell r="O167">
            <v>-169.94</v>
          </cell>
          <cell r="U167" t="str">
            <v>Bilan</v>
          </cell>
          <cell r="V167" t="str">
            <v>DAS à Payer</v>
          </cell>
          <cell r="W167" t="str">
            <v>$</v>
          </cell>
          <cell r="X167">
            <v>0</v>
          </cell>
        </row>
        <row r="168">
          <cell r="C168">
            <v>-305</v>
          </cell>
          <cell r="O168">
            <v>-384.5</v>
          </cell>
          <cell r="U168" t="str">
            <v>Bilan</v>
          </cell>
          <cell r="V168" t="str">
            <v>DAS à Payer</v>
          </cell>
          <cell r="W168" t="str">
            <v>$</v>
          </cell>
          <cell r="X168">
            <v>0</v>
          </cell>
        </row>
        <row r="169">
          <cell r="C169">
            <v>-29600</v>
          </cell>
          <cell r="O169">
            <v>11750</v>
          </cell>
          <cell r="U169" t="str">
            <v>Bilan</v>
          </cell>
          <cell r="V169" t="str">
            <v>Dépôts de Client</v>
          </cell>
          <cell r="W169" t="str">
            <v>$</v>
          </cell>
          <cell r="X169">
            <v>0</v>
          </cell>
        </row>
        <row r="170">
          <cell r="C170">
            <v>-12962.72</v>
          </cell>
          <cell r="O170">
            <v>6155.59</v>
          </cell>
          <cell r="U170" t="str">
            <v>Bilan</v>
          </cell>
          <cell r="V170" t="str">
            <v>Salaires à Payer</v>
          </cell>
          <cell r="W170" t="str">
            <v>$</v>
          </cell>
          <cell r="X170">
            <v>0</v>
          </cell>
        </row>
        <row r="171">
          <cell r="C171">
            <v>-81885.2</v>
          </cell>
          <cell r="O171">
            <v>33803.760000000002</v>
          </cell>
          <cell r="U171" t="str">
            <v>Bilan</v>
          </cell>
          <cell r="V171" t="str">
            <v>Salaires à Payer</v>
          </cell>
          <cell r="W171" t="str">
            <v>$</v>
          </cell>
          <cell r="X171">
            <v>0</v>
          </cell>
        </row>
        <row r="172">
          <cell r="C172">
            <v>-20791.91</v>
          </cell>
          <cell r="O172">
            <v>-12520.26</v>
          </cell>
          <cell r="U172" t="str">
            <v>Bilan</v>
          </cell>
          <cell r="V172" t="str">
            <v>Salaires à Payer</v>
          </cell>
          <cell r="W172" t="str">
            <v>$</v>
          </cell>
          <cell r="X172">
            <v>0</v>
          </cell>
        </row>
        <row r="173">
          <cell r="C173">
            <v>-170693.54</v>
          </cell>
          <cell r="O173">
            <v>1467.44</v>
          </cell>
          <cell r="U173" t="str">
            <v>Bilan</v>
          </cell>
          <cell r="V173" t="str">
            <v>Salaires à Payer</v>
          </cell>
          <cell r="W173" t="str">
            <v>$</v>
          </cell>
          <cell r="X173">
            <v>0</v>
          </cell>
        </row>
        <row r="174">
          <cell r="C174">
            <v>12297.35</v>
          </cell>
          <cell r="O174">
            <v>721.18</v>
          </cell>
          <cell r="U174" t="str">
            <v>Bilan</v>
          </cell>
          <cell r="V174" t="str">
            <v>Salaires à Payer</v>
          </cell>
          <cell r="W174" t="str">
            <v>$</v>
          </cell>
          <cell r="X174">
            <v>0</v>
          </cell>
        </row>
        <row r="175">
          <cell r="C175">
            <v>-51091.75</v>
          </cell>
          <cell r="O175">
            <v>1317.5</v>
          </cell>
          <cell r="U175" t="str">
            <v>Bilan</v>
          </cell>
          <cell r="V175" t="str">
            <v>Dette à Long Terme</v>
          </cell>
          <cell r="W175" t="str">
            <v>$</v>
          </cell>
          <cell r="X175">
            <v>0</v>
          </cell>
        </row>
        <row r="176">
          <cell r="C176">
            <v>-21578.78</v>
          </cell>
          <cell r="O176">
            <v>0</v>
          </cell>
          <cell r="U176" t="str">
            <v>Bilan</v>
          </cell>
          <cell r="V176" t="str">
            <v>Autres Courus</v>
          </cell>
          <cell r="W176" t="str">
            <v>$</v>
          </cell>
          <cell r="X176">
            <v>0</v>
          </cell>
        </row>
        <row r="177">
          <cell r="C177">
            <v>-2350000</v>
          </cell>
          <cell r="O177">
            <v>0</v>
          </cell>
          <cell r="U177" t="str">
            <v>Bilan</v>
          </cell>
          <cell r="V177" t="str">
            <v>Capital Actions</v>
          </cell>
          <cell r="W177" t="str">
            <v>$</v>
          </cell>
          <cell r="X177">
            <v>0</v>
          </cell>
        </row>
        <row r="178">
          <cell r="C178">
            <v>-1846000</v>
          </cell>
          <cell r="O178">
            <v>0</v>
          </cell>
          <cell r="U178" t="str">
            <v>Bilan</v>
          </cell>
          <cell r="V178" t="str">
            <v>Apport</v>
          </cell>
          <cell r="W178" t="str">
            <v>$</v>
          </cell>
          <cell r="X178">
            <v>0</v>
          </cell>
        </row>
        <row r="179">
          <cell r="C179">
            <v>-347547.5</v>
          </cell>
          <cell r="O179">
            <v>0</v>
          </cell>
          <cell r="U179" t="str">
            <v>Bilan</v>
          </cell>
          <cell r="V179" t="str">
            <v>Capital Actions</v>
          </cell>
          <cell r="W179">
            <v>0</v>
          </cell>
          <cell r="X179">
            <v>0</v>
          </cell>
        </row>
        <row r="180">
          <cell r="C180">
            <v>-231711.86</v>
          </cell>
          <cell r="O180">
            <v>0</v>
          </cell>
          <cell r="U180" t="str">
            <v>Bilan</v>
          </cell>
          <cell r="V180" t="str">
            <v>Bénéfices non répartis</v>
          </cell>
          <cell r="W180" t="str">
            <v>$</v>
          </cell>
          <cell r="X180">
            <v>0</v>
          </cell>
        </row>
        <row r="181">
          <cell r="C181">
            <v>-347221.7</v>
          </cell>
          <cell r="O181">
            <v>-77852.77</v>
          </cell>
          <cell r="U181" t="str">
            <v>Véhicules neufs</v>
          </cell>
          <cell r="V181" t="str">
            <v>Rachat bail</v>
          </cell>
          <cell r="W181" t="str">
            <v>$</v>
          </cell>
          <cell r="X181" t="str">
            <v>Oui</v>
          </cell>
        </row>
        <row r="182">
          <cell r="O182">
            <v>-5</v>
          </cell>
          <cell r="U182" t="str">
            <v>Véhicules neufs</v>
          </cell>
          <cell r="V182" t="str">
            <v>Rachat bail</v>
          </cell>
          <cell r="W182" t="str">
            <v>NB</v>
          </cell>
          <cell r="X182">
            <v>0</v>
          </cell>
        </row>
        <row r="183">
          <cell r="C183">
            <v>-388502.67</v>
          </cell>
          <cell r="O183">
            <v>-84594.08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O184">
            <v>-3</v>
          </cell>
          <cell r="U184" t="str">
            <v>Véhicules neufs</v>
          </cell>
          <cell r="V184" t="str">
            <v>Autos détail</v>
          </cell>
          <cell r="W184" t="str">
            <v>NB</v>
          </cell>
          <cell r="X184">
            <v>0</v>
          </cell>
        </row>
        <row r="185">
          <cell r="C185">
            <v>-115489.95</v>
          </cell>
          <cell r="O185">
            <v>0</v>
          </cell>
          <cell r="U185" t="str">
            <v>Véhicules neufs</v>
          </cell>
          <cell r="V185" t="str">
            <v>Autos détail</v>
          </cell>
          <cell r="W185" t="str">
            <v>$</v>
          </cell>
          <cell r="X185" t="str">
            <v>Oui</v>
          </cell>
        </row>
        <row r="186">
          <cell r="O186">
            <v>0</v>
          </cell>
          <cell r="U186" t="str">
            <v>Véhicules neufs</v>
          </cell>
          <cell r="V186" t="str">
            <v>Autos détail</v>
          </cell>
          <cell r="W186" t="str">
            <v>NB</v>
          </cell>
          <cell r="X186">
            <v>0</v>
          </cell>
        </row>
        <row r="187">
          <cell r="C187">
            <v>-784122.01</v>
          </cell>
          <cell r="O187">
            <v>-288360.67</v>
          </cell>
          <cell r="U187" t="str">
            <v>Véhicules neufs</v>
          </cell>
          <cell r="V187" t="str">
            <v>Autos détail</v>
          </cell>
          <cell r="W187" t="str">
            <v>$</v>
          </cell>
          <cell r="X187" t="str">
            <v>Oui</v>
          </cell>
        </row>
        <row r="188">
          <cell r="O188">
            <v>-12</v>
          </cell>
          <cell r="U188" t="str">
            <v>Véhicules neufs</v>
          </cell>
          <cell r="V188" t="str">
            <v>Autos détail</v>
          </cell>
          <cell r="W188" t="str">
            <v>NB</v>
          </cell>
          <cell r="X188">
            <v>0</v>
          </cell>
        </row>
        <row r="189">
          <cell r="C189">
            <v>-438474.2</v>
          </cell>
          <cell r="O189">
            <v>-226940.65</v>
          </cell>
          <cell r="U189" t="str">
            <v>Véhicules neufs</v>
          </cell>
          <cell r="V189" t="str">
            <v>Autos détail</v>
          </cell>
          <cell r="W189" t="str">
            <v>$</v>
          </cell>
          <cell r="X189" t="str">
            <v>Oui</v>
          </cell>
        </row>
        <row r="190">
          <cell r="O190">
            <v>-5</v>
          </cell>
          <cell r="U190" t="str">
            <v>Véhicules neufs</v>
          </cell>
          <cell r="V190" t="str">
            <v>Autos détail</v>
          </cell>
          <cell r="W190" t="str">
            <v>NB</v>
          </cell>
          <cell r="X190">
            <v>0</v>
          </cell>
        </row>
        <row r="191">
          <cell r="C191">
            <v>-1885362.49</v>
          </cell>
          <cell r="O191">
            <v>-556624.34</v>
          </cell>
          <cell r="U191" t="str">
            <v>Véhicules neufs</v>
          </cell>
          <cell r="V191" t="str">
            <v>Autos détail</v>
          </cell>
          <cell r="W191" t="str">
            <v>$</v>
          </cell>
          <cell r="X191" t="str">
            <v>Oui</v>
          </cell>
        </row>
        <row r="192">
          <cell r="O192">
            <v>-20</v>
          </cell>
          <cell r="U192" t="str">
            <v>Véhicules neufs</v>
          </cell>
          <cell r="V192" t="str">
            <v>Autos détail</v>
          </cell>
          <cell r="W192" t="str">
            <v>NB</v>
          </cell>
          <cell r="X192">
            <v>0</v>
          </cell>
        </row>
        <row r="193">
          <cell r="C193">
            <v>-599998.17000000004</v>
          </cell>
          <cell r="O193">
            <v>-219413.54</v>
          </cell>
          <cell r="U193" t="str">
            <v>Véhicules neufs</v>
          </cell>
          <cell r="V193" t="str">
            <v>Autos détail</v>
          </cell>
          <cell r="W193" t="str">
            <v>$</v>
          </cell>
          <cell r="X193" t="str">
            <v>Oui</v>
          </cell>
        </row>
        <row r="194">
          <cell r="O194">
            <v>-7</v>
          </cell>
          <cell r="U194" t="str">
            <v>Véhicules neufs</v>
          </cell>
          <cell r="V194" t="str">
            <v>Autos détail</v>
          </cell>
          <cell r="W194" t="str">
            <v>NB</v>
          </cell>
          <cell r="X194">
            <v>0</v>
          </cell>
        </row>
        <row r="195">
          <cell r="C195">
            <v>-37395.17</v>
          </cell>
          <cell r="O195">
            <v>0</v>
          </cell>
          <cell r="U195" t="str">
            <v>Véhicules neufs</v>
          </cell>
          <cell r="V195" t="str">
            <v>Autos détail</v>
          </cell>
          <cell r="W195" t="str">
            <v>$</v>
          </cell>
          <cell r="X195" t="str">
            <v>Oui</v>
          </cell>
        </row>
        <row r="196">
          <cell r="O196">
            <v>0</v>
          </cell>
          <cell r="U196" t="str">
            <v>Véhicules neufs</v>
          </cell>
          <cell r="V196" t="str">
            <v>Autos détail</v>
          </cell>
          <cell r="W196" t="str">
            <v>NB</v>
          </cell>
          <cell r="X196">
            <v>0</v>
          </cell>
        </row>
        <row r="197">
          <cell r="C197">
            <v>-1155507.29</v>
          </cell>
          <cell r="O197">
            <v>-165916.98000000001</v>
          </cell>
          <cell r="U197" t="str">
            <v>Véhicules neufs</v>
          </cell>
          <cell r="V197" t="str">
            <v>Camions détail</v>
          </cell>
          <cell r="W197" t="str">
            <v>$</v>
          </cell>
          <cell r="X197" t="str">
            <v>Oui</v>
          </cell>
        </row>
        <row r="198">
          <cell r="O198">
            <v>-3</v>
          </cell>
          <cell r="U198" t="str">
            <v>Véhicules neufs</v>
          </cell>
          <cell r="V198" t="str">
            <v>Camions détail</v>
          </cell>
          <cell r="W198" t="str">
            <v>NB</v>
          </cell>
          <cell r="X198">
            <v>0</v>
          </cell>
        </row>
        <row r="199">
          <cell r="C199">
            <v>-221150</v>
          </cell>
          <cell r="O199">
            <v>-180063.14</v>
          </cell>
          <cell r="U199" t="str">
            <v>Véhicules neufs</v>
          </cell>
          <cell r="V199" t="str">
            <v>Autos détail</v>
          </cell>
          <cell r="W199" t="str">
            <v>$</v>
          </cell>
          <cell r="X199" t="str">
            <v>Oui</v>
          </cell>
        </row>
        <row r="200">
          <cell r="O200">
            <v>-5</v>
          </cell>
          <cell r="U200" t="str">
            <v>Véhicules neufs</v>
          </cell>
          <cell r="V200" t="str">
            <v>Autos détail</v>
          </cell>
          <cell r="W200" t="str">
            <v>NB</v>
          </cell>
          <cell r="X200">
            <v>0</v>
          </cell>
        </row>
        <row r="201">
          <cell r="C201">
            <v>-3479998.33</v>
          </cell>
          <cell r="O201">
            <v>-738077.08</v>
          </cell>
          <cell r="U201" t="str">
            <v>Véhicules neufs</v>
          </cell>
          <cell r="V201" t="str">
            <v>Camions détail</v>
          </cell>
          <cell r="W201" t="str">
            <v>$</v>
          </cell>
          <cell r="X201" t="str">
            <v>Oui</v>
          </cell>
        </row>
        <row r="202">
          <cell r="O202">
            <v>-20</v>
          </cell>
          <cell r="U202" t="str">
            <v>Véhicules neufs</v>
          </cell>
          <cell r="V202" t="str">
            <v>Camions détail</v>
          </cell>
          <cell r="W202" t="str">
            <v>NB</v>
          </cell>
          <cell r="X202">
            <v>0</v>
          </cell>
        </row>
        <row r="203">
          <cell r="C203">
            <v>-410337.2</v>
          </cell>
          <cell r="O203">
            <v>-92199.039999999994</v>
          </cell>
          <cell r="U203" t="str">
            <v>Véhicules neufs</v>
          </cell>
          <cell r="V203" t="str">
            <v>Autos détail</v>
          </cell>
          <cell r="W203" t="str">
            <v>$</v>
          </cell>
          <cell r="X203" t="str">
            <v>Oui</v>
          </cell>
        </row>
        <row r="204">
          <cell r="O204">
            <v>-2</v>
          </cell>
          <cell r="U204" t="str">
            <v>Véhicules neufs</v>
          </cell>
          <cell r="V204" t="str">
            <v>Autos détail</v>
          </cell>
          <cell r="W204" t="str">
            <v>NB</v>
          </cell>
          <cell r="X204">
            <v>0</v>
          </cell>
        </row>
        <row r="205">
          <cell r="C205">
            <v>0</v>
          </cell>
          <cell r="O205">
            <v>-137409.32999999999</v>
          </cell>
          <cell r="U205" t="str">
            <v>Véhicules neufs</v>
          </cell>
          <cell r="V205" t="str">
            <v>Flottes</v>
          </cell>
          <cell r="W205" t="str">
            <v>$</v>
          </cell>
          <cell r="X205" t="str">
            <v>Oui</v>
          </cell>
        </row>
        <row r="206">
          <cell r="O206">
            <v>-3</v>
          </cell>
          <cell r="U206" t="str">
            <v>Véhicules neufs</v>
          </cell>
          <cell r="V206" t="str">
            <v>Flottes</v>
          </cell>
          <cell r="W206" t="str">
            <v>NB</v>
          </cell>
          <cell r="X206">
            <v>0</v>
          </cell>
        </row>
        <row r="207">
          <cell r="C207">
            <v>0</v>
          </cell>
          <cell r="O207">
            <v>-394747.6</v>
          </cell>
          <cell r="U207" t="str">
            <v>Véhicules neufs</v>
          </cell>
          <cell r="V207" t="str">
            <v>Ex-Démos et courtoisies</v>
          </cell>
          <cell r="W207" t="str">
            <v>$</v>
          </cell>
          <cell r="X207" t="str">
            <v>Oui</v>
          </cell>
        </row>
        <row r="208">
          <cell r="O208">
            <v>-11</v>
          </cell>
          <cell r="U208" t="str">
            <v>Véhicules neufs</v>
          </cell>
          <cell r="V208" t="str">
            <v>Ex-Démos et courtoisies</v>
          </cell>
          <cell r="W208" t="str">
            <v>NB</v>
          </cell>
          <cell r="X208">
            <v>0</v>
          </cell>
        </row>
        <row r="209">
          <cell r="C209">
            <v>-1700451.42</v>
          </cell>
          <cell r="O209">
            <v>-604474.09</v>
          </cell>
          <cell r="U209" t="str">
            <v>Véhicules usagés</v>
          </cell>
          <cell r="V209" t="str">
            <v>Non Certifié</v>
          </cell>
          <cell r="W209" t="str">
            <v>$</v>
          </cell>
          <cell r="X209" t="str">
            <v>Oui</v>
          </cell>
        </row>
        <row r="210">
          <cell r="O210">
            <v>-33</v>
          </cell>
          <cell r="U210" t="str">
            <v>Véhicules usagés</v>
          </cell>
          <cell r="V210" t="str">
            <v>Non Certifié</v>
          </cell>
          <cell r="W210" t="str">
            <v>NB</v>
          </cell>
          <cell r="X210">
            <v>0</v>
          </cell>
        </row>
        <row r="211">
          <cell r="C211">
            <v>-445088.09</v>
          </cell>
          <cell r="O211">
            <v>-125567</v>
          </cell>
          <cell r="U211" t="str">
            <v>Véhicules usagés</v>
          </cell>
          <cell r="V211" t="str">
            <v>Non Certifié</v>
          </cell>
          <cell r="W211" t="str">
            <v>$</v>
          </cell>
          <cell r="X211" t="str">
            <v>Oui</v>
          </cell>
        </row>
        <row r="212">
          <cell r="O212">
            <v>-5</v>
          </cell>
          <cell r="U212" t="str">
            <v>Véhicules usagés</v>
          </cell>
          <cell r="V212" t="str">
            <v>Non Certifié</v>
          </cell>
          <cell r="W212" t="str">
            <v>NB</v>
          </cell>
          <cell r="X212">
            <v>0</v>
          </cell>
        </row>
        <row r="213">
          <cell r="C213">
            <v>-655883</v>
          </cell>
          <cell r="O213">
            <v>-391250.5</v>
          </cell>
          <cell r="U213" t="str">
            <v>Véhicules usagés</v>
          </cell>
          <cell r="V213" t="str">
            <v>Ventes au Gros</v>
          </cell>
          <cell r="W213" t="str">
            <v>$</v>
          </cell>
          <cell r="X213" t="str">
            <v>Oui</v>
          </cell>
        </row>
        <row r="214">
          <cell r="O214">
            <v>-35</v>
          </cell>
          <cell r="U214" t="str">
            <v>Véhicules usagés</v>
          </cell>
          <cell r="V214" t="str">
            <v>Ventes au Gros</v>
          </cell>
          <cell r="W214" t="str">
            <v>NB</v>
          </cell>
          <cell r="X214">
            <v>0</v>
          </cell>
        </row>
        <row r="215">
          <cell r="C215">
            <v>-392295.16</v>
          </cell>
          <cell r="O215">
            <v>-147912.38</v>
          </cell>
          <cell r="U215" t="str">
            <v>Service</v>
          </cell>
          <cell r="V215" t="str">
            <v>M/O Client</v>
          </cell>
          <cell r="W215" t="str">
            <v>$</v>
          </cell>
          <cell r="X215" t="str">
            <v>Oui</v>
          </cell>
        </row>
        <row r="216">
          <cell r="O216">
            <v>-654</v>
          </cell>
          <cell r="U216" t="str">
            <v>Service</v>
          </cell>
          <cell r="V216" t="str">
            <v>M/O Client</v>
          </cell>
          <cell r="W216" t="str">
            <v>NB</v>
          </cell>
          <cell r="X216">
            <v>0</v>
          </cell>
        </row>
        <row r="217">
          <cell r="C217">
            <v>-447.17</v>
          </cell>
          <cell r="O217">
            <v>-0.01</v>
          </cell>
          <cell r="U217" t="str">
            <v>Service</v>
          </cell>
          <cell r="V217" t="str">
            <v>M/O Esthétique</v>
          </cell>
          <cell r="W217" t="str">
            <v>$</v>
          </cell>
          <cell r="X217" t="str">
            <v>Oui</v>
          </cell>
        </row>
        <row r="218">
          <cell r="C218">
            <v>-247643.83</v>
          </cell>
          <cell r="O218">
            <v>-93955.59</v>
          </cell>
          <cell r="U218" t="str">
            <v>Service</v>
          </cell>
          <cell r="V218" t="str">
            <v>M/O Garantie</v>
          </cell>
          <cell r="W218" t="str">
            <v>$</v>
          </cell>
          <cell r="X218" t="str">
            <v>Oui</v>
          </cell>
        </row>
        <row r="219">
          <cell r="O219">
            <v>-467</v>
          </cell>
          <cell r="U219" t="str">
            <v>Service</v>
          </cell>
          <cell r="V219" t="str">
            <v>M/O Garantie</v>
          </cell>
          <cell r="W219" t="str">
            <v>NB</v>
          </cell>
          <cell r="X219">
            <v>0</v>
          </cell>
        </row>
        <row r="220">
          <cell r="C220">
            <v>-156894.57</v>
          </cell>
          <cell r="O220">
            <v>-49785.77</v>
          </cell>
          <cell r="U220" t="str">
            <v>Service</v>
          </cell>
          <cell r="V220" t="str">
            <v>M/O Interne</v>
          </cell>
          <cell r="W220" t="str">
            <v>$</v>
          </cell>
          <cell r="X220" t="str">
            <v>Oui</v>
          </cell>
        </row>
        <row r="221">
          <cell r="O221">
            <v>-262</v>
          </cell>
          <cell r="U221" t="str">
            <v>Service</v>
          </cell>
          <cell r="V221" t="str">
            <v>M/O Interne</v>
          </cell>
          <cell r="W221" t="str">
            <v>NB</v>
          </cell>
          <cell r="X221">
            <v>0</v>
          </cell>
        </row>
        <row r="222">
          <cell r="C222">
            <v>-62323.08</v>
          </cell>
          <cell r="O222">
            <v>-22194.99</v>
          </cell>
          <cell r="U222" t="str">
            <v>Pièces</v>
          </cell>
          <cell r="V222" t="str">
            <v>Huiles et Graisse</v>
          </cell>
          <cell r="W222" t="str">
            <v>$</v>
          </cell>
          <cell r="X222" t="str">
            <v>Oui</v>
          </cell>
        </row>
        <row r="223">
          <cell r="O223">
            <v>-375</v>
          </cell>
          <cell r="U223" t="str">
            <v>Pièces</v>
          </cell>
          <cell r="V223" t="str">
            <v>Huiles et Graisse</v>
          </cell>
          <cell r="W223" t="str">
            <v>NB</v>
          </cell>
          <cell r="X223">
            <v>0</v>
          </cell>
        </row>
        <row r="224">
          <cell r="C224">
            <v>-18950.16</v>
          </cell>
          <cell r="O224">
            <v>-8125.29</v>
          </cell>
          <cell r="U224" t="str">
            <v>Service</v>
          </cell>
          <cell r="V224" t="str">
            <v>Sous-traitement</v>
          </cell>
          <cell r="W224" t="str">
            <v>$</v>
          </cell>
          <cell r="X224" t="str">
            <v>Oui</v>
          </cell>
        </row>
        <row r="225">
          <cell r="O225">
            <v>-56</v>
          </cell>
          <cell r="U225" t="str">
            <v>Service</v>
          </cell>
          <cell r="V225" t="str">
            <v>Sous-traitement</v>
          </cell>
          <cell r="W225" t="str">
            <v>NB</v>
          </cell>
          <cell r="X225">
            <v>0</v>
          </cell>
        </row>
        <row r="226">
          <cell r="C226">
            <v>-2664.56</v>
          </cell>
          <cell r="O226">
            <v>-455</v>
          </cell>
          <cell r="U226" t="str">
            <v>Service</v>
          </cell>
          <cell r="V226" t="str">
            <v>Sous-traitement</v>
          </cell>
          <cell r="W226" t="str">
            <v>$</v>
          </cell>
          <cell r="X226" t="str">
            <v>Oui</v>
          </cell>
        </row>
        <row r="227">
          <cell r="O227">
            <v>-3</v>
          </cell>
          <cell r="U227" t="str">
            <v>Service</v>
          </cell>
          <cell r="V227" t="str">
            <v>Sous-traitement</v>
          </cell>
          <cell r="W227" t="str">
            <v>NB</v>
          </cell>
          <cell r="X227">
            <v>0</v>
          </cell>
        </row>
        <row r="228">
          <cell r="C228">
            <v>-109515.75</v>
          </cell>
          <cell r="O228">
            <v>-43569.77</v>
          </cell>
          <cell r="U228" t="str">
            <v>Service</v>
          </cell>
          <cell r="V228" t="str">
            <v>Sous-traitement</v>
          </cell>
          <cell r="W228" t="str">
            <v>$</v>
          </cell>
          <cell r="X228" t="str">
            <v>Oui</v>
          </cell>
        </row>
        <row r="229">
          <cell r="O229">
            <v>-236</v>
          </cell>
          <cell r="U229" t="str">
            <v>Service</v>
          </cell>
          <cell r="V229" t="str">
            <v>Sous-traitement</v>
          </cell>
          <cell r="W229" t="str">
            <v>NB</v>
          </cell>
          <cell r="X229">
            <v>0</v>
          </cell>
        </row>
        <row r="230">
          <cell r="C230">
            <v>-192233.72</v>
          </cell>
          <cell r="O230">
            <v>-49674.19</v>
          </cell>
          <cell r="U230" t="str">
            <v>Carrosserie</v>
          </cell>
          <cell r="V230" t="str">
            <v>M/O Sous-traitement</v>
          </cell>
          <cell r="W230" t="str">
            <v>$</v>
          </cell>
          <cell r="X230" t="str">
            <v>Oui</v>
          </cell>
        </row>
        <row r="231">
          <cell r="O231">
            <v>-43</v>
          </cell>
          <cell r="U231" t="str">
            <v>Carrosserie</v>
          </cell>
          <cell r="V231" t="str">
            <v>M/O Sous-traitement</v>
          </cell>
          <cell r="W231" t="str">
            <v>NB</v>
          </cell>
          <cell r="X231">
            <v>0</v>
          </cell>
        </row>
        <row r="232">
          <cell r="C232">
            <v>-200926.58</v>
          </cell>
          <cell r="O232">
            <v>-63304.4</v>
          </cell>
          <cell r="U232" t="str">
            <v>Carrosserie</v>
          </cell>
          <cell r="V232" t="str">
            <v>M/O Sous-traitement</v>
          </cell>
          <cell r="W232" t="str">
            <v>$</v>
          </cell>
          <cell r="X232" t="str">
            <v>Oui</v>
          </cell>
        </row>
        <row r="233">
          <cell r="O233">
            <v>-41</v>
          </cell>
          <cell r="U233" t="str">
            <v>Carrosserie</v>
          </cell>
          <cell r="V233" t="str">
            <v>M/O Sous-traitement</v>
          </cell>
          <cell r="W233" t="str">
            <v>NB</v>
          </cell>
          <cell r="X233">
            <v>0</v>
          </cell>
        </row>
        <row r="234">
          <cell r="C234">
            <v>-31658.19</v>
          </cell>
          <cell r="O234">
            <v>-16217.25</v>
          </cell>
          <cell r="U234" t="str">
            <v>Carrosserie</v>
          </cell>
          <cell r="V234" t="str">
            <v>M/O Sous-traitement</v>
          </cell>
          <cell r="W234" t="str">
            <v>$</v>
          </cell>
          <cell r="X234" t="str">
            <v>Oui</v>
          </cell>
        </row>
        <row r="235">
          <cell r="O235">
            <v>-28</v>
          </cell>
          <cell r="U235" t="str">
            <v>Carrosserie</v>
          </cell>
          <cell r="V235" t="str">
            <v>M/O Sous-traitement</v>
          </cell>
          <cell r="W235" t="str">
            <v>NB</v>
          </cell>
          <cell r="X235">
            <v>0</v>
          </cell>
        </row>
        <row r="236">
          <cell r="C236">
            <v>-235325.43</v>
          </cell>
          <cell r="O236">
            <v>-60327.57</v>
          </cell>
          <cell r="U236" t="str">
            <v>Pièces</v>
          </cell>
          <cell r="V236" t="str">
            <v>Pièces Ro Clients</v>
          </cell>
          <cell r="W236" t="str">
            <v>$</v>
          </cell>
          <cell r="X236" t="str">
            <v>Oui</v>
          </cell>
        </row>
        <row r="237">
          <cell r="O237">
            <v>-638</v>
          </cell>
          <cell r="U237" t="str">
            <v>Pièces</v>
          </cell>
          <cell r="V237" t="str">
            <v>Pièces Ro Clients</v>
          </cell>
          <cell r="W237" t="str">
            <v>NB</v>
          </cell>
          <cell r="X237">
            <v>0</v>
          </cell>
        </row>
        <row r="238">
          <cell r="C238">
            <v>-299159.24</v>
          </cell>
          <cell r="O238">
            <v>-111735.39</v>
          </cell>
          <cell r="U238" t="str">
            <v>Pièces</v>
          </cell>
          <cell r="V238" t="str">
            <v>P/A Garantie</v>
          </cell>
          <cell r="W238" t="str">
            <v>$</v>
          </cell>
          <cell r="X238" t="str">
            <v>Oui</v>
          </cell>
        </row>
        <row r="239">
          <cell r="O239">
            <v>-379</v>
          </cell>
          <cell r="U239" t="str">
            <v>Pièces</v>
          </cell>
          <cell r="V239" t="str">
            <v>P/A Garantie</v>
          </cell>
          <cell r="W239" t="str">
            <v>NB</v>
          </cell>
          <cell r="X239">
            <v>0</v>
          </cell>
        </row>
        <row r="240">
          <cell r="C240">
            <v>-139266.35</v>
          </cell>
          <cell r="O240">
            <v>-52427.38</v>
          </cell>
          <cell r="U240" t="str">
            <v>Pièces</v>
          </cell>
          <cell r="V240" t="str">
            <v>Ventes Internes</v>
          </cell>
          <cell r="W240" t="str">
            <v>$</v>
          </cell>
          <cell r="X240" t="str">
            <v>Oui</v>
          </cell>
        </row>
        <row r="241">
          <cell r="O241">
            <v>-325</v>
          </cell>
          <cell r="U241" t="str">
            <v>Pièces</v>
          </cell>
          <cell r="V241" t="str">
            <v>Ventes Internes</v>
          </cell>
          <cell r="W241" t="str">
            <v>NB</v>
          </cell>
          <cell r="X241">
            <v>0</v>
          </cell>
        </row>
        <row r="242">
          <cell r="C242">
            <v>-13296.61</v>
          </cell>
          <cell r="O242">
            <v>-3775.24</v>
          </cell>
          <cell r="U242" t="str">
            <v>Pièces</v>
          </cell>
          <cell r="V242" t="str">
            <v>Pièces Ro Clients</v>
          </cell>
          <cell r="W242" t="str">
            <v>$</v>
          </cell>
          <cell r="X242" t="str">
            <v>Oui</v>
          </cell>
        </row>
        <row r="243">
          <cell r="O243">
            <v>-64</v>
          </cell>
          <cell r="U243" t="str">
            <v>Pièces</v>
          </cell>
          <cell r="V243" t="str">
            <v>Pièces Ro Clients</v>
          </cell>
          <cell r="W243" t="str">
            <v>NB</v>
          </cell>
          <cell r="X243">
            <v>0</v>
          </cell>
        </row>
        <row r="244">
          <cell r="C244">
            <v>-28861.34</v>
          </cell>
          <cell r="O244">
            <v>-7241.48</v>
          </cell>
          <cell r="U244" t="str">
            <v>Pièces</v>
          </cell>
          <cell r="V244" t="str">
            <v>Pièces Ro Clients</v>
          </cell>
          <cell r="W244" t="str">
            <v>$</v>
          </cell>
          <cell r="X244" t="str">
            <v>Oui</v>
          </cell>
        </row>
        <row r="245">
          <cell r="O245">
            <v>-18</v>
          </cell>
          <cell r="U245" t="str">
            <v>Pièces</v>
          </cell>
          <cell r="V245" t="str">
            <v>Pièces Ro Clients</v>
          </cell>
          <cell r="W245" t="str">
            <v>NB</v>
          </cell>
          <cell r="X245">
            <v>0</v>
          </cell>
        </row>
        <row r="246">
          <cell r="C246">
            <v>-87916.26</v>
          </cell>
          <cell r="O246">
            <v>-16644.04</v>
          </cell>
          <cell r="U246" t="str">
            <v>Pièces</v>
          </cell>
          <cell r="V246" t="str">
            <v>Pièces Ro Carrosserie</v>
          </cell>
          <cell r="W246" t="str">
            <v>$</v>
          </cell>
          <cell r="X246" t="str">
            <v>Oui</v>
          </cell>
        </row>
        <row r="247">
          <cell r="O247">
            <v>-23</v>
          </cell>
          <cell r="U247" t="str">
            <v>Pièces</v>
          </cell>
          <cell r="V247" t="str">
            <v>Pièces Ro Carrosserie</v>
          </cell>
          <cell r="W247" t="str">
            <v>NB</v>
          </cell>
          <cell r="X247">
            <v>0</v>
          </cell>
        </row>
        <row r="248">
          <cell r="C248">
            <v>-166124.04999999999</v>
          </cell>
          <cell r="O248">
            <v>-42685.29</v>
          </cell>
          <cell r="U248" t="str">
            <v>Pièces</v>
          </cell>
          <cell r="V248" t="str">
            <v>Pièces Ro Carrosserie</v>
          </cell>
          <cell r="W248" t="str">
            <v>$</v>
          </cell>
          <cell r="X248" t="str">
            <v>Oui</v>
          </cell>
        </row>
        <row r="249">
          <cell r="O249">
            <v>-31</v>
          </cell>
          <cell r="U249" t="str">
            <v>Pièces</v>
          </cell>
          <cell r="V249" t="str">
            <v>Pièces Ro Carrosserie</v>
          </cell>
          <cell r="W249" t="str">
            <v>NB</v>
          </cell>
          <cell r="X249">
            <v>0</v>
          </cell>
        </row>
        <row r="250">
          <cell r="C250">
            <v>-4565</v>
          </cell>
          <cell r="O250">
            <v>-2625.9</v>
          </cell>
          <cell r="U250" t="str">
            <v>Pièces</v>
          </cell>
          <cell r="V250" t="str">
            <v>Pièces Ro Carrosserie</v>
          </cell>
          <cell r="W250" t="str">
            <v>$</v>
          </cell>
          <cell r="X250" t="str">
            <v>Oui</v>
          </cell>
        </row>
        <row r="251">
          <cell r="O251">
            <v>-7</v>
          </cell>
          <cell r="U251" t="str">
            <v>Pièces</v>
          </cell>
          <cell r="V251" t="str">
            <v>Pièces Ro Carrosserie</v>
          </cell>
          <cell r="W251" t="str">
            <v>NB</v>
          </cell>
          <cell r="X251">
            <v>0</v>
          </cell>
        </row>
        <row r="252">
          <cell r="C252">
            <v>-43885.02</v>
          </cell>
          <cell r="O252">
            <v>-15606.28</v>
          </cell>
          <cell r="U252" t="str">
            <v>Pièces</v>
          </cell>
          <cell r="V252" t="str">
            <v>Ventes Détails</v>
          </cell>
          <cell r="W252" t="str">
            <v>$</v>
          </cell>
          <cell r="X252" t="str">
            <v>Oui</v>
          </cell>
        </row>
        <row r="253">
          <cell r="O253">
            <v>-211</v>
          </cell>
          <cell r="U253" t="str">
            <v>Pièces</v>
          </cell>
          <cell r="V253" t="str">
            <v>Ventes Détails</v>
          </cell>
          <cell r="W253" t="str">
            <v>NB</v>
          </cell>
          <cell r="X253">
            <v>0</v>
          </cell>
        </row>
        <row r="254">
          <cell r="C254">
            <v>-194012.54</v>
          </cell>
          <cell r="O254">
            <v>-54996.95</v>
          </cell>
          <cell r="U254" t="str">
            <v>Pièces</v>
          </cell>
          <cell r="V254" t="str">
            <v>Ventes de Gros</v>
          </cell>
          <cell r="W254" t="str">
            <v>$</v>
          </cell>
          <cell r="X254" t="str">
            <v>Oui</v>
          </cell>
        </row>
        <row r="255">
          <cell r="O255">
            <v>-262</v>
          </cell>
          <cell r="U255" t="str">
            <v>Pièces</v>
          </cell>
          <cell r="V255" t="str">
            <v>Ventes de Gros</v>
          </cell>
          <cell r="W255" t="str">
            <v>NB</v>
          </cell>
          <cell r="X255">
            <v>0</v>
          </cell>
        </row>
        <row r="256">
          <cell r="C256">
            <v>-130850.46</v>
          </cell>
          <cell r="O256">
            <v>-34672.89</v>
          </cell>
          <cell r="U256" t="str">
            <v>Pièces</v>
          </cell>
          <cell r="V256" t="str">
            <v>Ventes Pneus</v>
          </cell>
          <cell r="W256" t="str">
            <v>$</v>
          </cell>
          <cell r="X256" t="str">
            <v>Oui</v>
          </cell>
        </row>
        <row r="257">
          <cell r="O257">
            <v>-26</v>
          </cell>
          <cell r="U257" t="str">
            <v>Pièces</v>
          </cell>
          <cell r="V257" t="str">
            <v>Ventes Pneus</v>
          </cell>
          <cell r="W257" t="str">
            <v>NB</v>
          </cell>
          <cell r="X257">
            <v>0</v>
          </cell>
        </row>
        <row r="258">
          <cell r="C258">
            <v>-820.79</v>
          </cell>
          <cell r="O258">
            <v>0</v>
          </cell>
          <cell r="U258" t="str">
            <v>Pièces</v>
          </cell>
          <cell r="V258" t="str">
            <v>Ventes Pneus</v>
          </cell>
          <cell r="W258" t="str">
            <v>$</v>
          </cell>
          <cell r="X258" t="str">
            <v>Oui</v>
          </cell>
        </row>
        <row r="259">
          <cell r="C259">
            <v>324554.5</v>
          </cell>
          <cell r="O259">
            <v>73837.919999999998</v>
          </cell>
          <cell r="U259" t="str">
            <v>Véhicules neufs</v>
          </cell>
          <cell r="V259" t="str">
            <v>Rachat bail</v>
          </cell>
          <cell r="W259" t="str">
            <v>$</v>
          </cell>
          <cell r="X259">
            <v>0</v>
          </cell>
        </row>
        <row r="260">
          <cell r="C260">
            <v>380398.01</v>
          </cell>
          <cell r="O260">
            <v>83683.070000000007</v>
          </cell>
          <cell r="U260" t="str">
            <v>Véhicules neufs</v>
          </cell>
          <cell r="V260" t="str">
            <v>Autos détail</v>
          </cell>
          <cell r="W260" t="str">
            <v>$</v>
          </cell>
          <cell r="X260">
            <v>0</v>
          </cell>
        </row>
        <row r="261">
          <cell r="C261">
            <v>104779.37</v>
          </cell>
          <cell r="O261">
            <v>0</v>
          </cell>
          <cell r="U261" t="str">
            <v>Véhicules neufs</v>
          </cell>
          <cell r="V261" t="str">
            <v>Autos détail</v>
          </cell>
          <cell r="W261" t="str">
            <v>$</v>
          </cell>
          <cell r="X261">
            <v>0</v>
          </cell>
        </row>
        <row r="262">
          <cell r="C262">
            <v>777370.92</v>
          </cell>
          <cell r="O262">
            <v>285204.14</v>
          </cell>
          <cell r="U262" t="str">
            <v>Véhicules neufs</v>
          </cell>
          <cell r="V262" t="str">
            <v>Autos détail</v>
          </cell>
          <cell r="W262" t="str">
            <v>$</v>
          </cell>
          <cell r="X262">
            <v>0</v>
          </cell>
        </row>
        <row r="263">
          <cell r="C263">
            <v>431039.27</v>
          </cell>
          <cell r="O263">
            <v>221094.06</v>
          </cell>
          <cell r="U263" t="str">
            <v>Véhicules neufs</v>
          </cell>
          <cell r="V263" t="str">
            <v>Autos détail</v>
          </cell>
          <cell r="W263" t="str">
            <v>$</v>
          </cell>
          <cell r="X263">
            <v>0</v>
          </cell>
        </row>
        <row r="264">
          <cell r="C264">
            <v>1850260.97</v>
          </cell>
          <cell r="O264">
            <v>546744.31999999995</v>
          </cell>
          <cell r="U264" t="str">
            <v>Véhicules neufs</v>
          </cell>
          <cell r="V264" t="str">
            <v>Autos détail</v>
          </cell>
          <cell r="W264" t="str">
            <v>$</v>
          </cell>
          <cell r="X264">
            <v>0</v>
          </cell>
        </row>
        <row r="265">
          <cell r="C265">
            <v>591519.52</v>
          </cell>
          <cell r="O265">
            <v>215373.84</v>
          </cell>
          <cell r="U265" t="str">
            <v>Véhicules neufs</v>
          </cell>
          <cell r="V265" t="str">
            <v>Autos détail</v>
          </cell>
          <cell r="W265" t="str">
            <v>$</v>
          </cell>
          <cell r="X265">
            <v>0</v>
          </cell>
        </row>
        <row r="266">
          <cell r="C266">
            <v>37395.17</v>
          </cell>
          <cell r="O266">
            <v>0</v>
          </cell>
          <cell r="U266" t="str">
            <v>Véhicules neufs</v>
          </cell>
          <cell r="V266" t="str">
            <v>Autos détail</v>
          </cell>
          <cell r="W266" t="str">
            <v>$</v>
          </cell>
          <cell r="X266">
            <v>0</v>
          </cell>
        </row>
        <row r="267">
          <cell r="C267">
            <v>1132497.72</v>
          </cell>
          <cell r="O267">
            <v>161531.4</v>
          </cell>
          <cell r="U267" t="str">
            <v>Véhicules neufs</v>
          </cell>
          <cell r="V267" t="str">
            <v>Camions détail</v>
          </cell>
          <cell r="W267" t="str">
            <v>$</v>
          </cell>
          <cell r="X267">
            <v>0</v>
          </cell>
        </row>
        <row r="268">
          <cell r="C268">
            <v>218321.51</v>
          </cell>
          <cell r="O268">
            <v>174594.43</v>
          </cell>
          <cell r="U268" t="str">
            <v>Véhicules neufs</v>
          </cell>
          <cell r="V268" t="str">
            <v>Autos détail</v>
          </cell>
          <cell r="W268" t="str">
            <v>$</v>
          </cell>
          <cell r="X268">
            <v>0</v>
          </cell>
        </row>
        <row r="269">
          <cell r="C269">
            <v>3429157.95</v>
          </cell>
          <cell r="O269">
            <v>719556.64</v>
          </cell>
          <cell r="U269" t="str">
            <v>Véhicules neufs</v>
          </cell>
          <cell r="V269" t="str">
            <v>Camions détail</v>
          </cell>
          <cell r="W269" t="str">
            <v>$</v>
          </cell>
          <cell r="X269">
            <v>0</v>
          </cell>
        </row>
        <row r="270">
          <cell r="C270">
            <v>386422.51</v>
          </cell>
          <cell r="O270">
            <v>90624.33</v>
          </cell>
          <cell r="U270" t="str">
            <v>Véhicules neufs</v>
          </cell>
          <cell r="V270" t="str">
            <v>Autos détail</v>
          </cell>
          <cell r="W270" t="str">
            <v>$</v>
          </cell>
          <cell r="X270">
            <v>0</v>
          </cell>
        </row>
        <row r="271">
          <cell r="C271">
            <v>0</v>
          </cell>
          <cell r="O271">
            <v>132536.84</v>
          </cell>
          <cell r="U271" t="str">
            <v>Véhicules neufs</v>
          </cell>
          <cell r="V271" t="str">
            <v>Flottes</v>
          </cell>
          <cell r="W271" t="str">
            <v>$</v>
          </cell>
          <cell r="X271">
            <v>0</v>
          </cell>
        </row>
        <row r="272">
          <cell r="C272">
            <v>0</v>
          </cell>
          <cell r="O272">
            <v>394409.49</v>
          </cell>
          <cell r="U272" t="str">
            <v>Véhicules neufs</v>
          </cell>
          <cell r="V272" t="str">
            <v>Ex-Démos et courtoisies</v>
          </cell>
          <cell r="W272" t="str">
            <v>$</v>
          </cell>
          <cell r="X272">
            <v>0</v>
          </cell>
        </row>
        <row r="273">
          <cell r="C273">
            <v>1537608.75</v>
          </cell>
          <cell r="O273">
            <v>541135.61</v>
          </cell>
          <cell r="U273" t="str">
            <v>Véhicules usagés</v>
          </cell>
          <cell r="V273" t="str">
            <v>Non Certifié</v>
          </cell>
          <cell r="W273" t="str">
            <v>$</v>
          </cell>
          <cell r="X273">
            <v>0</v>
          </cell>
        </row>
        <row r="274">
          <cell r="C274">
            <v>132485.22</v>
          </cell>
          <cell r="O274">
            <v>47681.120000000003</v>
          </cell>
          <cell r="U274" t="str">
            <v>Véhicules usagés</v>
          </cell>
          <cell r="V274" t="str">
            <v>Non Certifié</v>
          </cell>
          <cell r="W274" t="str">
            <v>$</v>
          </cell>
          <cell r="X274">
            <v>0</v>
          </cell>
        </row>
        <row r="275">
          <cell r="C275">
            <v>391229.47</v>
          </cell>
          <cell r="O275">
            <v>113523.08</v>
          </cell>
          <cell r="U275" t="str">
            <v>Véhicules usagés</v>
          </cell>
          <cell r="V275" t="str">
            <v>Non Certifié</v>
          </cell>
          <cell r="W275" t="str">
            <v>$</v>
          </cell>
          <cell r="X275">
            <v>0</v>
          </cell>
        </row>
        <row r="276">
          <cell r="C276">
            <v>31480.91</v>
          </cell>
          <cell r="O276">
            <v>9279.4699999999993</v>
          </cell>
          <cell r="U276" t="str">
            <v>Véhicules usagés</v>
          </cell>
          <cell r="V276" t="str">
            <v>Non Certifié</v>
          </cell>
          <cell r="W276" t="str">
            <v>$</v>
          </cell>
          <cell r="X276">
            <v>0</v>
          </cell>
        </row>
        <row r="277">
          <cell r="C277">
            <v>643363.26</v>
          </cell>
          <cell r="O277">
            <v>378133.87</v>
          </cell>
          <cell r="U277" t="str">
            <v>Véhicules usagés</v>
          </cell>
          <cell r="V277" t="str">
            <v>Ventes au Gros</v>
          </cell>
          <cell r="W277" t="str">
            <v>$</v>
          </cell>
          <cell r="X277">
            <v>0</v>
          </cell>
        </row>
        <row r="278">
          <cell r="C278">
            <v>98085.71</v>
          </cell>
          <cell r="O278">
            <v>35960.67</v>
          </cell>
          <cell r="U278" t="str">
            <v>Service</v>
          </cell>
          <cell r="V278" t="str">
            <v>M/O Client</v>
          </cell>
          <cell r="W278" t="str">
            <v>$</v>
          </cell>
          <cell r="X278">
            <v>0</v>
          </cell>
        </row>
        <row r="279">
          <cell r="C279">
            <v>30.6</v>
          </cell>
          <cell r="O279">
            <v>0</v>
          </cell>
          <cell r="U279" t="str">
            <v>Service</v>
          </cell>
          <cell r="V279" t="str">
            <v>M/O Esthétique</v>
          </cell>
          <cell r="W279" t="str">
            <v>$</v>
          </cell>
          <cell r="X279">
            <v>0</v>
          </cell>
        </row>
        <row r="280">
          <cell r="C280">
            <v>74798.429999999993</v>
          </cell>
          <cell r="O280">
            <v>32287.05</v>
          </cell>
          <cell r="U280" t="str">
            <v>Service</v>
          </cell>
          <cell r="V280" t="str">
            <v>M/O Garantie</v>
          </cell>
          <cell r="W280" t="str">
            <v>$</v>
          </cell>
          <cell r="X280">
            <v>0</v>
          </cell>
        </row>
        <row r="281">
          <cell r="C281">
            <v>49579.46</v>
          </cell>
          <cell r="O281">
            <v>16929.3</v>
          </cell>
          <cell r="U281" t="str">
            <v>Service</v>
          </cell>
          <cell r="V281" t="str">
            <v>M/O Interne</v>
          </cell>
          <cell r="W281" t="str">
            <v>$</v>
          </cell>
          <cell r="X281">
            <v>0</v>
          </cell>
        </row>
        <row r="282">
          <cell r="C282">
            <v>13067.14</v>
          </cell>
          <cell r="O282">
            <v>6115.94</v>
          </cell>
          <cell r="U282" t="str">
            <v>Service</v>
          </cell>
          <cell r="V282" t="str">
            <v>Ajustement M/O</v>
          </cell>
          <cell r="W282" t="str">
            <v>$</v>
          </cell>
          <cell r="X282">
            <v>0</v>
          </cell>
        </row>
        <row r="283">
          <cell r="C283">
            <v>44147.839999999997</v>
          </cell>
          <cell r="O283">
            <v>15635</v>
          </cell>
          <cell r="U283" t="str">
            <v>Pièces</v>
          </cell>
          <cell r="V283" t="str">
            <v>Huiles et Graisse</v>
          </cell>
          <cell r="W283" t="str">
            <v>$</v>
          </cell>
          <cell r="X283">
            <v>0</v>
          </cell>
        </row>
        <row r="284">
          <cell r="C284">
            <v>13196.59</v>
          </cell>
          <cell r="O284">
            <v>5562.15</v>
          </cell>
          <cell r="U284" t="str">
            <v>Service</v>
          </cell>
          <cell r="V284" t="str">
            <v>Sous-traitement</v>
          </cell>
          <cell r="W284" t="str">
            <v>$</v>
          </cell>
          <cell r="X284">
            <v>0</v>
          </cell>
        </row>
        <row r="285">
          <cell r="C285">
            <v>4822.46</v>
          </cell>
          <cell r="O285">
            <v>1670.2</v>
          </cell>
          <cell r="U285" t="str">
            <v>Service</v>
          </cell>
          <cell r="V285" t="str">
            <v>Sous-traitement</v>
          </cell>
          <cell r="W285" t="str">
            <v>$</v>
          </cell>
          <cell r="X285">
            <v>0</v>
          </cell>
        </row>
        <row r="286">
          <cell r="C286">
            <v>78967.88</v>
          </cell>
          <cell r="O286">
            <v>32752.35</v>
          </cell>
          <cell r="U286" t="str">
            <v>Service</v>
          </cell>
          <cell r="V286" t="str">
            <v>Sous-traitement</v>
          </cell>
          <cell r="W286" t="str">
            <v>$</v>
          </cell>
          <cell r="X286">
            <v>0</v>
          </cell>
        </row>
        <row r="287">
          <cell r="C287">
            <v>104468.44</v>
          </cell>
          <cell r="O287">
            <v>24633.03</v>
          </cell>
          <cell r="U287" t="str">
            <v>Carrosserie</v>
          </cell>
          <cell r="V287" t="str">
            <v>M/O Sous-traitement</v>
          </cell>
          <cell r="W287" t="str">
            <v>$</v>
          </cell>
          <cell r="X287">
            <v>0</v>
          </cell>
        </row>
        <row r="288">
          <cell r="C288">
            <v>200926.58</v>
          </cell>
          <cell r="O288">
            <v>63304.4</v>
          </cell>
          <cell r="U288" t="str">
            <v>Carrosserie</v>
          </cell>
          <cell r="V288" t="str">
            <v>M/O Sous-traitement</v>
          </cell>
          <cell r="W288" t="str">
            <v>$</v>
          </cell>
          <cell r="X288">
            <v>0</v>
          </cell>
        </row>
        <row r="289">
          <cell r="C289">
            <v>24823.39</v>
          </cell>
          <cell r="O289">
            <v>12606.71</v>
          </cell>
          <cell r="U289" t="str">
            <v>Carrosserie</v>
          </cell>
          <cell r="V289" t="str">
            <v>M/O Sous-traitement</v>
          </cell>
          <cell r="W289" t="str">
            <v>$</v>
          </cell>
          <cell r="X289">
            <v>0</v>
          </cell>
        </row>
        <row r="290">
          <cell r="C290">
            <v>154513.22</v>
          </cell>
          <cell r="O290">
            <v>35480.92</v>
          </cell>
          <cell r="U290" t="str">
            <v>Pièces</v>
          </cell>
          <cell r="V290" t="str">
            <v>Pièces Ro Clients</v>
          </cell>
          <cell r="W290" t="str">
            <v>$</v>
          </cell>
          <cell r="X290">
            <v>0</v>
          </cell>
        </row>
        <row r="291">
          <cell r="C291">
            <v>227349.45</v>
          </cell>
          <cell r="O291">
            <v>84998.080000000002</v>
          </cell>
          <cell r="U291" t="str">
            <v>Pièces</v>
          </cell>
          <cell r="V291" t="str">
            <v>P/A Garantie</v>
          </cell>
          <cell r="W291" t="str">
            <v>$</v>
          </cell>
          <cell r="X291">
            <v>0</v>
          </cell>
        </row>
        <row r="292">
          <cell r="C292">
            <v>93513.37</v>
          </cell>
          <cell r="O292">
            <v>36449.31</v>
          </cell>
          <cell r="U292" t="str">
            <v>Pièces</v>
          </cell>
          <cell r="V292" t="str">
            <v>Ventes Internes</v>
          </cell>
          <cell r="W292" t="str">
            <v>$</v>
          </cell>
          <cell r="X292">
            <v>0</v>
          </cell>
        </row>
        <row r="293">
          <cell r="C293">
            <v>8887.35</v>
          </cell>
          <cell r="O293">
            <v>2579.8200000000002</v>
          </cell>
          <cell r="U293" t="str">
            <v>Pièces</v>
          </cell>
          <cell r="V293" t="str">
            <v>Pièces Ro Clients</v>
          </cell>
          <cell r="W293" t="str">
            <v>$</v>
          </cell>
          <cell r="X293">
            <v>0</v>
          </cell>
        </row>
        <row r="294">
          <cell r="C294">
            <v>27263.96</v>
          </cell>
          <cell r="O294">
            <v>6831.55</v>
          </cell>
          <cell r="U294" t="str">
            <v>Pièces</v>
          </cell>
          <cell r="V294" t="str">
            <v>Pièces Ro Clients</v>
          </cell>
          <cell r="W294" t="str">
            <v>$</v>
          </cell>
          <cell r="X294">
            <v>0</v>
          </cell>
        </row>
        <row r="295">
          <cell r="C295">
            <v>60833.120000000003</v>
          </cell>
          <cell r="O295">
            <v>10808.29</v>
          </cell>
          <cell r="U295" t="str">
            <v>Pièces</v>
          </cell>
          <cell r="V295" t="str">
            <v>Pièces Ro Carrosserie</v>
          </cell>
          <cell r="W295" t="str">
            <v>$</v>
          </cell>
          <cell r="X295">
            <v>0</v>
          </cell>
        </row>
        <row r="296">
          <cell r="C296">
            <v>127763.1</v>
          </cell>
          <cell r="O296">
            <v>32738</v>
          </cell>
          <cell r="U296" t="str">
            <v>Pièces</v>
          </cell>
          <cell r="V296" t="str">
            <v>Pièces Ro Carrosserie</v>
          </cell>
          <cell r="W296" t="str">
            <v>$</v>
          </cell>
          <cell r="X296">
            <v>0</v>
          </cell>
        </row>
        <row r="297">
          <cell r="C297">
            <v>3069.03</v>
          </cell>
          <cell r="O297">
            <v>1764.58</v>
          </cell>
          <cell r="U297" t="str">
            <v>Pièces</v>
          </cell>
          <cell r="V297" t="str">
            <v>Pièces Ro Carrosserie</v>
          </cell>
          <cell r="W297" t="str">
            <v>$</v>
          </cell>
          <cell r="X297">
            <v>0</v>
          </cell>
        </row>
        <row r="298">
          <cell r="C298">
            <v>30812.45</v>
          </cell>
          <cell r="O298">
            <v>10942.97</v>
          </cell>
          <cell r="U298" t="str">
            <v>Pièces</v>
          </cell>
          <cell r="V298" t="str">
            <v>Ventes Détails</v>
          </cell>
          <cell r="W298" t="str">
            <v>$</v>
          </cell>
          <cell r="X298">
            <v>0</v>
          </cell>
        </row>
        <row r="299">
          <cell r="C299">
            <v>158135.85</v>
          </cell>
          <cell r="O299">
            <v>43685.65</v>
          </cell>
          <cell r="U299" t="str">
            <v>Pièces</v>
          </cell>
          <cell r="V299" t="str">
            <v>Ventes de Gros</v>
          </cell>
          <cell r="W299" t="str">
            <v>$</v>
          </cell>
          <cell r="X299">
            <v>0</v>
          </cell>
        </row>
        <row r="300">
          <cell r="C300">
            <v>105387.56</v>
          </cell>
          <cell r="O300">
            <v>28690.17</v>
          </cell>
          <cell r="U300" t="str">
            <v>Pièces</v>
          </cell>
          <cell r="V300" t="str">
            <v>Ventes Pneus</v>
          </cell>
          <cell r="W300" t="str">
            <v>$</v>
          </cell>
          <cell r="X300">
            <v>0</v>
          </cell>
        </row>
        <row r="301">
          <cell r="C301">
            <v>703.28</v>
          </cell>
          <cell r="O301">
            <v>0</v>
          </cell>
          <cell r="U301" t="str">
            <v>Pièces</v>
          </cell>
          <cell r="V301" t="str">
            <v>Ventes Pneus</v>
          </cell>
          <cell r="W301" t="str">
            <v>$</v>
          </cell>
          <cell r="X301">
            <v>0</v>
          </cell>
        </row>
        <row r="302">
          <cell r="C302">
            <v>-45672.45</v>
          </cell>
          <cell r="O302">
            <v>-3973.99</v>
          </cell>
          <cell r="U302" t="str">
            <v>Pièces</v>
          </cell>
          <cell r="V302" t="str">
            <v>Escomptes</v>
          </cell>
          <cell r="W302" t="str">
            <v>$</v>
          </cell>
          <cell r="X302">
            <v>0</v>
          </cell>
        </row>
        <row r="303">
          <cell r="C303">
            <v>118949.52</v>
          </cell>
          <cell r="O303">
            <v>39040.51</v>
          </cell>
          <cell r="U303" t="str">
            <v>Véhicules neufs</v>
          </cell>
          <cell r="V303" t="str">
            <v>Comm. vendeurs</v>
          </cell>
          <cell r="W303" t="str">
            <v>$</v>
          </cell>
          <cell r="X303">
            <v>0</v>
          </cell>
        </row>
        <row r="304">
          <cell r="C304">
            <v>61801.56</v>
          </cell>
          <cell r="O304">
            <v>21559.83</v>
          </cell>
          <cell r="U304" t="str">
            <v>Véhicules neufs</v>
          </cell>
          <cell r="V304" t="str">
            <v>Comm. F&amp;I</v>
          </cell>
          <cell r="W304" t="str">
            <v>$</v>
          </cell>
          <cell r="X304">
            <v>0</v>
          </cell>
        </row>
        <row r="305">
          <cell r="C305">
            <v>1825.96</v>
          </cell>
          <cell r="O305">
            <v>336.14</v>
          </cell>
          <cell r="U305" t="str">
            <v>Véhicules neufs</v>
          </cell>
          <cell r="V305" t="str">
            <v>Service gratuit 1</v>
          </cell>
          <cell r="W305" t="str">
            <v>$</v>
          </cell>
          <cell r="X305">
            <v>0</v>
          </cell>
        </row>
        <row r="306">
          <cell r="C306">
            <v>9694.77</v>
          </cell>
          <cell r="O306">
            <v>2184.17</v>
          </cell>
          <cell r="U306" t="str">
            <v>Véhicules neufs</v>
          </cell>
          <cell r="V306" t="str">
            <v>Entretien stock</v>
          </cell>
          <cell r="W306" t="str">
            <v>$</v>
          </cell>
          <cell r="X306">
            <v>0</v>
          </cell>
        </row>
        <row r="307">
          <cell r="C307">
            <v>75073.850000000006</v>
          </cell>
          <cell r="O307">
            <v>21422.31</v>
          </cell>
          <cell r="U307" t="str">
            <v>Véhicules neufs</v>
          </cell>
          <cell r="V307" t="str">
            <v>Intérêt de gros</v>
          </cell>
          <cell r="W307" t="str">
            <v>$</v>
          </cell>
          <cell r="X307">
            <v>0</v>
          </cell>
        </row>
        <row r="308">
          <cell r="C308">
            <v>43779.45</v>
          </cell>
          <cell r="O308">
            <v>11557.39</v>
          </cell>
          <cell r="U308" t="str">
            <v>Véhicules neufs</v>
          </cell>
          <cell r="V308" t="str">
            <v>Frais de livraison</v>
          </cell>
          <cell r="W308" t="str">
            <v>$</v>
          </cell>
          <cell r="X308">
            <v>0</v>
          </cell>
        </row>
        <row r="309">
          <cell r="C309">
            <v>49980</v>
          </cell>
          <cell r="O309">
            <v>17000</v>
          </cell>
          <cell r="U309" t="str">
            <v>Véhicules neufs</v>
          </cell>
          <cell r="V309" t="str">
            <v>Publicité 1</v>
          </cell>
          <cell r="W309" t="str">
            <v>$</v>
          </cell>
          <cell r="X309">
            <v>0</v>
          </cell>
        </row>
        <row r="310">
          <cell r="C310">
            <v>-27800</v>
          </cell>
          <cell r="O310">
            <v>-8800</v>
          </cell>
          <cell r="U310" t="str">
            <v>Véhicules neufs</v>
          </cell>
          <cell r="V310" t="str">
            <v>Publicité 1</v>
          </cell>
          <cell r="W310" t="str">
            <v>$</v>
          </cell>
          <cell r="X310">
            <v>0</v>
          </cell>
        </row>
        <row r="311">
          <cell r="C311">
            <v>10412.32</v>
          </cell>
          <cell r="O311">
            <v>3339.76</v>
          </cell>
          <cell r="U311" t="str">
            <v>Véhicules neufs</v>
          </cell>
          <cell r="V311" t="str">
            <v>Salaires propriétaire</v>
          </cell>
          <cell r="W311" t="str">
            <v>$</v>
          </cell>
          <cell r="X311">
            <v>0</v>
          </cell>
        </row>
        <row r="312">
          <cell r="C312">
            <v>90031.16</v>
          </cell>
          <cell r="O312">
            <v>20435.45</v>
          </cell>
          <cell r="U312" t="str">
            <v>Véhicules neufs</v>
          </cell>
          <cell r="V312" t="str">
            <v>Salaires cadres</v>
          </cell>
          <cell r="W312" t="str">
            <v>$</v>
          </cell>
          <cell r="X312">
            <v>0</v>
          </cell>
        </row>
        <row r="313">
          <cell r="C313">
            <v>35984.21</v>
          </cell>
          <cell r="O313">
            <v>8999.0300000000007</v>
          </cell>
          <cell r="U313" t="str">
            <v>Véhicules neufs</v>
          </cell>
          <cell r="V313" t="str">
            <v>Salaires commis</v>
          </cell>
          <cell r="W313" t="str">
            <v>$</v>
          </cell>
          <cell r="X313">
            <v>0</v>
          </cell>
        </row>
        <row r="314">
          <cell r="C314">
            <v>24430.02</v>
          </cell>
          <cell r="O314">
            <v>6801.44</v>
          </cell>
          <cell r="U314" t="str">
            <v>Véhicules neufs</v>
          </cell>
          <cell r="V314" t="str">
            <v>Salaires autres</v>
          </cell>
          <cell r="W314" t="str">
            <v>$</v>
          </cell>
          <cell r="X314">
            <v>0</v>
          </cell>
        </row>
        <row r="315">
          <cell r="C315">
            <v>51612.74</v>
          </cell>
          <cell r="O315">
            <v>14250.71</v>
          </cell>
          <cell r="U315" t="str">
            <v>Véhicules neufs</v>
          </cell>
          <cell r="V315" t="str">
            <v>Salaires en absences</v>
          </cell>
          <cell r="W315" t="str">
            <v>$</v>
          </cell>
          <cell r="X315">
            <v>0</v>
          </cell>
        </row>
        <row r="316">
          <cell r="C316">
            <v>11677.81</v>
          </cell>
          <cell r="O316">
            <v>2822.32</v>
          </cell>
          <cell r="U316" t="str">
            <v>Véhicules neufs</v>
          </cell>
          <cell r="V316" t="str">
            <v>Csst</v>
          </cell>
          <cell r="W316" t="str">
            <v>$</v>
          </cell>
          <cell r="X316">
            <v>0</v>
          </cell>
        </row>
        <row r="317">
          <cell r="C317">
            <v>45542.39</v>
          </cell>
          <cell r="O317">
            <v>12500.8</v>
          </cell>
          <cell r="U317" t="str">
            <v>Véhicules neufs</v>
          </cell>
          <cell r="V317" t="str">
            <v>Déduction à la source</v>
          </cell>
          <cell r="W317" t="str">
            <v>$</v>
          </cell>
          <cell r="X317">
            <v>0</v>
          </cell>
        </row>
        <row r="318">
          <cell r="C318">
            <v>31288.11</v>
          </cell>
          <cell r="O318">
            <v>8350.9500000000007</v>
          </cell>
          <cell r="U318" t="str">
            <v>Véhicules neufs</v>
          </cell>
          <cell r="V318" t="str">
            <v>Bénéfices marginaux</v>
          </cell>
          <cell r="W318" t="str">
            <v>$</v>
          </cell>
          <cell r="X318">
            <v>0</v>
          </cell>
        </row>
        <row r="319">
          <cell r="C319">
            <v>882</v>
          </cell>
          <cell r="O319">
            <v>300</v>
          </cell>
          <cell r="U319" t="str">
            <v>Véhicules neufs</v>
          </cell>
          <cell r="V319" t="str">
            <v>Fournitures autres</v>
          </cell>
          <cell r="W319" t="str">
            <v>$</v>
          </cell>
          <cell r="X319">
            <v>0</v>
          </cell>
        </row>
        <row r="320">
          <cell r="C320">
            <v>140</v>
          </cell>
          <cell r="O320">
            <v>35</v>
          </cell>
          <cell r="U320" t="str">
            <v>Véhicules neufs</v>
          </cell>
          <cell r="V320" t="str">
            <v>Uniformes</v>
          </cell>
          <cell r="W320" t="str">
            <v>$</v>
          </cell>
          <cell r="X320">
            <v>0</v>
          </cell>
        </row>
        <row r="321">
          <cell r="C321">
            <v>18223.32</v>
          </cell>
          <cell r="O321">
            <v>4555.83</v>
          </cell>
          <cell r="U321" t="str">
            <v>Véhicules neufs</v>
          </cell>
          <cell r="V321" t="str">
            <v>Formation</v>
          </cell>
          <cell r="W321" t="str">
            <v>$</v>
          </cell>
          <cell r="X321">
            <v>0</v>
          </cell>
        </row>
        <row r="322">
          <cell r="C322">
            <v>50236.09</v>
          </cell>
          <cell r="O322">
            <v>18900.59</v>
          </cell>
          <cell r="U322" t="str">
            <v>Véhicules neufs</v>
          </cell>
          <cell r="V322" t="str">
            <v>Frais véhicules de cie</v>
          </cell>
          <cell r="W322" t="str">
            <v>$</v>
          </cell>
          <cell r="X322">
            <v>0</v>
          </cell>
        </row>
        <row r="323">
          <cell r="C323">
            <v>562.6</v>
          </cell>
          <cell r="O323">
            <v>81.69</v>
          </cell>
          <cell r="U323" t="str">
            <v>Véhicules neufs</v>
          </cell>
          <cell r="V323" t="str">
            <v>Frais postaux</v>
          </cell>
          <cell r="W323" t="str">
            <v>$</v>
          </cell>
          <cell r="X323">
            <v>0</v>
          </cell>
        </row>
        <row r="324">
          <cell r="C324">
            <v>27909.93</v>
          </cell>
          <cell r="O324">
            <v>6161.29</v>
          </cell>
          <cell r="U324" t="str">
            <v>Véhicules neufs</v>
          </cell>
          <cell r="V324" t="str">
            <v>Informatique</v>
          </cell>
          <cell r="W324" t="str">
            <v>$</v>
          </cell>
          <cell r="X324">
            <v>0</v>
          </cell>
        </row>
        <row r="325">
          <cell r="C325">
            <v>2368</v>
          </cell>
          <cell r="O325">
            <v>592</v>
          </cell>
          <cell r="U325" t="str">
            <v>Véhicules neufs</v>
          </cell>
          <cell r="V325" t="str">
            <v>Papeterie</v>
          </cell>
          <cell r="W325" t="str">
            <v>$</v>
          </cell>
          <cell r="X325">
            <v>0</v>
          </cell>
        </row>
        <row r="326">
          <cell r="C326">
            <v>2153.1999999999998</v>
          </cell>
          <cell r="O326">
            <v>520.07000000000005</v>
          </cell>
          <cell r="U326" t="str">
            <v>Véhicules neufs</v>
          </cell>
          <cell r="V326" t="str">
            <v>Téléphone</v>
          </cell>
          <cell r="W326" t="str">
            <v>$</v>
          </cell>
          <cell r="X326">
            <v>0</v>
          </cell>
        </row>
        <row r="327">
          <cell r="C327">
            <v>6910.12</v>
          </cell>
          <cell r="O327">
            <v>1720.31</v>
          </cell>
          <cell r="U327" t="str">
            <v>Véhicules neufs</v>
          </cell>
          <cell r="V327" t="str">
            <v>Divers</v>
          </cell>
          <cell r="W327" t="str">
            <v>$</v>
          </cell>
          <cell r="X327">
            <v>0</v>
          </cell>
        </row>
        <row r="328">
          <cell r="C328">
            <v>7778.56</v>
          </cell>
          <cell r="O328">
            <v>1944.64</v>
          </cell>
          <cell r="U328" t="str">
            <v>Véhicules neufs</v>
          </cell>
          <cell r="V328" t="str">
            <v>Frais de déplacement</v>
          </cell>
          <cell r="W328" t="str">
            <v>$</v>
          </cell>
          <cell r="X328">
            <v>0</v>
          </cell>
        </row>
        <row r="329">
          <cell r="C329">
            <v>30005.68</v>
          </cell>
          <cell r="O329">
            <v>7248.82</v>
          </cell>
          <cell r="U329" t="str">
            <v>Véhicules neufs</v>
          </cell>
          <cell r="V329" t="str">
            <v>Services extérieurs</v>
          </cell>
          <cell r="W329" t="str">
            <v>$</v>
          </cell>
          <cell r="X329">
            <v>0</v>
          </cell>
        </row>
        <row r="330">
          <cell r="C330">
            <v>11520</v>
          </cell>
          <cell r="O330">
            <v>2880</v>
          </cell>
          <cell r="U330" t="str">
            <v>Véhicules neufs</v>
          </cell>
          <cell r="V330" t="str">
            <v>Amortissement</v>
          </cell>
          <cell r="W330" t="str">
            <v>$</v>
          </cell>
          <cell r="X330">
            <v>0</v>
          </cell>
        </row>
        <row r="331">
          <cell r="C331">
            <v>512</v>
          </cell>
          <cell r="O331">
            <v>128</v>
          </cell>
          <cell r="U331" t="str">
            <v>Véhicules neufs</v>
          </cell>
          <cell r="V331" t="str">
            <v>Location équipement</v>
          </cell>
          <cell r="W331" t="str">
            <v>$</v>
          </cell>
          <cell r="X331">
            <v>0</v>
          </cell>
        </row>
        <row r="332">
          <cell r="C332">
            <v>4697.6000000000004</v>
          </cell>
          <cell r="O332">
            <v>1174.4000000000001</v>
          </cell>
          <cell r="U332" t="str">
            <v>Véhicules neufs</v>
          </cell>
          <cell r="V332" t="str">
            <v>Chauffage, éclairage</v>
          </cell>
          <cell r="W332" t="str">
            <v>$</v>
          </cell>
          <cell r="X332">
            <v>0</v>
          </cell>
        </row>
        <row r="333">
          <cell r="C333">
            <v>33280.129999999997</v>
          </cell>
          <cell r="O333">
            <v>8320.0300000000007</v>
          </cell>
          <cell r="U333" t="str">
            <v>Véhicules neufs</v>
          </cell>
          <cell r="V333" t="str">
            <v>Loyer</v>
          </cell>
          <cell r="W333" t="str">
            <v>$</v>
          </cell>
          <cell r="X333">
            <v>0</v>
          </cell>
        </row>
        <row r="334">
          <cell r="C334">
            <v>1920</v>
          </cell>
          <cell r="O334">
            <v>480</v>
          </cell>
          <cell r="U334" t="str">
            <v>Véhicules neufs</v>
          </cell>
          <cell r="V334" t="str">
            <v>Assurances</v>
          </cell>
          <cell r="W334" t="str">
            <v>$</v>
          </cell>
          <cell r="X334">
            <v>0</v>
          </cell>
        </row>
        <row r="335">
          <cell r="C335">
            <v>6016</v>
          </cell>
          <cell r="O335">
            <v>1504</v>
          </cell>
          <cell r="U335" t="str">
            <v>Véhicules neufs</v>
          </cell>
          <cell r="V335" t="str">
            <v>Taxes foncières</v>
          </cell>
          <cell r="W335" t="str">
            <v>$</v>
          </cell>
          <cell r="X335">
            <v>0</v>
          </cell>
        </row>
        <row r="336">
          <cell r="C336">
            <v>4032</v>
          </cell>
          <cell r="O336">
            <v>1008</v>
          </cell>
          <cell r="U336" t="str">
            <v>Véhicules neufs</v>
          </cell>
          <cell r="V336" t="str">
            <v>Taxes d`affaires</v>
          </cell>
          <cell r="W336" t="str">
            <v>$</v>
          </cell>
          <cell r="X336">
            <v>0</v>
          </cell>
        </row>
        <row r="337">
          <cell r="C337">
            <v>10272</v>
          </cell>
          <cell r="O337">
            <v>2568</v>
          </cell>
          <cell r="U337" t="str">
            <v>Véhicules neufs</v>
          </cell>
          <cell r="V337" t="str">
            <v>Honoraires</v>
          </cell>
          <cell r="W337" t="str">
            <v>$</v>
          </cell>
          <cell r="X337">
            <v>0</v>
          </cell>
        </row>
        <row r="338">
          <cell r="C338">
            <v>53616.6</v>
          </cell>
          <cell r="O338">
            <v>16580.63</v>
          </cell>
          <cell r="U338" t="str">
            <v>Véhicules usagés</v>
          </cell>
          <cell r="V338" t="str">
            <v>Comm. vendeurs</v>
          </cell>
          <cell r="W338" t="str">
            <v>$</v>
          </cell>
          <cell r="X338">
            <v>0</v>
          </cell>
        </row>
        <row r="339">
          <cell r="C339">
            <v>26882.92</v>
          </cell>
          <cell r="O339">
            <v>11855.96</v>
          </cell>
          <cell r="U339" t="str">
            <v>Véhicules usagés</v>
          </cell>
          <cell r="V339" t="str">
            <v>Comm. F&amp;I</v>
          </cell>
          <cell r="W339" t="str">
            <v>$</v>
          </cell>
          <cell r="X339">
            <v>0</v>
          </cell>
        </row>
        <row r="340">
          <cell r="C340">
            <v>6333.88</v>
          </cell>
          <cell r="O340">
            <v>0</v>
          </cell>
          <cell r="U340" t="str">
            <v>Véhicules usagés</v>
          </cell>
          <cell r="V340" t="str">
            <v>Service gratuit 1</v>
          </cell>
          <cell r="W340" t="str">
            <v>$</v>
          </cell>
          <cell r="X340">
            <v>0</v>
          </cell>
        </row>
        <row r="341">
          <cell r="C341">
            <v>6555.37</v>
          </cell>
          <cell r="O341">
            <v>2470</v>
          </cell>
          <cell r="U341" t="str">
            <v>Véhicules usagés</v>
          </cell>
          <cell r="V341" t="str">
            <v>Entretien stock</v>
          </cell>
          <cell r="W341" t="str">
            <v>$</v>
          </cell>
          <cell r="X341">
            <v>0</v>
          </cell>
        </row>
        <row r="342">
          <cell r="C342">
            <v>753.07</v>
          </cell>
          <cell r="O342">
            <v>305.62</v>
          </cell>
          <cell r="U342" t="str">
            <v>Véhicules usagés</v>
          </cell>
          <cell r="V342" t="str">
            <v>Intérêt de gros</v>
          </cell>
          <cell r="W342" t="str">
            <v>$</v>
          </cell>
          <cell r="X342">
            <v>0</v>
          </cell>
        </row>
        <row r="343">
          <cell r="C343">
            <v>6836.07</v>
          </cell>
          <cell r="O343">
            <v>322.51</v>
          </cell>
          <cell r="U343" t="str">
            <v>Véhicules usagés</v>
          </cell>
          <cell r="V343" t="str">
            <v>Frais de livraison</v>
          </cell>
          <cell r="W343" t="str">
            <v>$</v>
          </cell>
          <cell r="X343">
            <v>0</v>
          </cell>
        </row>
        <row r="344">
          <cell r="C344">
            <v>33750</v>
          </cell>
          <cell r="O344">
            <v>11250</v>
          </cell>
          <cell r="U344" t="str">
            <v>Véhicules usagés</v>
          </cell>
          <cell r="V344" t="str">
            <v>Publicité 1</v>
          </cell>
          <cell r="W344" t="str">
            <v>$</v>
          </cell>
          <cell r="X344">
            <v>0</v>
          </cell>
        </row>
        <row r="345">
          <cell r="C345">
            <v>-11770</v>
          </cell>
          <cell r="O345">
            <v>-3800</v>
          </cell>
          <cell r="U345" t="str">
            <v>Véhicules usagés</v>
          </cell>
          <cell r="V345" t="str">
            <v>Publicité 1</v>
          </cell>
          <cell r="W345" t="str">
            <v>$</v>
          </cell>
          <cell r="X345">
            <v>0</v>
          </cell>
        </row>
        <row r="346">
          <cell r="C346">
            <v>3211.66</v>
          </cell>
          <cell r="O346">
            <v>1431.33</v>
          </cell>
          <cell r="U346" t="str">
            <v>Véhicules usagés</v>
          </cell>
          <cell r="V346" t="str">
            <v>Salaires propriétaire</v>
          </cell>
          <cell r="W346" t="str">
            <v>$</v>
          </cell>
          <cell r="X346">
            <v>0</v>
          </cell>
        </row>
        <row r="347">
          <cell r="C347">
            <v>25349.17</v>
          </cell>
          <cell r="O347">
            <v>7464.96</v>
          </cell>
          <cell r="U347" t="str">
            <v>Véhicules usagés</v>
          </cell>
          <cell r="V347" t="str">
            <v>Salaires cadres</v>
          </cell>
          <cell r="W347" t="str">
            <v>$</v>
          </cell>
          <cell r="X347">
            <v>0</v>
          </cell>
        </row>
        <row r="348">
          <cell r="C348">
            <v>12226.53</v>
          </cell>
          <cell r="O348">
            <v>3423.71</v>
          </cell>
          <cell r="U348" t="str">
            <v>Véhicules usagés</v>
          </cell>
          <cell r="V348" t="str">
            <v>Salaires commis</v>
          </cell>
          <cell r="W348" t="str">
            <v>$</v>
          </cell>
          <cell r="X348">
            <v>0</v>
          </cell>
        </row>
        <row r="349">
          <cell r="C349">
            <v>39984.400000000001</v>
          </cell>
          <cell r="O349">
            <v>14461.09</v>
          </cell>
          <cell r="U349" t="str">
            <v>Véhicules usagés</v>
          </cell>
          <cell r="V349" t="str">
            <v>Salaires autres</v>
          </cell>
          <cell r="W349" t="str">
            <v>$</v>
          </cell>
          <cell r="X349">
            <v>0</v>
          </cell>
        </row>
        <row r="350">
          <cell r="C350">
            <v>21607.5</v>
          </cell>
          <cell r="O350">
            <v>5737.96</v>
          </cell>
          <cell r="U350" t="str">
            <v>Véhicules usagés</v>
          </cell>
          <cell r="V350" t="str">
            <v>Salaires en absences</v>
          </cell>
          <cell r="W350" t="str">
            <v>$</v>
          </cell>
          <cell r="X350">
            <v>0</v>
          </cell>
        </row>
        <row r="351">
          <cell r="C351">
            <v>5752.53</v>
          </cell>
          <cell r="O351">
            <v>1337.25</v>
          </cell>
          <cell r="U351" t="str">
            <v>Véhicules usagés</v>
          </cell>
          <cell r="V351" t="str">
            <v>Csst</v>
          </cell>
          <cell r="W351" t="str">
            <v>$</v>
          </cell>
          <cell r="X351">
            <v>0</v>
          </cell>
        </row>
        <row r="352">
          <cell r="C352">
            <v>22313.22</v>
          </cell>
          <cell r="O352">
            <v>5904.08</v>
          </cell>
          <cell r="U352" t="str">
            <v>Véhicules usagés</v>
          </cell>
          <cell r="V352" t="str">
            <v>Déduction à la source</v>
          </cell>
          <cell r="W352" t="str">
            <v>$</v>
          </cell>
          <cell r="X352">
            <v>0</v>
          </cell>
        </row>
        <row r="353">
          <cell r="C353">
            <v>14171.83</v>
          </cell>
          <cell r="O353">
            <v>3696.06</v>
          </cell>
          <cell r="U353" t="str">
            <v>Véhicules usagés</v>
          </cell>
          <cell r="V353" t="str">
            <v>Bénéfices marginaux</v>
          </cell>
          <cell r="W353" t="str">
            <v>$</v>
          </cell>
          <cell r="X353">
            <v>0</v>
          </cell>
        </row>
        <row r="354">
          <cell r="C354">
            <v>405</v>
          </cell>
          <cell r="O354">
            <v>135</v>
          </cell>
          <cell r="U354" t="str">
            <v>Véhicules usagés</v>
          </cell>
          <cell r="V354" t="str">
            <v>Fournitures autres</v>
          </cell>
          <cell r="W354" t="str">
            <v>$</v>
          </cell>
          <cell r="X354">
            <v>0</v>
          </cell>
        </row>
        <row r="355">
          <cell r="C355">
            <v>40</v>
          </cell>
          <cell r="O355">
            <v>10</v>
          </cell>
          <cell r="U355" t="str">
            <v>Véhicules usagés</v>
          </cell>
          <cell r="V355" t="str">
            <v>Uniformes</v>
          </cell>
          <cell r="W355" t="str">
            <v>$</v>
          </cell>
          <cell r="X355">
            <v>0</v>
          </cell>
        </row>
        <row r="356">
          <cell r="C356">
            <v>240</v>
          </cell>
          <cell r="O356">
            <v>60</v>
          </cell>
          <cell r="U356" t="str">
            <v>Véhicules usagés</v>
          </cell>
          <cell r="V356" t="str">
            <v>Formation</v>
          </cell>
          <cell r="W356" t="str">
            <v>$</v>
          </cell>
          <cell r="X356">
            <v>0</v>
          </cell>
        </row>
        <row r="357">
          <cell r="C357">
            <v>3254.74</v>
          </cell>
          <cell r="O357">
            <v>557.38</v>
          </cell>
          <cell r="U357" t="str">
            <v>Véhicules usagés</v>
          </cell>
          <cell r="V357" t="str">
            <v>Frais véhicules de cie</v>
          </cell>
          <cell r="W357" t="str">
            <v>$</v>
          </cell>
          <cell r="X357">
            <v>0</v>
          </cell>
        </row>
        <row r="358">
          <cell r="C358">
            <v>277.27</v>
          </cell>
          <cell r="O358">
            <v>24.8</v>
          </cell>
          <cell r="U358" t="str">
            <v>Véhicules usagés</v>
          </cell>
          <cell r="V358" t="str">
            <v>Frais postaux</v>
          </cell>
          <cell r="W358" t="str">
            <v>$</v>
          </cell>
          <cell r="X358">
            <v>0</v>
          </cell>
        </row>
        <row r="359">
          <cell r="C359">
            <v>9767.6200000000008</v>
          </cell>
          <cell r="O359">
            <v>2390.17</v>
          </cell>
          <cell r="U359" t="str">
            <v>Véhicules usagés</v>
          </cell>
          <cell r="V359" t="str">
            <v>Informatique</v>
          </cell>
          <cell r="W359" t="str">
            <v>$</v>
          </cell>
          <cell r="X359">
            <v>0</v>
          </cell>
        </row>
        <row r="360">
          <cell r="C360">
            <v>888</v>
          </cell>
          <cell r="O360">
            <v>222</v>
          </cell>
          <cell r="U360" t="str">
            <v>Véhicules usagés</v>
          </cell>
          <cell r="V360" t="str">
            <v>Papeterie</v>
          </cell>
          <cell r="W360" t="str">
            <v>$</v>
          </cell>
          <cell r="X360">
            <v>0</v>
          </cell>
        </row>
        <row r="361">
          <cell r="C361">
            <v>584.55999999999995</v>
          </cell>
          <cell r="O361">
            <v>136.69999999999999</v>
          </cell>
          <cell r="U361" t="str">
            <v>Véhicules usagés</v>
          </cell>
          <cell r="V361" t="str">
            <v>Téléphone</v>
          </cell>
          <cell r="W361" t="str">
            <v>$</v>
          </cell>
          <cell r="X361">
            <v>0</v>
          </cell>
        </row>
        <row r="362">
          <cell r="C362">
            <v>2653.7</v>
          </cell>
          <cell r="O362">
            <v>689.82</v>
          </cell>
          <cell r="U362" t="str">
            <v>Véhicules usagés</v>
          </cell>
          <cell r="V362" t="str">
            <v>Divers</v>
          </cell>
          <cell r="W362" t="str">
            <v>$</v>
          </cell>
          <cell r="X362">
            <v>0</v>
          </cell>
        </row>
        <row r="363">
          <cell r="C363">
            <v>2916.96</v>
          </cell>
          <cell r="O363">
            <v>729.24</v>
          </cell>
          <cell r="U363" t="str">
            <v>Véhicules usagés</v>
          </cell>
          <cell r="V363" t="str">
            <v>Frais de déplacement</v>
          </cell>
          <cell r="W363" t="str">
            <v>$</v>
          </cell>
          <cell r="X363">
            <v>0</v>
          </cell>
        </row>
        <row r="364">
          <cell r="C364">
            <v>7291.67</v>
          </cell>
          <cell r="O364">
            <v>1765.82</v>
          </cell>
          <cell r="U364" t="str">
            <v>Véhicules usagés</v>
          </cell>
          <cell r="V364" t="str">
            <v>Services extérieurs</v>
          </cell>
          <cell r="W364" t="str">
            <v>$</v>
          </cell>
          <cell r="X364">
            <v>0</v>
          </cell>
        </row>
        <row r="365">
          <cell r="C365">
            <v>4320</v>
          </cell>
          <cell r="O365">
            <v>1080</v>
          </cell>
          <cell r="U365" t="str">
            <v>Véhicules usagés</v>
          </cell>
          <cell r="V365" t="str">
            <v>Amortissement</v>
          </cell>
          <cell r="W365" t="str">
            <v>$</v>
          </cell>
          <cell r="X365">
            <v>0</v>
          </cell>
        </row>
        <row r="366">
          <cell r="C366">
            <v>192</v>
          </cell>
          <cell r="O366">
            <v>48</v>
          </cell>
          <cell r="U366" t="str">
            <v>Véhicules usagés</v>
          </cell>
          <cell r="V366" t="str">
            <v>Location équipement</v>
          </cell>
          <cell r="W366" t="str">
            <v>$</v>
          </cell>
          <cell r="X366">
            <v>0</v>
          </cell>
        </row>
        <row r="367">
          <cell r="C367">
            <v>1761.6</v>
          </cell>
          <cell r="O367">
            <v>440.4</v>
          </cell>
          <cell r="U367" t="str">
            <v>Véhicules usagés</v>
          </cell>
          <cell r="V367" t="str">
            <v>Chauffage, éclairage</v>
          </cell>
          <cell r="W367" t="str">
            <v>$</v>
          </cell>
          <cell r="X367">
            <v>0</v>
          </cell>
        </row>
        <row r="368">
          <cell r="C368">
            <v>12480.05</v>
          </cell>
          <cell r="O368">
            <v>3120.01</v>
          </cell>
          <cell r="U368" t="str">
            <v>Véhicules usagés</v>
          </cell>
          <cell r="V368" t="str">
            <v>Loyer</v>
          </cell>
          <cell r="W368" t="str">
            <v>$</v>
          </cell>
          <cell r="X368">
            <v>0</v>
          </cell>
        </row>
        <row r="369">
          <cell r="C369">
            <v>720</v>
          </cell>
          <cell r="O369">
            <v>180</v>
          </cell>
          <cell r="U369" t="str">
            <v>Véhicules usagés</v>
          </cell>
          <cell r="V369" t="str">
            <v>Assurances</v>
          </cell>
          <cell r="W369" t="str">
            <v>$</v>
          </cell>
          <cell r="X369">
            <v>0</v>
          </cell>
        </row>
        <row r="370">
          <cell r="C370">
            <v>2256</v>
          </cell>
          <cell r="O370">
            <v>564</v>
          </cell>
          <cell r="U370" t="str">
            <v>Véhicules usagés</v>
          </cell>
          <cell r="V370" t="str">
            <v>Taxes foncières</v>
          </cell>
          <cell r="W370" t="str">
            <v>$</v>
          </cell>
          <cell r="X370">
            <v>0</v>
          </cell>
        </row>
        <row r="371">
          <cell r="C371">
            <v>1512</v>
          </cell>
          <cell r="O371">
            <v>378</v>
          </cell>
          <cell r="U371" t="str">
            <v>Véhicules usagés</v>
          </cell>
          <cell r="V371" t="str">
            <v>Taxes d`affaires</v>
          </cell>
          <cell r="W371" t="str">
            <v>$</v>
          </cell>
          <cell r="X371">
            <v>0</v>
          </cell>
        </row>
        <row r="372">
          <cell r="C372">
            <v>3852</v>
          </cell>
          <cell r="O372">
            <v>963</v>
          </cell>
          <cell r="U372" t="str">
            <v>Véhicules usagés</v>
          </cell>
          <cell r="V372" t="str">
            <v>Honoraires</v>
          </cell>
          <cell r="W372" t="str">
            <v>$</v>
          </cell>
          <cell r="X372">
            <v>0</v>
          </cell>
        </row>
        <row r="373">
          <cell r="C373">
            <v>9682.7999999999993</v>
          </cell>
          <cell r="O373">
            <v>2686.35</v>
          </cell>
          <cell r="U373" t="str">
            <v>Service</v>
          </cell>
          <cell r="V373" t="str">
            <v>Service gratuit 2</v>
          </cell>
          <cell r="W373" t="str">
            <v>$</v>
          </cell>
          <cell r="X373">
            <v>0</v>
          </cell>
        </row>
        <row r="374">
          <cell r="C374">
            <v>601.38</v>
          </cell>
          <cell r="O374">
            <v>134.54</v>
          </cell>
          <cell r="U374" t="str">
            <v>Service</v>
          </cell>
          <cell r="V374" t="str">
            <v>Service gratuit 2</v>
          </cell>
          <cell r="W374" t="str">
            <v>$</v>
          </cell>
          <cell r="X374">
            <v>0</v>
          </cell>
        </row>
        <row r="375">
          <cell r="C375">
            <v>49131.1</v>
          </cell>
          <cell r="O375">
            <v>12055.76</v>
          </cell>
          <cell r="U375" t="str">
            <v>Service</v>
          </cell>
          <cell r="V375" t="str">
            <v>Publicité 2</v>
          </cell>
          <cell r="W375" t="str">
            <v>$</v>
          </cell>
          <cell r="X375">
            <v>0</v>
          </cell>
        </row>
        <row r="376">
          <cell r="C376">
            <v>6422.27</v>
          </cell>
          <cell r="O376">
            <v>2862.65</v>
          </cell>
          <cell r="U376" t="str">
            <v>Service</v>
          </cell>
          <cell r="V376" t="str">
            <v>Salaires propriétaire</v>
          </cell>
          <cell r="W376" t="str">
            <v>$</v>
          </cell>
          <cell r="X376">
            <v>0</v>
          </cell>
        </row>
        <row r="377">
          <cell r="C377">
            <v>57335.11</v>
          </cell>
          <cell r="O377">
            <v>12050.77</v>
          </cell>
          <cell r="U377" t="str">
            <v>Service</v>
          </cell>
          <cell r="V377" t="str">
            <v>Salaires cadres</v>
          </cell>
          <cell r="W377" t="str">
            <v>$</v>
          </cell>
          <cell r="X377">
            <v>0</v>
          </cell>
        </row>
        <row r="378">
          <cell r="C378">
            <v>32583.4</v>
          </cell>
          <cell r="O378">
            <v>11378.31</v>
          </cell>
          <cell r="U378" t="str">
            <v>Service</v>
          </cell>
          <cell r="V378" t="str">
            <v>Salaires commis</v>
          </cell>
          <cell r="W378" t="str">
            <v>$</v>
          </cell>
          <cell r="X378">
            <v>0</v>
          </cell>
        </row>
        <row r="379">
          <cell r="C379">
            <v>36728.93</v>
          </cell>
          <cell r="O379">
            <v>10353.65</v>
          </cell>
          <cell r="U379" t="str">
            <v>Service</v>
          </cell>
          <cell r="V379" t="str">
            <v>Salaires autres</v>
          </cell>
          <cell r="W379" t="str">
            <v>$</v>
          </cell>
          <cell r="X379">
            <v>0</v>
          </cell>
        </row>
        <row r="380">
          <cell r="C380">
            <v>83969.8</v>
          </cell>
          <cell r="O380">
            <v>24692.68</v>
          </cell>
          <cell r="U380" t="str">
            <v>Service</v>
          </cell>
          <cell r="V380" t="str">
            <v>Salaires spécialistes</v>
          </cell>
          <cell r="W380" t="str">
            <v>$</v>
          </cell>
          <cell r="X380">
            <v>0</v>
          </cell>
        </row>
        <row r="381">
          <cell r="C381">
            <v>58968.3</v>
          </cell>
          <cell r="O381">
            <v>17938.189999999999</v>
          </cell>
          <cell r="U381" t="str">
            <v>Service</v>
          </cell>
          <cell r="V381" t="str">
            <v>Salaires en absences</v>
          </cell>
          <cell r="W381" t="str">
            <v>$</v>
          </cell>
          <cell r="X381">
            <v>0</v>
          </cell>
        </row>
        <row r="382">
          <cell r="C382">
            <v>12445.79</v>
          </cell>
          <cell r="O382">
            <v>3304.97</v>
          </cell>
          <cell r="U382" t="str">
            <v>Service</v>
          </cell>
          <cell r="V382" t="str">
            <v>Csst</v>
          </cell>
          <cell r="W382" t="str">
            <v>$</v>
          </cell>
          <cell r="X382">
            <v>0</v>
          </cell>
        </row>
        <row r="383">
          <cell r="C383">
            <v>48552.84</v>
          </cell>
          <cell r="O383">
            <v>14557.74</v>
          </cell>
          <cell r="U383" t="str">
            <v>Service</v>
          </cell>
          <cell r="V383" t="str">
            <v>Déduction à la source</v>
          </cell>
          <cell r="W383" t="str">
            <v>$</v>
          </cell>
          <cell r="X383">
            <v>0</v>
          </cell>
        </row>
        <row r="384">
          <cell r="C384">
            <v>33745.79</v>
          </cell>
          <cell r="O384">
            <v>9555.3799999999992</v>
          </cell>
          <cell r="U384" t="str">
            <v>Service</v>
          </cell>
          <cell r="V384" t="str">
            <v>Bénéfices marginaux</v>
          </cell>
          <cell r="W384" t="str">
            <v>$</v>
          </cell>
          <cell r="X384">
            <v>0</v>
          </cell>
        </row>
        <row r="385">
          <cell r="C385">
            <v>3109.59</v>
          </cell>
          <cell r="O385">
            <v>440</v>
          </cell>
          <cell r="U385" t="str">
            <v>Service</v>
          </cell>
          <cell r="V385" t="str">
            <v>Fournitures autres</v>
          </cell>
          <cell r="W385" t="str">
            <v>$</v>
          </cell>
          <cell r="X385">
            <v>0</v>
          </cell>
        </row>
        <row r="386">
          <cell r="C386">
            <v>5200</v>
          </cell>
          <cell r="O386">
            <v>1300</v>
          </cell>
          <cell r="U386" t="str">
            <v>Service</v>
          </cell>
          <cell r="V386" t="str">
            <v>Uniformes</v>
          </cell>
          <cell r="W386" t="str">
            <v>$</v>
          </cell>
          <cell r="X386">
            <v>0</v>
          </cell>
        </row>
        <row r="387">
          <cell r="C387">
            <v>11146.68</v>
          </cell>
          <cell r="O387">
            <v>2786.67</v>
          </cell>
          <cell r="U387" t="str">
            <v>Service</v>
          </cell>
          <cell r="V387" t="str">
            <v>Formation</v>
          </cell>
          <cell r="W387" t="str">
            <v>$</v>
          </cell>
          <cell r="X387">
            <v>0</v>
          </cell>
        </row>
        <row r="388">
          <cell r="C388">
            <v>46312.39</v>
          </cell>
          <cell r="O388">
            <v>16710.490000000002</v>
          </cell>
          <cell r="U388" t="str">
            <v>Service</v>
          </cell>
          <cell r="V388" t="str">
            <v>Frais véhicules de cie</v>
          </cell>
          <cell r="W388" t="str">
            <v>$</v>
          </cell>
          <cell r="X388">
            <v>0</v>
          </cell>
        </row>
        <row r="389">
          <cell r="C389">
            <v>554.17999999999995</v>
          </cell>
          <cell r="O389">
            <v>49.62</v>
          </cell>
          <cell r="U389" t="str">
            <v>Service</v>
          </cell>
          <cell r="V389" t="str">
            <v>Frais postaux</v>
          </cell>
          <cell r="W389" t="str">
            <v>$</v>
          </cell>
          <cell r="X389">
            <v>0</v>
          </cell>
        </row>
        <row r="390">
          <cell r="C390">
            <v>15127.55</v>
          </cell>
          <cell r="O390">
            <v>3844.55</v>
          </cell>
          <cell r="U390" t="str">
            <v>Service</v>
          </cell>
          <cell r="V390" t="str">
            <v>Informatique</v>
          </cell>
          <cell r="W390" t="str">
            <v>$</v>
          </cell>
          <cell r="X390">
            <v>0</v>
          </cell>
        </row>
        <row r="391">
          <cell r="C391">
            <v>1776</v>
          </cell>
          <cell r="O391">
            <v>444</v>
          </cell>
          <cell r="U391" t="str">
            <v>Service</v>
          </cell>
          <cell r="V391" t="str">
            <v>Papeterie</v>
          </cell>
          <cell r="W391" t="str">
            <v>$</v>
          </cell>
          <cell r="X391">
            <v>0</v>
          </cell>
        </row>
        <row r="392">
          <cell r="C392">
            <v>2142.5100000000002</v>
          </cell>
          <cell r="O392">
            <v>544.4</v>
          </cell>
          <cell r="U392" t="str">
            <v>Service</v>
          </cell>
          <cell r="V392" t="str">
            <v>Téléphone</v>
          </cell>
          <cell r="W392" t="str">
            <v>$</v>
          </cell>
          <cell r="X392">
            <v>0</v>
          </cell>
        </row>
        <row r="393">
          <cell r="C393">
            <v>5092.59</v>
          </cell>
          <cell r="O393">
            <v>1272.23</v>
          </cell>
          <cell r="U393" t="str">
            <v>Service</v>
          </cell>
          <cell r="V393" t="str">
            <v>Divers</v>
          </cell>
          <cell r="W393" t="str">
            <v>$</v>
          </cell>
          <cell r="X393">
            <v>0</v>
          </cell>
        </row>
        <row r="394">
          <cell r="C394">
            <v>5833.92</v>
          </cell>
          <cell r="O394">
            <v>1458.48</v>
          </cell>
          <cell r="U394" t="str">
            <v>Service</v>
          </cell>
          <cell r="V394" t="str">
            <v>Frais de déplacement</v>
          </cell>
          <cell r="W394" t="str">
            <v>$</v>
          </cell>
          <cell r="X394">
            <v>0</v>
          </cell>
        </row>
        <row r="395">
          <cell r="C395">
            <v>41755.93</v>
          </cell>
          <cell r="O395">
            <v>12418.02</v>
          </cell>
          <cell r="U395" t="str">
            <v>Service</v>
          </cell>
          <cell r="V395" t="str">
            <v>Services extérieurs</v>
          </cell>
          <cell r="W395" t="str">
            <v>$</v>
          </cell>
          <cell r="X395">
            <v>0</v>
          </cell>
        </row>
        <row r="396">
          <cell r="C396">
            <v>8640</v>
          </cell>
          <cell r="O396">
            <v>2160</v>
          </cell>
          <cell r="U396" t="str">
            <v>Service</v>
          </cell>
          <cell r="V396" t="str">
            <v>Amortissement</v>
          </cell>
          <cell r="W396" t="str">
            <v>$</v>
          </cell>
          <cell r="X396">
            <v>0</v>
          </cell>
        </row>
        <row r="397">
          <cell r="C397">
            <v>1184</v>
          </cell>
          <cell r="O397">
            <v>296</v>
          </cell>
          <cell r="U397" t="str">
            <v>Service</v>
          </cell>
          <cell r="V397" t="str">
            <v>Location équipement</v>
          </cell>
          <cell r="W397" t="str">
            <v>$</v>
          </cell>
          <cell r="X397">
            <v>0</v>
          </cell>
        </row>
        <row r="398">
          <cell r="C398">
            <v>3536</v>
          </cell>
          <cell r="O398">
            <v>884</v>
          </cell>
          <cell r="U398" t="str">
            <v>Service</v>
          </cell>
          <cell r="V398" t="str">
            <v>Réparation équipement</v>
          </cell>
          <cell r="W398" t="str">
            <v>$</v>
          </cell>
          <cell r="X398">
            <v>0</v>
          </cell>
        </row>
        <row r="399">
          <cell r="C399">
            <v>3523.2</v>
          </cell>
          <cell r="O399">
            <v>880.8</v>
          </cell>
          <cell r="U399" t="str">
            <v>Service</v>
          </cell>
          <cell r="V399" t="str">
            <v>Chauffage, éclairage</v>
          </cell>
          <cell r="W399" t="str">
            <v>$</v>
          </cell>
          <cell r="X399">
            <v>0</v>
          </cell>
        </row>
        <row r="400">
          <cell r="C400">
            <v>24960.09</v>
          </cell>
          <cell r="O400">
            <v>6240.02</v>
          </cell>
          <cell r="U400" t="str">
            <v>Service</v>
          </cell>
          <cell r="V400" t="str">
            <v>Loyer</v>
          </cell>
          <cell r="W400" t="str">
            <v>$</v>
          </cell>
          <cell r="X400">
            <v>0</v>
          </cell>
        </row>
        <row r="401">
          <cell r="C401">
            <v>1440</v>
          </cell>
          <cell r="O401">
            <v>360</v>
          </cell>
          <cell r="U401" t="str">
            <v>Service</v>
          </cell>
          <cell r="V401" t="str">
            <v>Assurances</v>
          </cell>
          <cell r="W401" t="str">
            <v>$</v>
          </cell>
          <cell r="X401">
            <v>0</v>
          </cell>
        </row>
        <row r="402">
          <cell r="C402">
            <v>4512</v>
          </cell>
          <cell r="O402">
            <v>1128</v>
          </cell>
          <cell r="U402" t="str">
            <v>Service</v>
          </cell>
          <cell r="V402" t="str">
            <v>Taxes foncières</v>
          </cell>
          <cell r="W402" t="str">
            <v>$</v>
          </cell>
          <cell r="X402">
            <v>0</v>
          </cell>
        </row>
        <row r="403">
          <cell r="C403">
            <v>3024</v>
          </cell>
          <cell r="O403">
            <v>756</v>
          </cell>
          <cell r="U403" t="str">
            <v>Service</v>
          </cell>
          <cell r="V403" t="str">
            <v>Taxes d`affaires</v>
          </cell>
          <cell r="W403" t="str">
            <v>$</v>
          </cell>
          <cell r="X403">
            <v>0</v>
          </cell>
        </row>
        <row r="404">
          <cell r="C404">
            <v>7704</v>
          </cell>
          <cell r="O404">
            <v>1926</v>
          </cell>
          <cell r="U404" t="str">
            <v>Service</v>
          </cell>
          <cell r="V404" t="str">
            <v>Honoraires</v>
          </cell>
          <cell r="W404" t="str">
            <v>$</v>
          </cell>
          <cell r="X404">
            <v>0</v>
          </cell>
        </row>
        <row r="405">
          <cell r="C405">
            <v>2941.69</v>
          </cell>
          <cell r="O405">
            <v>308.31</v>
          </cell>
          <cell r="U405" t="str">
            <v>Carrosserie</v>
          </cell>
          <cell r="V405" t="str">
            <v>Service gratuit 2</v>
          </cell>
          <cell r="W405" t="str">
            <v>$</v>
          </cell>
          <cell r="X405">
            <v>0</v>
          </cell>
        </row>
        <row r="406">
          <cell r="C406">
            <v>3999.14</v>
          </cell>
          <cell r="O406">
            <v>286.27</v>
          </cell>
          <cell r="U406" t="str">
            <v>Carrosserie</v>
          </cell>
          <cell r="V406" t="str">
            <v>Salaires propriétaire</v>
          </cell>
          <cell r="W406" t="str">
            <v>$</v>
          </cell>
          <cell r="X406">
            <v>0</v>
          </cell>
        </row>
        <row r="407">
          <cell r="C407">
            <v>1725.89</v>
          </cell>
          <cell r="O407">
            <v>383.42</v>
          </cell>
          <cell r="U407" t="str">
            <v>Carrosserie</v>
          </cell>
          <cell r="V407" t="str">
            <v>Salaires cadres</v>
          </cell>
          <cell r="W407" t="str">
            <v>$</v>
          </cell>
          <cell r="X407">
            <v>0</v>
          </cell>
        </row>
        <row r="408">
          <cell r="C408">
            <v>4527.21</v>
          </cell>
          <cell r="O408">
            <v>1310.9</v>
          </cell>
          <cell r="U408" t="str">
            <v>Carrosserie</v>
          </cell>
          <cell r="V408" t="str">
            <v>Salaires commis</v>
          </cell>
          <cell r="W408" t="str">
            <v>$</v>
          </cell>
          <cell r="X408">
            <v>0</v>
          </cell>
        </row>
        <row r="409">
          <cell r="C409">
            <v>19741.64</v>
          </cell>
          <cell r="O409">
            <v>7020.54</v>
          </cell>
          <cell r="U409" t="str">
            <v>Carrosserie</v>
          </cell>
          <cell r="V409" t="str">
            <v>Salaires autres</v>
          </cell>
          <cell r="W409" t="str">
            <v>$</v>
          </cell>
          <cell r="X409">
            <v>0</v>
          </cell>
        </row>
        <row r="410">
          <cell r="C410">
            <v>21169.02</v>
          </cell>
          <cell r="O410">
            <v>6988.16</v>
          </cell>
          <cell r="U410" t="str">
            <v>Carrosserie</v>
          </cell>
          <cell r="V410" t="str">
            <v>Salaires spécialistes</v>
          </cell>
          <cell r="W410" t="str">
            <v>$</v>
          </cell>
          <cell r="X410">
            <v>0</v>
          </cell>
        </row>
        <row r="411">
          <cell r="C411">
            <v>4839.17</v>
          </cell>
          <cell r="O411">
            <v>1270.52</v>
          </cell>
          <cell r="U411" t="str">
            <v>Carrosserie</v>
          </cell>
          <cell r="V411" t="str">
            <v>Salaires en absences</v>
          </cell>
          <cell r="W411" t="str">
            <v>$</v>
          </cell>
          <cell r="X411">
            <v>0</v>
          </cell>
        </row>
        <row r="412">
          <cell r="C412">
            <v>1215.1500000000001</v>
          </cell>
          <cell r="O412">
            <v>278.86</v>
          </cell>
          <cell r="U412" t="str">
            <v>Carrosserie</v>
          </cell>
          <cell r="V412" t="str">
            <v>Csst</v>
          </cell>
          <cell r="W412" t="str">
            <v>$</v>
          </cell>
          <cell r="X412">
            <v>0</v>
          </cell>
        </row>
        <row r="413">
          <cell r="C413">
            <v>4811.66</v>
          </cell>
          <cell r="O413">
            <v>1258.19</v>
          </cell>
          <cell r="U413" t="str">
            <v>Carrosserie</v>
          </cell>
          <cell r="V413" t="str">
            <v>Déduction à la source</v>
          </cell>
          <cell r="W413" t="str">
            <v>$</v>
          </cell>
          <cell r="X413">
            <v>0</v>
          </cell>
        </row>
        <row r="414">
          <cell r="C414">
            <v>2129.3200000000002</v>
          </cell>
          <cell r="O414">
            <v>532.33000000000004</v>
          </cell>
          <cell r="U414" t="str">
            <v>Carrosserie</v>
          </cell>
          <cell r="V414" t="str">
            <v>Bénéfices marginaux</v>
          </cell>
          <cell r="W414" t="str">
            <v>$</v>
          </cell>
          <cell r="X414">
            <v>0</v>
          </cell>
        </row>
        <row r="415">
          <cell r="C415">
            <v>140</v>
          </cell>
          <cell r="O415">
            <v>35</v>
          </cell>
          <cell r="U415" t="str">
            <v>Carrosserie</v>
          </cell>
          <cell r="V415" t="str">
            <v>Formation</v>
          </cell>
          <cell r="W415" t="str">
            <v>$</v>
          </cell>
          <cell r="X415">
            <v>0</v>
          </cell>
        </row>
        <row r="416">
          <cell r="C416">
            <v>7081.33</v>
          </cell>
          <cell r="O416">
            <v>1714.81</v>
          </cell>
          <cell r="U416" t="str">
            <v>Carrosserie</v>
          </cell>
          <cell r="V416" t="str">
            <v>Frais véhicules de cie</v>
          </cell>
          <cell r="W416" t="str">
            <v>$</v>
          </cell>
          <cell r="X416">
            <v>0</v>
          </cell>
        </row>
        <row r="417">
          <cell r="C417">
            <v>118.2</v>
          </cell>
          <cell r="O417">
            <v>14.47</v>
          </cell>
          <cell r="U417" t="str">
            <v>Carrosserie</v>
          </cell>
          <cell r="V417" t="str">
            <v>Frais postaux</v>
          </cell>
          <cell r="W417" t="str">
            <v>$</v>
          </cell>
          <cell r="X417">
            <v>0</v>
          </cell>
        </row>
        <row r="418">
          <cell r="C418">
            <v>5515.41</v>
          </cell>
          <cell r="O418">
            <v>1349.59</v>
          </cell>
          <cell r="U418" t="str">
            <v>Carrosserie</v>
          </cell>
          <cell r="V418" t="str">
            <v>Informatique</v>
          </cell>
          <cell r="W418" t="str">
            <v>$</v>
          </cell>
          <cell r="X418">
            <v>0</v>
          </cell>
        </row>
        <row r="419">
          <cell r="C419">
            <v>518</v>
          </cell>
          <cell r="O419">
            <v>129.5</v>
          </cell>
          <cell r="U419" t="str">
            <v>Carrosserie</v>
          </cell>
          <cell r="V419" t="str">
            <v>Papeterie</v>
          </cell>
          <cell r="W419" t="str">
            <v>$</v>
          </cell>
          <cell r="X419">
            <v>0</v>
          </cell>
        </row>
        <row r="420">
          <cell r="C420">
            <v>464.65</v>
          </cell>
          <cell r="O420">
            <v>120.96</v>
          </cell>
          <cell r="U420" t="str">
            <v>Carrosserie</v>
          </cell>
          <cell r="V420" t="str">
            <v>Téléphone</v>
          </cell>
          <cell r="W420" t="str">
            <v>$</v>
          </cell>
          <cell r="X420">
            <v>0</v>
          </cell>
        </row>
        <row r="421">
          <cell r="C421">
            <v>1485.34</v>
          </cell>
          <cell r="O421">
            <v>371.07</v>
          </cell>
          <cell r="U421" t="str">
            <v>Carrosserie</v>
          </cell>
          <cell r="V421" t="str">
            <v>Divers</v>
          </cell>
          <cell r="W421" t="str">
            <v>$</v>
          </cell>
          <cell r="X421">
            <v>0</v>
          </cell>
        </row>
        <row r="422">
          <cell r="C422">
            <v>1701.56</v>
          </cell>
          <cell r="O422">
            <v>425.39</v>
          </cell>
          <cell r="U422" t="str">
            <v>Carrosserie</v>
          </cell>
          <cell r="V422" t="str">
            <v>Frais de déplacement</v>
          </cell>
          <cell r="W422" t="str">
            <v>$</v>
          </cell>
          <cell r="X422">
            <v>0</v>
          </cell>
        </row>
        <row r="423">
          <cell r="C423">
            <v>4253.5</v>
          </cell>
          <cell r="O423">
            <v>1030.07</v>
          </cell>
          <cell r="U423" t="str">
            <v>Carrosserie</v>
          </cell>
          <cell r="V423" t="str">
            <v>Services extérieurs</v>
          </cell>
          <cell r="W423" t="str">
            <v>$</v>
          </cell>
          <cell r="X423">
            <v>0</v>
          </cell>
        </row>
        <row r="424">
          <cell r="C424">
            <v>2520</v>
          </cell>
          <cell r="O424">
            <v>630</v>
          </cell>
          <cell r="U424" t="str">
            <v>Carrosserie</v>
          </cell>
          <cell r="V424" t="str">
            <v>Amortissement</v>
          </cell>
          <cell r="W424" t="str">
            <v>$</v>
          </cell>
          <cell r="X424">
            <v>0</v>
          </cell>
        </row>
        <row r="425">
          <cell r="C425">
            <v>112</v>
          </cell>
          <cell r="O425">
            <v>28</v>
          </cell>
          <cell r="U425" t="str">
            <v>Carrosserie</v>
          </cell>
          <cell r="V425" t="str">
            <v>Location équipement</v>
          </cell>
          <cell r="W425" t="str">
            <v>$</v>
          </cell>
          <cell r="X425">
            <v>0</v>
          </cell>
        </row>
        <row r="426">
          <cell r="C426">
            <v>1027.5999999999999</v>
          </cell>
          <cell r="O426">
            <v>256.89999999999998</v>
          </cell>
          <cell r="U426" t="str">
            <v>Carrosserie</v>
          </cell>
          <cell r="V426" t="str">
            <v>Chauffage, éclairage</v>
          </cell>
          <cell r="W426" t="str">
            <v>$</v>
          </cell>
          <cell r="X426">
            <v>0</v>
          </cell>
        </row>
        <row r="427">
          <cell r="C427">
            <v>7280.04</v>
          </cell>
          <cell r="O427">
            <v>1820.01</v>
          </cell>
          <cell r="U427" t="str">
            <v>Carrosserie</v>
          </cell>
          <cell r="V427" t="str">
            <v>Loyer</v>
          </cell>
          <cell r="W427" t="str">
            <v>$</v>
          </cell>
          <cell r="X427">
            <v>0</v>
          </cell>
        </row>
        <row r="428">
          <cell r="C428">
            <v>420</v>
          </cell>
          <cell r="O428">
            <v>105</v>
          </cell>
          <cell r="U428" t="str">
            <v>Carrosserie</v>
          </cell>
          <cell r="V428" t="str">
            <v>Assurances</v>
          </cell>
          <cell r="W428" t="str">
            <v>$</v>
          </cell>
          <cell r="X428">
            <v>0</v>
          </cell>
        </row>
        <row r="429">
          <cell r="C429">
            <v>1316</v>
          </cell>
          <cell r="O429">
            <v>329</v>
          </cell>
          <cell r="U429" t="str">
            <v>Carrosserie</v>
          </cell>
          <cell r="V429" t="str">
            <v>Taxes foncières</v>
          </cell>
          <cell r="W429" t="str">
            <v>$</v>
          </cell>
          <cell r="X429">
            <v>0</v>
          </cell>
        </row>
        <row r="430">
          <cell r="C430">
            <v>882</v>
          </cell>
          <cell r="O430">
            <v>220.5</v>
          </cell>
          <cell r="U430" t="str">
            <v>Carrosserie</v>
          </cell>
          <cell r="V430" t="str">
            <v>Taxes d`affaires</v>
          </cell>
          <cell r="W430" t="str">
            <v>$</v>
          </cell>
          <cell r="X430">
            <v>0</v>
          </cell>
        </row>
        <row r="431">
          <cell r="C431">
            <v>2247</v>
          </cell>
          <cell r="O431">
            <v>561.75</v>
          </cell>
          <cell r="U431" t="str">
            <v>Carrosserie</v>
          </cell>
          <cell r="V431" t="str">
            <v>Honoraires</v>
          </cell>
          <cell r="W431" t="str">
            <v>$</v>
          </cell>
          <cell r="X431">
            <v>0</v>
          </cell>
        </row>
        <row r="432">
          <cell r="C432">
            <v>5731.03</v>
          </cell>
          <cell r="O432">
            <v>8.52</v>
          </cell>
          <cell r="U432" t="str">
            <v>Pièces</v>
          </cell>
          <cell r="V432" t="str">
            <v>Service gratuit 2</v>
          </cell>
          <cell r="W432" t="str">
            <v>$</v>
          </cell>
          <cell r="X432">
            <v>0</v>
          </cell>
        </row>
        <row r="433">
          <cell r="C433">
            <v>26397.39</v>
          </cell>
          <cell r="O433">
            <v>9919.64</v>
          </cell>
          <cell r="U433" t="str">
            <v>Pièces</v>
          </cell>
          <cell r="V433" t="str">
            <v>Publicité 2</v>
          </cell>
          <cell r="W433" t="str">
            <v>$</v>
          </cell>
          <cell r="X433">
            <v>0</v>
          </cell>
        </row>
        <row r="434">
          <cell r="C434">
            <v>11957.95</v>
          </cell>
          <cell r="O434">
            <v>1622.17</v>
          </cell>
          <cell r="U434" t="str">
            <v>Pièces</v>
          </cell>
          <cell r="V434" t="str">
            <v>Salaires propriétaire</v>
          </cell>
          <cell r="W434" t="str">
            <v>$</v>
          </cell>
          <cell r="X434">
            <v>0</v>
          </cell>
        </row>
        <row r="435">
          <cell r="C435">
            <v>45602.89</v>
          </cell>
          <cell r="O435">
            <v>11960.17</v>
          </cell>
          <cell r="U435" t="str">
            <v>Pièces</v>
          </cell>
          <cell r="V435" t="str">
            <v>Salaires cadres</v>
          </cell>
          <cell r="W435" t="str">
            <v>$</v>
          </cell>
          <cell r="X435">
            <v>0</v>
          </cell>
        </row>
        <row r="436">
          <cell r="C436">
            <v>16083.5</v>
          </cell>
          <cell r="O436">
            <v>4664.2</v>
          </cell>
          <cell r="U436" t="str">
            <v>Pièces</v>
          </cell>
          <cell r="V436" t="str">
            <v>Salaires commis</v>
          </cell>
          <cell r="W436" t="str">
            <v>$</v>
          </cell>
          <cell r="X436">
            <v>0</v>
          </cell>
        </row>
        <row r="437">
          <cell r="C437">
            <v>61223.24</v>
          </cell>
          <cell r="O437">
            <v>15579.01</v>
          </cell>
          <cell r="U437" t="str">
            <v>Pièces</v>
          </cell>
          <cell r="V437" t="str">
            <v>Salaires autres</v>
          </cell>
          <cell r="W437" t="str">
            <v>$</v>
          </cell>
          <cell r="X437">
            <v>0</v>
          </cell>
        </row>
        <row r="438">
          <cell r="C438">
            <v>15134.34</v>
          </cell>
          <cell r="O438">
            <v>4137.8599999999997</v>
          </cell>
          <cell r="U438" t="str">
            <v>Pièces</v>
          </cell>
          <cell r="V438" t="str">
            <v>Salaires en absences</v>
          </cell>
          <cell r="W438" t="str">
            <v>$</v>
          </cell>
          <cell r="X438">
            <v>0</v>
          </cell>
        </row>
        <row r="439">
          <cell r="C439">
            <v>3763.09</v>
          </cell>
          <cell r="O439">
            <v>899.46</v>
          </cell>
          <cell r="U439" t="str">
            <v>Pièces</v>
          </cell>
          <cell r="V439" t="str">
            <v>Csst</v>
          </cell>
          <cell r="W439" t="str">
            <v>$</v>
          </cell>
          <cell r="X439">
            <v>0</v>
          </cell>
        </row>
        <row r="440">
          <cell r="C440">
            <v>15010.96</v>
          </cell>
          <cell r="O440">
            <v>4072.76</v>
          </cell>
          <cell r="U440" t="str">
            <v>Pièces</v>
          </cell>
          <cell r="V440" t="str">
            <v>Csst</v>
          </cell>
          <cell r="W440" t="str">
            <v>$</v>
          </cell>
          <cell r="X440">
            <v>0</v>
          </cell>
        </row>
        <row r="441">
          <cell r="C441">
            <v>16877.88</v>
          </cell>
          <cell r="O441">
            <v>4436.7700000000004</v>
          </cell>
          <cell r="U441" t="str">
            <v>Pièces</v>
          </cell>
          <cell r="V441" t="str">
            <v>Bénéfices marginaux</v>
          </cell>
          <cell r="W441" t="str">
            <v>$</v>
          </cell>
          <cell r="X441">
            <v>0</v>
          </cell>
        </row>
        <row r="442">
          <cell r="C442">
            <v>415</v>
          </cell>
          <cell r="O442">
            <v>110</v>
          </cell>
          <cell r="U442" t="str">
            <v>Pièces</v>
          </cell>
          <cell r="V442" t="str">
            <v>Fournitures autres</v>
          </cell>
          <cell r="W442" t="str">
            <v>$</v>
          </cell>
          <cell r="X442">
            <v>0</v>
          </cell>
        </row>
        <row r="443">
          <cell r="C443">
            <v>680</v>
          </cell>
          <cell r="O443">
            <v>170</v>
          </cell>
          <cell r="U443" t="str">
            <v>Pièces</v>
          </cell>
          <cell r="V443" t="str">
            <v>Uniformes</v>
          </cell>
          <cell r="W443" t="str">
            <v>$</v>
          </cell>
          <cell r="X443">
            <v>0</v>
          </cell>
        </row>
        <row r="444">
          <cell r="C444">
            <v>1300</v>
          </cell>
          <cell r="O444">
            <v>325</v>
          </cell>
          <cell r="U444" t="str">
            <v>Pièces</v>
          </cell>
          <cell r="V444" t="str">
            <v>Formation</v>
          </cell>
          <cell r="W444" t="str">
            <v>$</v>
          </cell>
          <cell r="X444">
            <v>0</v>
          </cell>
        </row>
        <row r="445">
          <cell r="C445">
            <v>4792.99</v>
          </cell>
          <cell r="O445">
            <v>1161.26</v>
          </cell>
          <cell r="U445" t="str">
            <v>Pièces</v>
          </cell>
          <cell r="V445" t="str">
            <v>Frais véhicules de cie</v>
          </cell>
          <cell r="W445" t="str">
            <v>$</v>
          </cell>
          <cell r="X445">
            <v>0</v>
          </cell>
        </row>
        <row r="446">
          <cell r="C446">
            <v>428.54</v>
          </cell>
          <cell r="O446">
            <v>51.68</v>
          </cell>
          <cell r="U446" t="str">
            <v>Pièces</v>
          </cell>
          <cell r="V446" t="str">
            <v>Frais postaux</v>
          </cell>
          <cell r="W446" t="str">
            <v>$</v>
          </cell>
          <cell r="X446">
            <v>0</v>
          </cell>
        </row>
        <row r="447">
          <cell r="C447">
            <v>15087.95</v>
          </cell>
          <cell r="O447">
            <v>3677.6</v>
          </cell>
          <cell r="U447" t="str">
            <v>Pièces</v>
          </cell>
          <cell r="V447" t="str">
            <v>Informatique</v>
          </cell>
          <cell r="W447" t="str">
            <v>$</v>
          </cell>
          <cell r="X447">
            <v>0</v>
          </cell>
        </row>
        <row r="448">
          <cell r="C448">
            <v>1850</v>
          </cell>
          <cell r="O448">
            <v>462.5</v>
          </cell>
          <cell r="U448" t="str">
            <v>Pièces</v>
          </cell>
          <cell r="V448" t="str">
            <v>Papeterie</v>
          </cell>
          <cell r="W448" t="str">
            <v>$</v>
          </cell>
          <cell r="X448">
            <v>0</v>
          </cell>
        </row>
        <row r="449">
          <cell r="C449">
            <v>1365.76</v>
          </cell>
          <cell r="O449">
            <v>334.11</v>
          </cell>
          <cell r="U449" t="str">
            <v>Pièces</v>
          </cell>
          <cell r="V449" t="str">
            <v>Téléphone</v>
          </cell>
          <cell r="W449" t="str">
            <v>$</v>
          </cell>
          <cell r="X449">
            <v>0</v>
          </cell>
        </row>
        <row r="450">
          <cell r="C450">
            <v>5304.77</v>
          </cell>
          <cell r="O450">
            <v>1325.23</v>
          </cell>
          <cell r="U450" t="str">
            <v>Pièces</v>
          </cell>
          <cell r="V450" t="str">
            <v>Divers</v>
          </cell>
          <cell r="W450" t="str">
            <v>$</v>
          </cell>
          <cell r="X450">
            <v>0</v>
          </cell>
        </row>
        <row r="451">
          <cell r="C451">
            <v>6077</v>
          </cell>
          <cell r="O451">
            <v>1519.25</v>
          </cell>
          <cell r="U451" t="str">
            <v>Pièces</v>
          </cell>
          <cell r="V451" t="str">
            <v>Frais de déplacement</v>
          </cell>
          <cell r="W451" t="str">
            <v>$</v>
          </cell>
          <cell r="X451">
            <v>0</v>
          </cell>
        </row>
        <row r="452">
          <cell r="C452">
            <v>41155.81</v>
          </cell>
          <cell r="O452">
            <v>12916.02</v>
          </cell>
          <cell r="U452" t="str">
            <v>Pièces</v>
          </cell>
          <cell r="V452" t="str">
            <v>Services extérieurs</v>
          </cell>
          <cell r="W452" t="str">
            <v>$</v>
          </cell>
          <cell r="X452">
            <v>0</v>
          </cell>
        </row>
        <row r="453">
          <cell r="C453">
            <v>9000</v>
          </cell>
          <cell r="O453">
            <v>2250</v>
          </cell>
          <cell r="U453" t="str">
            <v>Pièces</v>
          </cell>
          <cell r="V453" t="str">
            <v>Amortissement</v>
          </cell>
          <cell r="W453" t="str">
            <v>$</v>
          </cell>
          <cell r="X453">
            <v>0</v>
          </cell>
        </row>
        <row r="454">
          <cell r="C454">
            <v>1600</v>
          </cell>
          <cell r="O454">
            <v>400</v>
          </cell>
          <cell r="U454" t="str">
            <v>Pièces</v>
          </cell>
          <cell r="V454" t="str">
            <v>Location équipement</v>
          </cell>
          <cell r="W454" t="str">
            <v>$</v>
          </cell>
          <cell r="X454">
            <v>0</v>
          </cell>
        </row>
        <row r="455">
          <cell r="C455">
            <v>3670</v>
          </cell>
          <cell r="O455">
            <v>917.5</v>
          </cell>
          <cell r="U455" t="str">
            <v>Pièces</v>
          </cell>
          <cell r="V455" t="str">
            <v>Chauffage, éclairage</v>
          </cell>
          <cell r="W455" t="str">
            <v>$</v>
          </cell>
          <cell r="X455">
            <v>0</v>
          </cell>
        </row>
        <row r="456">
          <cell r="C456">
            <v>26000.03</v>
          </cell>
          <cell r="O456">
            <v>6500</v>
          </cell>
          <cell r="U456" t="str">
            <v>Pièces</v>
          </cell>
          <cell r="V456" t="str">
            <v>Loyer</v>
          </cell>
          <cell r="W456" t="str">
            <v>$</v>
          </cell>
          <cell r="X456">
            <v>0</v>
          </cell>
        </row>
        <row r="457">
          <cell r="C457">
            <v>1500</v>
          </cell>
          <cell r="O457">
            <v>375</v>
          </cell>
          <cell r="U457" t="str">
            <v>Pièces</v>
          </cell>
          <cell r="V457" t="str">
            <v>Assurances</v>
          </cell>
          <cell r="W457" t="str">
            <v>$</v>
          </cell>
          <cell r="X457">
            <v>0</v>
          </cell>
        </row>
        <row r="458">
          <cell r="C458">
            <v>4700</v>
          </cell>
          <cell r="O458">
            <v>1175</v>
          </cell>
          <cell r="U458" t="str">
            <v>Pièces</v>
          </cell>
          <cell r="V458" t="str">
            <v>Taxes foncières</v>
          </cell>
          <cell r="W458" t="str">
            <v>$</v>
          </cell>
          <cell r="X458">
            <v>0</v>
          </cell>
        </row>
        <row r="459">
          <cell r="C459">
            <v>3150</v>
          </cell>
          <cell r="O459">
            <v>787.5</v>
          </cell>
          <cell r="U459" t="str">
            <v>Pièces</v>
          </cell>
          <cell r="V459" t="str">
            <v>Taxes d`affaires</v>
          </cell>
          <cell r="W459" t="str">
            <v>$</v>
          </cell>
          <cell r="X459">
            <v>0</v>
          </cell>
        </row>
        <row r="460">
          <cell r="C460">
            <v>8025</v>
          </cell>
          <cell r="O460">
            <v>2006.25</v>
          </cell>
          <cell r="U460" t="str">
            <v>Pièces</v>
          </cell>
          <cell r="V460" t="str">
            <v>Honoraires</v>
          </cell>
          <cell r="W460" t="str">
            <v>$</v>
          </cell>
          <cell r="X460">
            <v>0</v>
          </cell>
        </row>
        <row r="461">
          <cell r="C461">
            <v>-335021.84999999998</v>
          </cell>
          <cell r="O461">
            <v>-72454</v>
          </cell>
          <cell r="U461" t="str">
            <v>Véhicules neufs</v>
          </cell>
          <cell r="V461" t="str">
            <v>Holdbacks</v>
          </cell>
          <cell r="W461" t="str">
            <v>$</v>
          </cell>
          <cell r="X461">
            <v>0</v>
          </cell>
        </row>
        <row r="462">
          <cell r="C462">
            <v>-12687.99</v>
          </cell>
          <cell r="O462">
            <v>-12847.1</v>
          </cell>
          <cell r="U462" t="str">
            <v>Pièces</v>
          </cell>
          <cell r="V462" t="str">
            <v>Escomptes</v>
          </cell>
          <cell r="W462" t="str">
            <v>$</v>
          </cell>
          <cell r="X462">
            <v>0</v>
          </cell>
        </row>
        <row r="463">
          <cell r="C463">
            <v>-63478</v>
          </cell>
          <cell r="O463">
            <v>-45750</v>
          </cell>
          <cell r="U463" t="str">
            <v>Véhicules neufs</v>
          </cell>
          <cell r="V463" t="str">
            <v>Programme neuf 1</v>
          </cell>
          <cell r="W463" t="str">
            <v>$</v>
          </cell>
          <cell r="X463">
            <v>0</v>
          </cell>
        </row>
        <row r="464">
          <cell r="C464">
            <v>-36620.49</v>
          </cell>
          <cell r="O464">
            <v>-5883.99</v>
          </cell>
          <cell r="U464" t="str">
            <v>Véhicules neufs</v>
          </cell>
          <cell r="V464" t="str">
            <v>Rev. Finances</v>
          </cell>
          <cell r="W464" t="str">
            <v>$</v>
          </cell>
          <cell r="X464">
            <v>0</v>
          </cell>
        </row>
        <row r="465">
          <cell r="C465">
            <v>-53758.61</v>
          </cell>
          <cell r="O465">
            <v>-23294.74</v>
          </cell>
          <cell r="U465" t="str">
            <v>Véhicules usagés</v>
          </cell>
          <cell r="V465" t="str">
            <v>Rev. Finances</v>
          </cell>
          <cell r="W465" t="str">
            <v>$</v>
          </cell>
          <cell r="X465">
            <v>0</v>
          </cell>
        </row>
        <row r="466">
          <cell r="C466">
            <v>-8437.77</v>
          </cell>
          <cell r="O466">
            <v>-546</v>
          </cell>
          <cell r="U466" t="str">
            <v>Véhicules neufs</v>
          </cell>
          <cell r="V466" t="str">
            <v>Rev. Autres</v>
          </cell>
          <cell r="W466" t="str">
            <v>$</v>
          </cell>
          <cell r="X466">
            <v>0</v>
          </cell>
        </row>
        <row r="467">
          <cell r="C467">
            <v>-4247.24</v>
          </cell>
          <cell r="O467">
            <v>-797.27</v>
          </cell>
          <cell r="U467" t="str">
            <v>Véhicules usagés</v>
          </cell>
          <cell r="V467" t="str">
            <v>Rev. Autres</v>
          </cell>
          <cell r="W467" t="str">
            <v>$</v>
          </cell>
          <cell r="X467">
            <v>0</v>
          </cell>
        </row>
        <row r="468">
          <cell r="C468">
            <v>-61873.95</v>
          </cell>
          <cell r="O468">
            <v>-6591.84</v>
          </cell>
          <cell r="U468" t="str">
            <v>Véhicules neufs</v>
          </cell>
          <cell r="V468" t="str">
            <v>Rev. Protections</v>
          </cell>
          <cell r="W468" t="str">
            <v>$</v>
          </cell>
          <cell r="X468">
            <v>0</v>
          </cell>
        </row>
        <row r="469">
          <cell r="C469">
            <v>-90431.3</v>
          </cell>
          <cell r="O469">
            <v>-27795.78</v>
          </cell>
          <cell r="U469" t="str">
            <v>Véhicules neufs</v>
          </cell>
          <cell r="V469" t="str">
            <v>Rev. Protections</v>
          </cell>
          <cell r="W469" t="str">
            <v>$</v>
          </cell>
          <cell r="X469">
            <v>0</v>
          </cell>
        </row>
        <row r="470">
          <cell r="C470">
            <v>-47561.56</v>
          </cell>
          <cell r="O470">
            <v>-17013</v>
          </cell>
          <cell r="U470" t="str">
            <v>Véhicules usagés</v>
          </cell>
          <cell r="V470" t="str">
            <v>Rev. Protections</v>
          </cell>
          <cell r="W470" t="str">
            <v>$</v>
          </cell>
          <cell r="X470">
            <v>0</v>
          </cell>
        </row>
        <row r="471">
          <cell r="C471">
            <v>-21683.32</v>
          </cell>
          <cell r="O471">
            <v>-5572.85</v>
          </cell>
          <cell r="U471" t="str">
            <v>Véhicules usagés</v>
          </cell>
          <cell r="V471" t="str">
            <v>Rev. Protections</v>
          </cell>
          <cell r="W471" t="str">
            <v>$</v>
          </cell>
          <cell r="X471">
            <v>0</v>
          </cell>
        </row>
        <row r="472">
          <cell r="C472">
            <v>-113757.25</v>
          </cell>
          <cell r="O472">
            <v>-23127</v>
          </cell>
          <cell r="U472" t="str">
            <v>Véhicules neufs</v>
          </cell>
          <cell r="V472" t="str">
            <v>Frais administration</v>
          </cell>
          <cell r="W472" t="str">
            <v>$</v>
          </cell>
          <cell r="X472">
            <v>0</v>
          </cell>
        </row>
        <row r="473">
          <cell r="C473">
            <v>-156768.12</v>
          </cell>
          <cell r="O473">
            <v>-19268.11</v>
          </cell>
          <cell r="U473" t="str">
            <v>TOTAL  DES  REVENUS  ET  DÉPENSES</v>
          </cell>
          <cell r="V473" t="str">
            <v>Revenus autres</v>
          </cell>
          <cell r="W473" t="str">
            <v>$</v>
          </cell>
          <cell r="X473">
            <v>0</v>
          </cell>
        </row>
        <row r="474">
          <cell r="C474">
            <v>15993.27</v>
          </cell>
          <cell r="O474">
            <v>4607.6400000000003</v>
          </cell>
          <cell r="U474" t="str">
            <v>TOTAL  DES  REVENUS  ET  DÉPENSES</v>
          </cell>
          <cell r="V474" t="str">
            <v>Intérêts sur prêt</v>
          </cell>
          <cell r="W474" t="str">
            <v>$</v>
          </cell>
          <cell r="X474">
            <v>0</v>
          </cell>
        </row>
        <row r="475">
          <cell r="C475">
            <v>27908.33</v>
          </cell>
          <cell r="O475">
            <v>8180.25</v>
          </cell>
          <cell r="U475" t="str">
            <v>Véhicules neufs</v>
          </cell>
          <cell r="V475" t="str">
            <v>Frais bancaires</v>
          </cell>
          <cell r="W475" t="str">
            <v>$</v>
          </cell>
          <cell r="X475">
            <v>0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Juin</v>
          </cell>
        </row>
        <row r="4">
          <cell r="B4">
            <v>2021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>X</v>
          </cell>
          <cell r="V2" t="str">
            <v>O</v>
          </cell>
          <cell r="W2" t="str">
            <v>U</v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3"/>
      <sheetData sheetId="4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>X</v>
          </cell>
          <cell r="V2" t="str">
            <v>O</v>
          </cell>
          <cell r="W2" t="str">
            <v>U</v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2021</v>
          </cell>
          <cell r="C4" t="str">
            <v>Véhicules neufs</v>
          </cell>
        </row>
        <row r="6">
          <cell r="B6" t="str">
            <v>Mois</v>
          </cell>
          <cell r="C6">
            <v>2021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9553310.0954870339</v>
          </cell>
          <cell r="H8">
            <v>1882577.9033123129</v>
          </cell>
          <cell r="K8">
            <v>446219.11410022038</v>
          </cell>
          <cell r="N8">
            <v>678330.08198413614</v>
          </cell>
          <cell r="Q8">
            <v>751340.65797524713</v>
          </cell>
          <cell r="T8">
            <v>981796.55292181112</v>
          </cell>
          <cell r="W8">
            <v>691716.39517554897</v>
          </cell>
          <cell r="Z8">
            <v>688676.8901585252</v>
          </cell>
          <cell r="AC8">
            <v>729220.9724917697</v>
          </cell>
          <cell r="AF8">
            <v>799077.54156453046</v>
          </cell>
          <cell r="AI8">
            <v>991144.07177553454</v>
          </cell>
          <cell r="AL8">
            <v>576007.01925350889</v>
          </cell>
          <cell r="AO8">
            <v>337202.89477388666</v>
          </cell>
        </row>
        <row r="9">
          <cell r="A9" t="str">
            <v>Véhicules neufsAutos détail</v>
          </cell>
          <cell r="B9" t="str">
            <v>Autos détail</v>
          </cell>
          <cell r="C9">
            <v>303</v>
          </cell>
          <cell r="D9">
            <v>955.05621789951283</v>
          </cell>
          <cell r="E9">
            <v>289382.03402355238</v>
          </cell>
          <cell r="F9">
            <v>23.607095531789504</v>
          </cell>
          <cell r="G9">
            <v>955.05621789951272</v>
          </cell>
          <cell r="H9">
            <v>22546.103374183371</v>
          </cell>
          <cell r="I9">
            <v>16.252745004560932</v>
          </cell>
          <cell r="J9">
            <v>955.05621789951272</v>
          </cell>
          <cell r="K9">
            <v>15522.285174541163</v>
          </cell>
          <cell r="L9">
            <v>24.706978036209659</v>
          </cell>
          <cell r="M9">
            <v>955.05621789951272</v>
          </cell>
          <cell r="N9">
            <v>23596.552998988725</v>
          </cell>
          <cell r="O9">
            <v>27.366259623939069</v>
          </cell>
          <cell r="P9">
            <v>955.05621789951272</v>
          </cell>
          <cell r="Q9">
            <v>26136.316414495388</v>
          </cell>
          <cell r="R9">
            <v>35.760209540040471</v>
          </cell>
          <cell r="S9">
            <v>955.0562178995126</v>
          </cell>
          <cell r="T9">
            <v>34153.010474605122</v>
          </cell>
          <cell r="U9">
            <v>25.194550907869203</v>
          </cell>
          <cell r="V9">
            <v>955.05621789951272</v>
          </cell>
          <cell r="W9">
            <v>24062.212501746297</v>
          </cell>
          <cell r="X9">
            <v>25.083842293153349</v>
          </cell>
          <cell r="Y9">
            <v>955.05621789951272</v>
          </cell>
          <cell r="Z9">
            <v>23956.479550886877</v>
          </cell>
          <cell r="AA9">
            <v>26.560589054517198</v>
          </cell>
          <cell r="AB9">
            <v>955.05621789951283</v>
          </cell>
          <cell r="AC9">
            <v>25366.855727590391</v>
          </cell>
          <cell r="AD9">
            <v>29.104991497524331</v>
          </cell>
          <cell r="AE9">
            <v>955.05621789951272</v>
          </cell>
          <cell r="AF9">
            <v>27796.903101623062</v>
          </cell>
          <cell r="AG9">
            <v>36.100676444200857</v>
          </cell>
          <cell r="AH9">
            <v>955.05621789951283</v>
          </cell>
          <cell r="AI9">
            <v>34478.175508412503</v>
          </cell>
          <cell r="AJ9">
            <v>20.980040766836964</v>
          </cell>
          <cell r="AK9">
            <v>955.0562178995126</v>
          </cell>
          <cell r="AL9">
            <v>20037.118386152903</v>
          </cell>
          <cell r="AM9">
            <v>12.282021299358465</v>
          </cell>
          <cell r="AN9">
            <v>955.0562178995126</v>
          </cell>
          <cell r="AO9">
            <v>11730.020810326554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407.00000000000006</v>
          </cell>
          <cell r="D10">
            <v>1702.6668817908312</v>
          </cell>
          <cell r="E10">
            <v>692985.42088886839</v>
          </cell>
          <cell r="F10">
            <v>31.709860994845965</v>
          </cell>
          <cell r="G10">
            <v>1702.6668817908317</v>
          </cell>
          <cell r="H10">
            <v>53991.330142115097</v>
          </cell>
          <cell r="I10">
            <v>21.831244940119799</v>
          </cell>
          <cell r="J10">
            <v>1702.6668817908317</v>
          </cell>
          <cell r="K10">
            <v>37171.33774780565</v>
          </cell>
          <cell r="L10">
            <v>33.187260926525845</v>
          </cell>
          <cell r="M10">
            <v>1702.6668817908317</v>
          </cell>
          <cell r="N10">
            <v>56506.850076946466</v>
          </cell>
          <cell r="O10">
            <v>36.759299230835644</v>
          </cell>
          <cell r="P10">
            <v>1702.6668817908317</v>
          </cell>
          <cell r="Q10">
            <v>62588.841398183045</v>
          </cell>
          <cell r="R10">
            <v>48.03434086731508</v>
          </cell>
          <cell r="S10">
            <v>1702.6668817908319</v>
          </cell>
          <cell r="T10">
            <v>81786.481383429287</v>
          </cell>
          <cell r="U10">
            <v>33.84218554291342</v>
          </cell>
          <cell r="V10">
            <v>1702.6668817908317</v>
          </cell>
          <cell r="W10">
            <v>57621.968531339153</v>
          </cell>
          <cell r="X10">
            <v>33.693477931727436</v>
          </cell>
          <cell r="Y10">
            <v>1702.6668817908317</v>
          </cell>
          <cell r="Z10">
            <v>57368.769006702554</v>
          </cell>
          <cell r="AA10">
            <v>35.677094868608911</v>
          </cell>
          <cell r="AB10">
            <v>1702.6668817908317</v>
          </cell>
          <cell r="AC10">
            <v>60746.207871290018</v>
          </cell>
          <cell r="AD10">
            <v>39.094823562681199</v>
          </cell>
          <cell r="AE10">
            <v>1702.6668817908319</v>
          </cell>
          <cell r="AF10">
            <v>66565.461329633137</v>
          </cell>
          <cell r="AG10">
            <v>48.491667698976073</v>
          </cell>
          <cell r="AH10">
            <v>1702.6668817908314</v>
          </cell>
          <cell r="AI10">
            <v>82565.156633852777</v>
          </cell>
          <cell r="AJ10">
            <v>28.181110865025232</v>
          </cell>
          <cell r="AK10">
            <v>1702.6668817908317</v>
          </cell>
          <cell r="AL10">
            <v>47983.04416195424</v>
          </cell>
          <cell r="AM10">
            <v>16.497632570425399</v>
          </cell>
          <cell r="AN10">
            <v>1702.6668817908317</v>
          </cell>
          <cell r="AO10">
            <v>28089.972605617077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710</v>
          </cell>
          <cell r="D16">
            <v>1383.616133679466</v>
          </cell>
          <cell r="E16">
            <v>982367.45491242083</v>
          </cell>
          <cell r="F16">
            <v>55.316956526635465</v>
          </cell>
          <cell r="G16">
            <v>1383.616133679466</v>
          </cell>
          <cell r="H16">
            <v>76537.433516298464</v>
          </cell>
          <cell r="I16">
            <v>38.083989944680731</v>
          </cell>
          <cell r="J16">
            <v>1383.616133679466</v>
          </cell>
          <cell r="K16">
            <v>52693.622922346811</v>
          </cell>
          <cell r="L16">
            <v>57.8942389627355</v>
          </cell>
          <cell r="M16">
            <v>1383.616133679466</v>
          </cell>
          <cell r="N16">
            <v>80103.403075935188</v>
          </cell>
          <cell r="O16">
            <v>64.12555885477471</v>
          </cell>
          <cell r="P16">
            <v>1383.616133679466</v>
          </cell>
          <cell r="Q16">
            <v>88725.15781267843</v>
          </cell>
          <cell r="R16">
            <v>83.794550407355558</v>
          </cell>
          <cell r="S16">
            <v>1383.616133679466</v>
          </cell>
          <cell r="T16">
            <v>115939.49185803441</v>
          </cell>
          <cell r="U16">
            <v>59.036736450782627</v>
          </cell>
          <cell r="V16">
            <v>1383.6161336794657</v>
          </cell>
          <cell r="W16">
            <v>81684.18103308545</v>
          </cell>
          <cell r="X16">
            <v>58.777320224880782</v>
          </cell>
          <cell r="Y16">
            <v>1383.616133679466</v>
          </cell>
          <cell r="Z16">
            <v>81325.248557589424</v>
          </cell>
          <cell r="AA16">
            <v>62.237683923126113</v>
          </cell>
          <cell r="AB16">
            <v>1383.616133679466</v>
          </cell>
          <cell r="AC16">
            <v>86113.063598880413</v>
          </cell>
          <cell r="AD16">
            <v>68.199815060205538</v>
          </cell>
          <cell r="AE16">
            <v>1383.616133679466</v>
          </cell>
          <cell r="AF16">
            <v>94362.364431256196</v>
          </cell>
          <cell r="AG16">
            <v>84.592344143176931</v>
          </cell>
          <cell r="AH16">
            <v>1383.616133679466</v>
          </cell>
          <cell r="AI16">
            <v>117043.33214226528</v>
          </cell>
          <cell r="AJ16">
            <v>49.161151631862197</v>
          </cell>
          <cell r="AK16">
            <v>1383.616133679466</v>
          </cell>
          <cell r="AL16">
            <v>68020.162548107139</v>
          </cell>
          <cell r="AM16">
            <v>28.779653869783864</v>
          </cell>
          <cell r="AN16">
            <v>1383.616133679466</v>
          </cell>
          <cell r="AO16">
            <v>39819.993415943631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74.000000000000014</v>
          </cell>
          <cell r="D18">
            <v>790.03378359300473</v>
          </cell>
          <cell r="E18">
            <v>58462.499985882358</v>
          </cell>
          <cell r="F18">
            <v>5.7654292717901754</v>
          </cell>
          <cell r="G18">
            <v>790.03378359300473</v>
          </cell>
          <cell r="H18">
            <v>4554.8839016302545</v>
          </cell>
          <cell r="I18">
            <v>3.9693172618399633</v>
          </cell>
          <cell r="J18">
            <v>790.03378359300473</v>
          </cell>
          <cell r="K18">
            <v>3135.8947346524515</v>
          </cell>
          <cell r="L18">
            <v>6.0340474411865177</v>
          </cell>
          <cell r="M18">
            <v>790.03378359300473</v>
          </cell>
          <cell r="N18">
            <v>4767.1013303402733</v>
          </cell>
          <cell r="O18">
            <v>6.683508951061027</v>
          </cell>
          <cell r="P18">
            <v>790.03378359300484</v>
          </cell>
          <cell r="Q18">
            <v>5280.1978642844579</v>
          </cell>
          <cell r="R18">
            <v>8.7335165213300154</v>
          </cell>
          <cell r="S18">
            <v>790.03378359300473</v>
          </cell>
          <cell r="T18">
            <v>6899.7731014183692</v>
          </cell>
          <cell r="U18">
            <v>6.1531246441660761</v>
          </cell>
          <cell r="V18">
            <v>790.03378359300473</v>
          </cell>
          <cell r="W18">
            <v>4861.176343549886</v>
          </cell>
          <cell r="X18">
            <v>6.1260868966777151</v>
          </cell>
          <cell r="Y18">
            <v>790.03378359300473</v>
          </cell>
          <cell r="Z18">
            <v>4839.8156096018238</v>
          </cell>
          <cell r="AA18">
            <v>6.4867445215652566</v>
          </cell>
          <cell r="AB18">
            <v>790.03378359300473</v>
          </cell>
          <cell r="AC18">
            <v>5124.7473175733949</v>
          </cell>
          <cell r="AD18">
            <v>7.1081497386693089</v>
          </cell>
          <cell r="AE18">
            <v>790.03378359300473</v>
          </cell>
          <cell r="AF18">
            <v>5615.6784323865422</v>
          </cell>
          <cell r="AG18">
            <v>8.8166668543592852</v>
          </cell>
          <cell r="AH18">
            <v>790.03378359300473</v>
          </cell>
          <cell r="AI18">
            <v>6965.4646736285013</v>
          </cell>
          <cell r="AJ18">
            <v>5.1238383390954967</v>
          </cell>
          <cell r="AK18">
            <v>790.03378359300473</v>
          </cell>
          <cell r="AL18">
            <v>4048.0053895545125</v>
          </cell>
          <cell r="AM18">
            <v>2.999569558259163</v>
          </cell>
          <cell r="AN18">
            <v>790.03378359300473</v>
          </cell>
          <cell r="AO18">
            <v>2369.7612872618843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25.000000000000004</v>
          </cell>
          <cell r="D20">
            <v>800</v>
          </cell>
          <cell r="E20">
            <v>20000.000000000004</v>
          </cell>
          <cell r="F20">
            <v>0</v>
          </cell>
          <cell r="G20">
            <v>0</v>
          </cell>
          <cell r="H20">
            <v>0</v>
          </cell>
          <cell r="I20">
            <v>1.4542911384503485</v>
          </cell>
          <cell r="J20">
            <v>800.00000000000011</v>
          </cell>
          <cell r="K20">
            <v>1163.4329107602789</v>
          </cell>
          <cell r="L20">
            <v>2.210773577378093</v>
          </cell>
          <cell r="M20">
            <v>800</v>
          </cell>
          <cell r="N20">
            <v>1768.6188619024745</v>
          </cell>
          <cell r="O20">
            <v>2.4487253600827237</v>
          </cell>
          <cell r="P20">
            <v>800</v>
          </cell>
          <cell r="Q20">
            <v>1958.9802880661789</v>
          </cell>
          <cell r="R20">
            <v>3.1998136824649825</v>
          </cell>
          <cell r="S20">
            <v>800.00000000000011</v>
          </cell>
          <cell r="T20">
            <v>2559.8509459719862</v>
          </cell>
          <cell r="U20">
            <v>2.2544014634000713</v>
          </cell>
          <cell r="V20">
            <v>800</v>
          </cell>
          <cell r="W20">
            <v>1803.5211707200569</v>
          </cell>
          <cell r="X20">
            <v>2.2444952871027013</v>
          </cell>
          <cell r="Y20">
            <v>800</v>
          </cell>
          <cell r="Z20">
            <v>1795.596229682161</v>
          </cell>
          <cell r="AA20">
            <v>2.3766341798364534</v>
          </cell>
          <cell r="AB20">
            <v>800</v>
          </cell>
          <cell r="AC20">
            <v>1901.3073438691627</v>
          </cell>
          <cell r="AD20">
            <v>2.6043066083694977</v>
          </cell>
          <cell r="AE20">
            <v>800</v>
          </cell>
          <cell r="AF20">
            <v>2083.445286695598</v>
          </cell>
          <cell r="AG20">
            <v>3.2302785671055241</v>
          </cell>
          <cell r="AH20">
            <v>799.99999999999989</v>
          </cell>
          <cell r="AI20">
            <v>2584.2228536844191</v>
          </cell>
          <cell r="AJ20">
            <v>1.8772882588741699</v>
          </cell>
          <cell r="AK20">
            <v>800</v>
          </cell>
          <cell r="AL20">
            <v>1501.830607099336</v>
          </cell>
          <cell r="AM20">
            <v>1.0989918769354361</v>
          </cell>
          <cell r="AN20">
            <v>800</v>
          </cell>
          <cell r="AO20">
            <v>879.19350154834888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60000</v>
          </cell>
          <cell r="H22">
            <v>5000</v>
          </cell>
          <cell r="K22">
            <v>5000</v>
          </cell>
          <cell r="N22">
            <v>5000</v>
          </cell>
          <cell r="Q22">
            <v>5000</v>
          </cell>
          <cell r="T22">
            <v>5000</v>
          </cell>
          <cell r="W22">
            <v>5000</v>
          </cell>
          <cell r="Z22">
            <v>5000</v>
          </cell>
          <cell r="AC22">
            <v>5000</v>
          </cell>
          <cell r="AF22">
            <v>5000</v>
          </cell>
          <cell r="AI22">
            <v>5000</v>
          </cell>
          <cell r="AL22">
            <v>5000</v>
          </cell>
          <cell r="AO22">
            <v>5000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94.079794079794112</v>
          </cell>
          <cell r="E24">
            <v>73758.55855855858</v>
          </cell>
          <cell r="G24">
            <v>94.079794079794084</v>
          </cell>
          <cell r="H24">
            <v>5746.6182778184229</v>
          </cell>
          <cell r="J24">
            <v>94.079794079794084</v>
          </cell>
          <cell r="K24">
            <v>3956.3664823637873</v>
          </cell>
          <cell r="M24">
            <v>94.079794079794084</v>
          </cell>
          <cell r="N24">
            <v>6014.3600207550835</v>
          </cell>
          <cell r="P24">
            <v>94.079794079794084</v>
          </cell>
          <cell r="Q24">
            <v>6661.7025181552026</v>
          </cell>
          <cell r="S24">
            <v>94.07979407979407</v>
          </cell>
          <cell r="T24">
            <v>8705.0214832521433</v>
          </cell>
          <cell r="V24">
            <v>94.079794079794084</v>
          </cell>
          <cell r="W24">
            <v>6133.0487079031527</v>
          </cell>
          <cell r="Y24">
            <v>94.079794079794084</v>
          </cell>
          <cell r="Z24">
            <v>6106.0991770732644</v>
          </cell>
          <cell r="AB24">
            <v>94.079794079794084</v>
          </cell>
          <cell r="AC24">
            <v>6465.5800763281077</v>
          </cell>
          <cell r="AE24">
            <v>94.079794079794084</v>
          </cell>
          <cell r="AF24">
            <v>7084.9578208465273</v>
          </cell>
          <cell r="AH24">
            <v>94.079794079794098</v>
          </cell>
          <cell r="AI24">
            <v>8787.9005198454288</v>
          </cell>
          <cell r="AK24">
            <v>94.079794079794084</v>
          </cell>
          <cell r="AL24">
            <v>5107.1206780913872</v>
          </cell>
          <cell r="AN24">
            <v>94.079794079794084</v>
          </cell>
          <cell r="AO24">
            <v>2989.7827961260559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737.3230373230374</v>
          </cell>
          <cell r="E25">
            <v>578061.2612612613</v>
          </cell>
          <cell r="G25">
            <v>737.32303732303728</v>
          </cell>
          <cell r="H25">
            <v>45037.450223832748</v>
          </cell>
          <cell r="J25">
            <v>737.32303732303728</v>
          </cell>
          <cell r="K25">
            <v>31006.872198990608</v>
          </cell>
          <cell r="M25">
            <v>737.32303732303728</v>
          </cell>
          <cell r="N25">
            <v>47135.79830219681</v>
          </cell>
          <cell r="P25">
            <v>737.32303732303728</v>
          </cell>
          <cell r="Q25">
            <v>52209.156944611699</v>
          </cell>
          <cell r="S25">
            <v>737.32303732303728</v>
          </cell>
          <cell r="T25">
            <v>68223.075345487727</v>
          </cell>
          <cell r="V25">
            <v>737.32303732303728</v>
          </cell>
          <cell r="W25">
            <v>48065.986385194476</v>
          </cell>
          <cell r="Y25">
            <v>737.32303732303728</v>
          </cell>
          <cell r="Z25">
            <v>47854.777271481165</v>
          </cell>
          <cell r="AB25">
            <v>737.32303732303728</v>
          </cell>
          <cell r="AC25">
            <v>50672.104319129583</v>
          </cell>
          <cell r="AE25">
            <v>737.32303732303728</v>
          </cell>
          <cell r="AF25">
            <v>55526.297340122779</v>
          </cell>
          <cell r="AH25">
            <v>737.32303732303728</v>
          </cell>
          <cell r="AI25">
            <v>68872.615702044393</v>
          </cell>
          <cell r="AK25">
            <v>737.32303732303728</v>
          </cell>
          <cell r="AL25">
            <v>40025.573686437143</v>
          </cell>
          <cell r="AN25">
            <v>737.32303732303728</v>
          </cell>
          <cell r="AO25">
            <v>23431.553541732112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18.597168597168597</v>
          </cell>
          <cell r="E26">
            <v>14580.180180180181</v>
          </cell>
          <cell r="G26">
            <v>18.597168597168597</v>
          </cell>
          <cell r="H26">
            <v>1135.9594270106184</v>
          </cell>
          <cell r="J26">
            <v>18.597168597168597</v>
          </cell>
          <cell r="K26">
            <v>782.0724441881905</v>
          </cell>
          <cell r="M26">
            <v>18.597168597168597</v>
          </cell>
          <cell r="N26">
            <v>1188.8851203818188</v>
          </cell>
          <cell r="P26">
            <v>18.597168597168597</v>
          </cell>
          <cell r="Q26">
            <v>1316.8481721934702</v>
          </cell>
          <cell r="S26">
            <v>18.597168597168597</v>
          </cell>
          <cell r="T26">
            <v>1720.7600606428655</v>
          </cell>
          <cell r="V26">
            <v>18.597168597168597</v>
          </cell>
          <cell r="W26">
            <v>1212.3468376087628</v>
          </cell>
          <cell r="Y26">
            <v>18.597168597168597</v>
          </cell>
          <cell r="Z26">
            <v>1207.0196047702964</v>
          </cell>
          <cell r="AB26">
            <v>18.597168597168597</v>
          </cell>
          <cell r="AC26">
            <v>1278.0797825299746</v>
          </cell>
          <cell r="AE26">
            <v>18.597168597168597</v>
          </cell>
          <cell r="AF26">
            <v>1400.5149180743135</v>
          </cell>
          <cell r="AH26">
            <v>18.597168597168597</v>
          </cell>
          <cell r="AI26">
            <v>1737.1431260159566</v>
          </cell>
          <cell r="AK26">
            <v>18.597168597168597</v>
          </cell>
          <cell r="AL26">
            <v>1009.5471107855067</v>
          </cell>
          <cell r="AN26">
            <v>18.597168597168597</v>
          </cell>
          <cell r="AO26">
            <v>591.00357597840639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784</v>
          </cell>
          <cell r="D27">
            <v>850.00000000000011</v>
          </cell>
          <cell r="E27">
            <v>666400.00000000012</v>
          </cell>
          <cell r="F27">
            <v>61.082385798425641</v>
          </cell>
          <cell r="G27">
            <v>849.99999999999989</v>
          </cell>
          <cell r="H27">
            <v>51920.027928661788</v>
          </cell>
          <cell r="I27">
            <v>42.053307206520692</v>
          </cell>
          <cell r="J27">
            <v>849.99999999999989</v>
          </cell>
          <cell r="K27">
            <v>35745.311125542583</v>
          </cell>
          <cell r="L27">
            <v>63.928286403922016</v>
          </cell>
          <cell r="M27">
            <v>850</v>
          </cell>
          <cell r="N27">
            <v>54339.043443333714</v>
          </cell>
          <cell r="O27">
            <v>70.809067805835738</v>
          </cell>
          <cell r="P27">
            <v>850</v>
          </cell>
          <cell r="Q27">
            <v>60187.707634960374</v>
          </cell>
          <cell r="R27">
            <v>92.528066928685575</v>
          </cell>
          <cell r="S27">
            <v>849.99999999999989</v>
          </cell>
          <cell r="T27">
            <v>78648.856889382732</v>
          </cell>
          <cell r="U27">
            <v>65.189861094948697</v>
          </cell>
          <cell r="V27">
            <v>850</v>
          </cell>
          <cell r="W27">
            <v>55411.38193070639</v>
          </cell>
          <cell r="X27">
            <v>64.903407121558502</v>
          </cell>
          <cell r="Y27">
            <v>850.00000000000011</v>
          </cell>
          <cell r="Z27">
            <v>55167.89605332473</v>
          </cell>
          <cell r="AA27">
            <v>68.72442844469137</v>
          </cell>
          <cell r="AB27">
            <v>850</v>
          </cell>
          <cell r="AC27">
            <v>58415.764177987665</v>
          </cell>
          <cell r="AD27">
            <v>75.307964798874849</v>
          </cell>
          <cell r="AE27">
            <v>849.99999999999989</v>
          </cell>
          <cell r="AF27">
            <v>64011.770079043614</v>
          </cell>
          <cell r="AG27">
            <v>93.409010997536214</v>
          </cell>
          <cell r="AH27">
            <v>850</v>
          </cell>
          <cell r="AI27">
            <v>79397.659347905777</v>
          </cell>
          <cell r="AJ27">
            <v>54.284989970957696</v>
          </cell>
          <cell r="AK27">
            <v>849.99999999999989</v>
          </cell>
          <cell r="AL27">
            <v>46142.241475314033</v>
          </cell>
          <cell r="AM27">
            <v>31.779223428043029</v>
          </cell>
          <cell r="AN27">
            <v>850</v>
          </cell>
          <cell r="AO27">
            <v>27012.339913836575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809</v>
          </cell>
          <cell r="D30">
            <v>2209.1841222475937</v>
          </cell>
          <cell r="E30">
            <v>1787229.9548983031</v>
          </cell>
          <cell r="F30">
            <v>61.082385798425641</v>
          </cell>
          <cell r="G30">
            <v>2259.4458867739204</v>
          </cell>
          <cell r="H30">
            <v>138012.34534659053</v>
          </cell>
          <cell r="I30">
            <v>43.507598344971044</v>
          </cell>
          <cell r="J30">
            <v>2246.4641904234068</v>
          </cell>
          <cell r="K30">
            <v>97738.261693302135</v>
          </cell>
          <cell r="L30">
            <v>66.139059981300107</v>
          </cell>
          <cell r="M30">
            <v>2207.1400281888637</v>
          </cell>
          <cell r="N30">
            <v>145978.16671151167</v>
          </cell>
          <cell r="O30">
            <v>73.257793165918457</v>
          </cell>
          <cell r="P30">
            <v>2199.7938599515692</v>
          </cell>
          <cell r="Q30">
            <v>161152.04359998944</v>
          </cell>
          <cell r="R30">
            <v>95.727880611150553</v>
          </cell>
          <cell r="S30">
            <v>2183.7731229417527</v>
          </cell>
          <cell r="T30">
            <v>209047.97279480749</v>
          </cell>
          <cell r="U30">
            <v>67.444262558348768</v>
          </cell>
          <cell r="V30">
            <v>2205.6770262609548</v>
          </cell>
          <cell r="W30">
            <v>148760.26047806177</v>
          </cell>
          <cell r="X30">
            <v>67.147902408661196</v>
          </cell>
          <cell r="Y30">
            <v>2206.0042255481017</v>
          </cell>
          <cell r="Z30">
            <v>148128.55645019814</v>
          </cell>
          <cell r="AA30">
            <v>71.101062624527827</v>
          </cell>
          <cell r="AB30">
            <v>2201.864172762781</v>
          </cell>
          <cell r="AC30">
            <v>156554.88243831065</v>
          </cell>
          <cell r="AD30">
            <v>77.912271407244347</v>
          </cell>
          <cell r="AE30">
            <v>2195.7164787968873</v>
          </cell>
          <cell r="AF30">
            <v>171073.25822938196</v>
          </cell>
          <cell r="AG30">
            <v>96.639289564641743</v>
          </cell>
          <cell r="AH30">
            <v>2183.280526667706</v>
          </cell>
          <cell r="AI30">
            <v>210990.67901748398</v>
          </cell>
          <cell r="AJ30">
            <v>56.162278229831863</v>
          </cell>
          <cell r="AK30">
            <v>2220.5694631851902</v>
          </cell>
          <cell r="AL30">
            <v>124712.24002007503</v>
          </cell>
          <cell r="AM30">
            <v>32.878215304978468</v>
          </cell>
          <cell r="AN30">
            <v>2283.6181168027542</v>
          </cell>
          <cell r="AO30">
            <v>75081.288118590426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0.29080739236310865</v>
          </cell>
          <cell r="D34">
            <v>386.0727615783004</v>
          </cell>
          <cell r="E34">
            <v>302681.04507738753</v>
          </cell>
          <cell r="F34">
            <v>0.2918655242276833</v>
          </cell>
          <cell r="G34">
            <v>387.47752604371072</v>
          </cell>
          <cell r="H34">
            <v>23668.051734021457</v>
          </cell>
          <cell r="I34">
            <v>0.32814705329239158</v>
          </cell>
          <cell r="J34">
            <v>435.64449321215687</v>
          </cell>
          <cell r="K34">
            <v>18320.291705879852</v>
          </cell>
          <cell r="L34">
            <v>0.2961800815962965</v>
          </cell>
          <cell r="M34">
            <v>393.2054859306748</v>
          </cell>
          <cell r="N34">
            <v>25136.952920169508</v>
          </cell>
          <cell r="O34">
            <v>0.28622244399772345</v>
          </cell>
          <cell r="P34">
            <v>379.98583351662325</v>
          </cell>
          <cell r="Q34">
            <v>26906.442650735586</v>
          </cell>
          <cell r="R34">
            <v>0.26854424395609855</v>
          </cell>
          <cell r="S34">
            <v>356.51644556763387</v>
          </cell>
          <cell r="T34">
            <v>32987.777536659116</v>
          </cell>
          <cell r="U34">
            <v>0.29202669340860354</v>
          </cell>
          <cell r="V34">
            <v>387.69149251221614</v>
          </cell>
          <cell r="W34">
            <v>25273.554544564715</v>
          </cell>
          <cell r="X34">
            <v>0.29501879892928684</v>
          </cell>
          <cell r="Y34">
            <v>391.66377957107289</v>
          </cell>
          <cell r="Z34">
            <v>25420.313740269692</v>
          </cell>
          <cell r="AA34">
            <v>0.2882649855957134</v>
          </cell>
          <cell r="AB34">
            <v>382.6974897402377</v>
          </cell>
          <cell r="AC34">
            <v>26300.666249615977</v>
          </cell>
          <cell r="AD34">
            <v>0.28219975690705984</v>
          </cell>
          <cell r="AE34">
            <v>374.64535746669287</v>
          </cell>
          <cell r="AF34">
            <v>28213.779392163589</v>
          </cell>
          <cell r="AG34">
            <v>0.26993062086302611</v>
          </cell>
          <cell r="AH34">
            <v>358.35698461547764</v>
          </cell>
          <cell r="AI34">
            <v>33473.771516991066</v>
          </cell>
          <cell r="AJ34">
            <v>0.30671936291654434</v>
          </cell>
          <cell r="AK34">
            <v>407.1973222842642</v>
          </cell>
          <cell r="AL34">
            <v>22104.70255640211</v>
          </cell>
          <cell r="AM34">
            <v>0.35256759927984815</v>
          </cell>
          <cell r="AN34">
            <v>468.06494701153997</v>
          </cell>
          <cell r="AO34">
            <v>14874.74052991485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0.29999999999999993</v>
          </cell>
          <cell r="D35">
            <v>255</v>
          </cell>
          <cell r="E35">
            <v>199920</v>
          </cell>
          <cell r="F35">
            <v>0.3</v>
          </cell>
          <cell r="G35">
            <v>254.99999999999994</v>
          </cell>
          <cell r="H35">
            <v>15576.008378598535</v>
          </cell>
          <cell r="I35">
            <v>0.3</v>
          </cell>
          <cell r="J35">
            <v>254.99999999999994</v>
          </cell>
          <cell r="K35">
            <v>10723.593337662775</v>
          </cell>
          <cell r="L35">
            <v>0.3</v>
          </cell>
          <cell r="M35">
            <v>254.99999999999997</v>
          </cell>
          <cell r="N35">
            <v>16301.713033000113</v>
          </cell>
          <cell r="O35">
            <v>0.3</v>
          </cell>
          <cell r="P35">
            <v>255</v>
          </cell>
          <cell r="Q35">
            <v>18056.312290488113</v>
          </cell>
          <cell r="R35">
            <v>0.3</v>
          </cell>
          <cell r="S35">
            <v>254.99999999999997</v>
          </cell>
          <cell r="T35">
            <v>23594.65706681482</v>
          </cell>
          <cell r="U35">
            <v>0.3</v>
          </cell>
          <cell r="V35">
            <v>254.99999999999997</v>
          </cell>
          <cell r="W35">
            <v>16623.414579211916</v>
          </cell>
          <cell r="X35">
            <v>0.3</v>
          </cell>
          <cell r="Y35">
            <v>255.00000000000003</v>
          </cell>
          <cell r="Z35">
            <v>16550.368815997419</v>
          </cell>
          <cell r="AA35">
            <v>0.3</v>
          </cell>
          <cell r="AB35">
            <v>254.99999999999997</v>
          </cell>
          <cell r="AC35">
            <v>17524.729253396297</v>
          </cell>
          <cell r="AD35">
            <v>0.3</v>
          </cell>
          <cell r="AE35">
            <v>254.99999999999997</v>
          </cell>
          <cell r="AF35">
            <v>19203.531023713083</v>
          </cell>
          <cell r="AG35">
            <v>0.3</v>
          </cell>
          <cell r="AH35">
            <v>255</v>
          </cell>
          <cell r="AI35">
            <v>23819.297804371734</v>
          </cell>
          <cell r="AJ35">
            <v>0.3</v>
          </cell>
          <cell r="AK35">
            <v>254.99999999999997</v>
          </cell>
          <cell r="AL35">
            <v>13842.67244259421</v>
          </cell>
          <cell r="AM35">
            <v>0.3</v>
          </cell>
          <cell r="AN35">
            <v>255</v>
          </cell>
          <cell r="AO35">
            <v>8103.7019741509721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197.00000000000003</v>
          </cell>
          <cell r="E36">
            <v>154448.00000000003</v>
          </cell>
          <cell r="G36">
            <v>197</v>
          </cell>
          <cell r="H36">
            <v>12033.230002289851</v>
          </cell>
          <cell r="J36">
            <v>197</v>
          </cell>
          <cell r="K36">
            <v>8284.5015196845761</v>
          </cell>
          <cell r="M36">
            <v>197</v>
          </cell>
          <cell r="N36">
            <v>12593.872421572638</v>
          </cell>
          <cell r="P36">
            <v>197</v>
          </cell>
          <cell r="Q36">
            <v>13949.386357749641</v>
          </cell>
          <cell r="S36">
            <v>197</v>
          </cell>
          <cell r="T36">
            <v>18228.029184951058</v>
          </cell>
          <cell r="V36">
            <v>197</v>
          </cell>
          <cell r="W36">
            <v>12842.402635704893</v>
          </cell>
          <cell r="Y36">
            <v>197</v>
          </cell>
          <cell r="Z36">
            <v>12785.971202947025</v>
          </cell>
          <cell r="AB36">
            <v>197</v>
          </cell>
          <cell r="AC36">
            <v>13538.712403604201</v>
          </cell>
          <cell r="AE36">
            <v>197</v>
          </cell>
          <cell r="AF36">
            <v>14835.669065378344</v>
          </cell>
          <cell r="AH36">
            <v>197</v>
          </cell>
          <cell r="AI36">
            <v>18401.575166514634</v>
          </cell>
          <cell r="AK36">
            <v>197</v>
          </cell>
          <cell r="AL36">
            <v>10694.143024278666</v>
          </cell>
          <cell r="AN36">
            <v>197</v>
          </cell>
          <cell r="AO36">
            <v>6260.5070153244769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6</v>
          </cell>
          <cell r="E37">
            <v>4704</v>
          </cell>
          <cell r="G37">
            <v>6</v>
          </cell>
          <cell r="H37">
            <v>366.49431479055386</v>
          </cell>
          <cell r="J37">
            <v>6</v>
          </cell>
          <cell r="K37">
            <v>252.31984323912417</v>
          </cell>
          <cell r="M37">
            <v>6</v>
          </cell>
          <cell r="N37">
            <v>383.56971842353209</v>
          </cell>
          <cell r="P37">
            <v>6</v>
          </cell>
          <cell r="Q37">
            <v>424.8544068350144</v>
          </cell>
          <cell r="S37">
            <v>6</v>
          </cell>
          <cell r="T37">
            <v>555.16840157211345</v>
          </cell>
          <cell r="V37">
            <v>6</v>
          </cell>
          <cell r="W37">
            <v>391.13916656969218</v>
          </cell>
          <cell r="Y37">
            <v>6</v>
          </cell>
          <cell r="Z37">
            <v>389.42044272935101</v>
          </cell>
          <cell r="AB37">
            <v>6</v>
          </cell>
          <cell r="AC37">
            <v>412.34657066814822</v>
          </cell>
          <cell r="AE37">
            <v>6</v>
          </cell>
          <cell r="AF37">
            <v>451.84778879324909</v>
          </cell>
          <cell r="AH37">
            <v>6</v>
          </cell>
          <cell r="AI37">
            <v>560.45406598521731</v>
          </cell>
          <cell r="AK37">
            <v>6</v>
          </cell>
          <cell r="AL37">
            <v>325.70993982574618</v>
          </cell>
          <cell r="AN37">
            <v>6</v>
          </cell>
          <cell r="AO37">
            <v>190.67534056825818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34</v>
          </cell>
          <cell r="E38">
            <v>26656</v>
          </cell>
          <cell r="G38">
            <v>34</v>
          </cell>
          <cell r="H38">
            <v>2076.8011171464718</v>
          </cell>
          <cell r="J38">
            <v>34</v>
          </cell>
          <cell r="K38">
            <v>1429.8124450217035</v>
          </cell>
          <cell r="M38">
            <v>33.999999999999993</v>
          </cell>
          <cell r="N38">
            <v>2173.5617377333483</v>
          </cell>
          <cell r="P38">
            <v>34</v>
          </cell>
          <cell r="Q38">
            <v>2407.5083053984149</v>
          </cell>
          <cell r="S38">
            <v>34</v>
          </cell>
          <cell r="T38">
            <v>3145.9542755753096</v>
          </cell>
          <cell r="V38">
            <v>34</v>
          </cell>
          <cell r="W38">
            <v>2216.4552772282559</v>
          </cell>
          <cell r="Y38">
            <v>34</v>
          </cell>
          <cell r="Z38">
            <v>2206.7158421329891</v>
          </cell>
          <cell r="AB38">
            <v>34</v>
          </cell>
          <cell r="AC38">
            <v>2336.6305671195064</v>
          </cell>
          <cell r="AE38">
            <v>34</v>
          </cell>
          <cell r="AF38">
            <v>2560.4708031617447</v>
          </cell>
          <cell r="AH38">
            <v>34</v>
          </cell>
          <cell r="AI38">
            <v>3175.9063739162311</v>
          </cell>
          <cell r="AK38">
            <v>34</v>
          </cell>
          <cell r="AL38">
            <v>1845.6896590125616</v>
          </cell>
          <cell r="AN38">
            <v>34</v>
          </cell>
          <cell r="AO38">
            <v>1080.493596553463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180.66964285714283</v>
          </cell>
          <cell r="E39">
            <v>141644.99999999997</v>
          </cell>
          <cell r="G39">
            <v>180.66964285714283</v>
          </cell>
          <cell r="H39">
            <v>11035.732827063774</v>
          </cell>
          <cell r="J39">
            <v>180.66964285714283</v>
          </cell>
          <cell r="K39">
            <v>7597.7559939638049</v>
          </cell>
          <cell r="M39">
            <v>180.6696428571428</v>
          </cell>
          <cell r="N39">
            <v>11549.900673065729</v>
          </cell>
          <cell r="P39">
            <v>180.66964285714283</v>
          </cell>
          <cell r="Q39">
            <v>12793.048991527554</v>
          </cell>
          <cell r="S39">
            <v>180.6696428571428</v>
          </cell>
          <cell r="T39">
            <v>16717.01280626743</v>
          </cell>
          <cell r="V39">
            <v>180.66964285714283</v>
          </cell>
          <cell r="W39">
            <v>11777.828921931132</v>
          </cell>
          <cell r="Y39">
            <v>180.66964285714283</v>
          </cell>
          <cell r="Z39">
            <v>11726.075384863716</v>
          </cell>
          <cell r="AB39">
            <v>180.66964285714283</v>
          </cell>
          <cell r="AC39">
            <v>12416.417942663658</v>
          </cell>
          <cell r="AE39">
            <v>180.6696428571428</v>
          </cell>
          <cell r="AF39">
            <v>13605.863104511001</v>
          </cell>
          <cell r="AH39">
            <v>180.66964285714283</v>
          </cell>
          <cell r="AI39">
            <v>16876.172656563795</v>
          </cell>
          <cell r="AK39">
            <v>180.6696428571428</v>
          </cell>
          <cell r="AL39">
            <v>9807.6497505565058</v>
          </cell>
          <cell r="AN39">
            <v>180.66964285714283</v>
          </cell>
          <cell r="AO39">
            <v>5741.5409470218801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224.43135547793509</v>
          </cell>
          <cell r="E40">
            <v>175954.1826947011</v>
          </cell>
          <cell r="G40">
            <v>226.99495080223429</v>
          </cell>
          <cell r="H40">
            <v>13865.393159196723</v>
          </cell>
          <cell r="J40">
            <v>332.88053349025813</v>
          </cell>
          <cell r="K40">
            <v>13998.727337936325</v>
          </cell>
          <cell r="M40">
            <v>231.24629321245661</v>
          </cell>
          <cell r="N40">
            <v>14783.179262331254</v>
          </cell>
          <cell r="P40">
            <v>219.7935456700142</v>
          </cell>
          <cell r="Q40">
            <v>15563.376078633089</v>
          </cell>
          <cell r="S40">
            <v>166.54498091281118</v>
          </cell>
          <cell r="T40">
            <v>15410.085140537256</v>
          </cell>
          <cell r="V40">
            <v>224.82774459193394</v>
          </cell>
          <cell r="W40">
            <v>14656.489440238776</v>
          </cell>
          <cell r="Y40">
            <v>227.30566005107409</v>
          </cell>
          <cell r="Z40">
            <v>14752.911795329437</v>
          </cell>
          <cell r="AB40">
            <v>218.7976906991731</v>
          </cell>
          <cell r="AC40">
            <v>15036.746238319036</v>
          </cell>
          <cell r="AE40">
            <v>208.61189393808104</v>
          </cell>
          <cell r="AF40">
            <v>15710.13716531562</v>
          </cell>
          <cell r="AH40">
            <v>162.04683113668221</v>
          </cell>
          <cell r="AI40">
            <v>15136.634231762244</v>
          </cell>
          <cell r="AK40">
            <v>247.86565921516913</v>
          </cell>
          <cell r="AL40">
            <v>13455.384824640274</v>
          </cell>
          <cell r="AN40">
            <v>427.48426660650051</v>
          </cell>
          <cell r="AO40">
            <v>13585.118020461094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0.56288684341648276</v>
          </cell>
          <cell r="E44">
            <v>1006008.2277720887</v>
          </cell>
          <cell r="F44" t="str">
            <v>% brut</v>
          </cell>
          <cell r="G44">
            <v>0.56967158507207871</v>
          </cell>
          <cell r="H44">
            <v>78621.711533107358</v>
          </cell>
          <cell r="I44" t="str">
            <v>% brut</v>
          </cell>
          <cell r="J44">
            <v>0.62009494678317434</v>
          </cell>
          <cell r="K44">
            <v>60607.002183388155</v>
          </cell>
          <cell r="L44" t="str">
            <v>% brut</v>
          </cell>
          <cell r="M44">
            <v>0.56804898728569198</v>
          </cell>
          <cell r="N44">
            <v>82922.749766296125</v>
          </cell>
          <cell r="O44" t="str">
            <v>% brut</v>
          </cell>
          <cell r="P44">
            <v>0.55910509769901129</v>
          </cell>
          <cell r="Q44">
            <v>90100.929081367416</v>
          </cell>
          <cell r="R44" t="str">
            <v>% brut</v>
          </cell>
          <cell r="S44">
            <v>0.52925021435618169</v>
          </cell>
          <cell r="T44">
            <v>110638.6844123771</v>
          </cell>
          <cell r="U44" t="str">
            <v>% brut</v>
          </cell>
          <cell r="V44">
            <v>0.56319667830781261</v>
          </cell>
          <cell r="W44">
            <v>83781.284565449372</v>
          </cell>
          <cell r="X44" t="str">
            <v>% brut</v>
          </cell>
          <cell r="Y44">
            <v>0.56593933832369758</v>
          </cell>
          <cell r="Z44">
            <v>83831.777224269623</v>
          </cell>
          <cell r="AA44" t="str">
            <v>% brut</v>
          </cell>
          <cell r="AB44">
            <v>0.55933259864885843</v>
          </cell>
          <cell r="AC44">
            <v>87566.249225386826</v>
          </cell>
          <cell r="AD44" t="str">
            <v>% brut</v>
          </cell>
          <cell r="AE44">
            <v>0.55287015236605952</v>
          </cell>
          <cell r="AF44">
            <v>94581.298343036644</v>
          </cell>
          <cell r="AG44" t="str">
            <v>% brut</v>
          </cell>
          <cell r="AH44">
            <v>0.52819305731922883</v>
          </cell>
          <cell r="AI44">
            <v>111443.81181610494</v>
          </cell>
          <cell r="AJ44" t="str">
            <v>% brut</v>
          </cell>
          <cell r="AK44">
            <v>0.57793807717436518</v>
          </cell>
          <cell r="AL44">
            <v>72075.952197310078</v>
          </cell>
          <cell r="AM44" t="str">
            <v>% brut</v>
          </cell>
          <cell r="AN44">
            <v>0.66377094310473361</v>
          </cell>
          <cell r="AO44">
            <v>49836.777423995001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299404.59999999998</v>
          </cell>
          <cell r="H45">
            <v>24368.631609195403</v>
          </cell>
          <cell r="K45">
            <v>23592.962643678162</v>
          </cell>
          <cell r="N45">
            <v>25919.969540229882</v>
          </cell>
          <cell r="Q45">
            <v>24368.631609195403</v>
          </cell>
          <cell r="T45">
            <v>25144.300574712641</v>
          </cell>
          <cell r="W45">
            <v>25144.300574712641</v>
          </cell>
          <cell r="Z45">
            <v>25144.300574712641</v>
          </cell>
          <cell r="AC45">
            <v>25144.300574712641</v>
          </cell>
          <cell r="AF45">
            <v>25144.300574712641</v>
          </cell>
          <cell r="AI45">
            <v>24368.631609195403</v>
          </cell>
          <cell r="AL45">
            <v>25144.300574712641</v>
          </cell>
          <cell r="AO45">
            <v>25919.969540229882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118984.68640800001</v>
          </cell>
          <cell r="H46">
            <v>9573.4805155862086</v>
          </cell>
          <cell r="K46">
            <v>9117.6004910344818</v>
          </cell>
          <cell r="N46">
            <v>10485.240564689655</v>
          </cell>
          <cell r="Q46">
            <v>9573.4805155862086</v>
          </cell>
          <cell r="T46">
            <v>10029.360540137932</v>
          </cell>
          <cell r="W46">
            <v>10029.360540137932</v>
          </cell>
          <cell r="Z46">
            <v>10029.360540137932</v>
          </cell>
          <cell r="AC46">
            <v>10029.360540137932</v>
          </cell>
          <cell r="AF46">
            <v>10029.360540137932</v>
          </cell>
          <cell r="AI46">
            <v>9573.4805155862086</v>
          </cell>
          <cell r="AL46">
            <v>10029.360540137932</v>
          </cell>
          <cell r="AO46">
            <v>10485.240564689655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74977.435795199985</v>
          </cell>
          <cell r="H47">
            <v>6032.6672478896544</v>
          </cell>
          <cell r="K47">
            <v>5745.3973789425281</v>
          </cell>
          <cell r="N47">
            <v>6607.2069857839078</v>
          </cell>
          <cell r="Q47">
            <v>6032.6672478896544</v>
          </cell>
          <cell r="T47">
            <v>6319.9371168367816</v>
          </cell>
          <cell r="W47">
            <v>6319.9371168367816</v>
          </cell>
          <cell r="Z47">
            <v>6319.9371168367816</v>
          </cell>
          <cell r="AC47">
            <v>6319.9371168367816</v>
          </cell>
          <cell r="AF47">
            <v>6319.9371168367816</v>
          </cell>
          <cell r="AI47">
            <v>6032.6672478896544</v>
          </cell>
          <cell r="AL47">
            <v>6319.9371168367816</v>
          </cell>
          <cell r="AO47">
            <v>6607.2069857839078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119516.13207367051</v>
          </cell>
          <cell r="H52">
            <v>9506.2607382349506</v>
          </cell>
          <cell r="K52">
            <v>8099.9814668637355</v>
          </cell>
          <cell r="N52">
            <v>10134.129965264767</v>
          </cell>
          <cell r="Q52">
            <v>10192.504117667397</v>
          </cell>
          <cell r="T52">
            <v>11769.123940219353</v>
          </cell>
          <cell r="W52">
            <v>10006.868082655677</v>
          </cell>
          <cell r="Z52">
            <v>10015.713694554535</v>
          </cell>
          <cell r="AC52">
            <v>10238.279248163955</v>
          </cell>
          <cell r="AF52">
            <v>10669.309037707684</v>
          </cell>
          <cell r="AI52">
            <v>11672.141843284087</v>
          </cell>
          <cell r="AL52">
            <v>9292.9167876820411</v>
          </cell>
          <cell r="AO52">
            <v>7918.9031513723121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119516.13207367051</v>
          </cell>
          <cell r="H53">
            <v>9506.2607382349506</v>
          </cell>
          <cell r="K53">
            <v>8099.9814668637355</v>
          </cell>
          <cell r="N53">
            <v>10134.129965264767</v>
          </cell>
          <cell r="Q53">
            <v>10192.504117667397</v>
          </cell>
          <cell r="T53">
            <v>11769.123940219353</v>
          </cell>
          <cell r="W53">
            <v>10006.868082655677</v>
          </cell>
          <cell r="Z53">
            <v>10015.713694554535</v>
          </cell>
          <cell r="AC53">
            <v>10238.279248163955</v>
          </cell>
          <cell r="AF53">
            <v>10669.309037707684</v>
          </cell>
          <cell r="AI53">
            <v>11672.141843284087</v>
          </cell>
          <cell r="AL53">
            <v>9292.9167876820411</v>
          </cell>
          <cell r="AO53">
            <v>7918.9031513723121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85653.2279861305</v>
          </cell>
          <cell r="H54">
            <v>6812.8201957350475</v>
          </cell>
          <cell r="K54">
            <v>5804.9867179190105</v>
          </cell>
          <cell r="N54">
            <v>7262.7931417730824</v>
          </cell>
          <cell r="Q54">
            <v>7304.6279509949663</v>
          </cell>
          <cell r="T54">
            <v>8434.5388238238702</v>
          </cell>
          <cell r="W54">
            <v>7171.5887925699017</v>
          </cell>
          <cell r="Z54">
            <v>7177.9281477640843</v>
          </cell>
          <cell r="AC54">
            <v>7337.4334611841678</v>
          </cell>
          <cell r="AF54">
            <v>7646.3381436905065</v>
          </cell>
          <cell r="AI54">
            <v>8365.0349876869295</v>
          </cell>
          <cell r="AL54">
            <v>6659.9236978387962</v>
          </cell>
          <cell r="AO54">
            <v>5675.2139251501567</v>
          </cell>
        </row>
        <row r="55">
          <cell r="A55" t="str">
            <v>Véhicules neufsCsst</v>
          </cell>
          <cell r="B55" t="str">
            <v>Csst</v>
          </cell>
          <cell r="E55">
            <v>19919.355345611748</v>
          </cell>
          <cell r="H55">
            <v>1584.3767897058253</v>
          </cell>
          <cell r="K55">
            <v>1349.9969111439559</v>
          </cell>
          <cell r="N55">
            <v>1689.0216608774613</v>
          </cell>
          <cell r="Q55">
            <v>1698.7506862778994</v>
          </cell>
          <cell r="T55">
            <v>1961.5206567032258</v>
          </cell>
          <cell r="W55">
            <v>1667.8113471092797</v>
          </cell>
          <cell r="Z55">
            <v>1669.2856157590895</v>
          </cell>
          <cell r="AC55">
            <v>1706.3798746939926</v>
          </cell>
          <cell r="AF55">
            <v>1778.2181729512808</v>
          </cell>
          <cell r="AI55">
            <v>1945.3569738806814</v>
          </cell>
          <cell r="AL55">
            <v>1548.8194646136737</v>
          </cell>
          <cell r="AO55">
            <v>1319.8171918953853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0.46886611730383931</v>
          </cell>
          <cell r="E57">
            <v>837971.56968228321</v>
          </cell>
          <cell r="F57" t="str">
            <v>% brut</v>
          </cell>
          <cell r="G57">
            <v>0.48824978421574755</v>
          </cell>
          <cell r="H57">
            <v>67384.497834582056</v>
          </cell>
          <cell r="I57" t="str">
            <v>% brut</v>
          </cell>
          <cell r="J57">
            <v>0.63241258853574867</v>
          </cell>
          <cell r="K57">
            <v>61810.907076445605</v>
          </cell>
          <cell r="L57" t="str">
            <v>% brut</v>
          </cell>
          <cell r="M57">
            <v>0.49481709115194245</v>
          </cell>
          <cell r="N57">
            <v>72232.491823883523</v>
          </cell>
          <cell r="O57" t="str">
            <v>% brut</v>
          </cell>
          <cell r="P57">
            <v>0.430420643112983</v>
          </cell>
          <cell r="Q57">
            <v>69363.166245278931</v>
          </cell>
          <cell r="R57" t="str">
            <v>% brut</v>
          </cell>
          <cell r="S57">
            <v>0.36081624989824679</v>
          </cell>
          <cell r="T57">
            <v>75427.905592653158</v>
          </cell>
          <cell r="U57" t="str">
            <v>% brut</v>
          </cell>
          <cell r="V57">
            <v>0.47288660500196017</v>
          </cell>
          <cell r="W57">
            <v>70346.734536677905</v>
          </cell>
          <cell r="X57" t="str">
            <v>% brut</v>
          </cell>
          <cell r="Y57">
            <v>0.47507544170241911</v>
          </cell>
          <cell r="Z57">
            <v>70372.239384319604</v>
          </cell>
          <cell r="AA57" t="str">
            <v>% brut</v>
          </cell>
          <cell r="AB57">
            <v>0.45360431407737134</v>
          </cell>
          <cell r="AC57">
            <v>71013.970063893415</v>
          </cell>
          <cell r="AD57" t="str">
            <v>% brut</v>
          </cell>
          <cell r="AE57">
            <v>0.42237327663953012</v>
          </cell>
          <cell r="AF57">
            <v>72256.772623744517</v>
          </cell>
          <cell r="AG57" t="str">
            <v>% brut</v>
          </cell>
          <cell r="AH57">
            <v>0.34897017898456867</v>
          </cell>
          <cell r="AI57">
            <v>73629.455020807058</v>
          </cell>
          <cell r="AJ57" t="str">
            <v>% brut</v>
          </cell>
          <cell r="AK57">
            <v>0.54756594026786387</v>
          </cell>
          <cell r="AL57">
            <v>68288.174969503903</v>
          </cell>
          <cell r="AM57" t="str">
            <v>% brut</v>
          </cell>
          <cell r="AN57">
            <v>0.87698621268313126</v>
          </cell>
          <cell r="AO57">
            <v>65845.2545104936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109066.53000000001</v>
          </cell>
          <cell r="H60">
            <v>9088.8775000000005</v>
          </cell>
          <cell r="K60">
            <v>9088.8775000000005</v>
          </cell>
          <cell r="N60">
            <v>9088.8775000000005</v>
          </cell>
          <cell r="Q60">
            <v>9088.8775000000005</v>
          </cell>
          <cell r="T60">
            <v>9088.8775000000005</v>
          </cell>
          <cell r="W60">
            <v>9088.8775000000005</v>
          </cell>
          <cell r="Z60">
            <v>9088.8775000000005</v>
          </cell>
          <cell r="AC60">
            <v>9088.8775000000005</v>
          </cell>
          <cell r="AF60">
            <v>9088.8775000000005</v>
          </cell>
          <cell r="AI60">
            <v>9088.8775000000005</v>
          </cell>
          <cell r="AL60">
            <v>9088.8775000000005</v>
          </cell>
          <cell r="AO60">
            <v>9088.8775000000005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80128.755200000014</v>
          </cell>
          <cell r="H61">
            <v>6677.3962666666675</v>
          </cell>
          <cell r="K61">
            <v>6677.3962666666675</v>
          </cell>
          <cell r="N61">
            <v>6677.3962666666675</v>
          </cell>
          <cell r="Q61">
            <v>6677.3962666666675</v>
          </cell>
          <cell r="T61">
            <v>6677.3962666666675</v>
          </cell>
          <cell r="W61">
            <v>6677.3962666666675</v>
          </cell>
          <cell r="Z61">
            <v>6677.3962666666675</v>
          </cell>
          <cell r="AC61">
            <v>6677.3962666666675</v>
          </cell>
          <cell r="AF61">
            <v>6677.3962666666675</v>
          </cell>
          <cell r="AI61">
            <v>6677.3962666666675</v>
          </cell>
          <cell r="AL61">
            <v>6677.3962666666675</v>
          </cell>
          <cell r="AO61">
            <v>6677.3962666666675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19157.961600000002</v>
          </cell>
          <cell r="H62">
            <v>1596.4967999999999</v>
          </cell>
          <cell r="K62">
            <v>1596.4967999999999</v>
          </cell>
          <cell r="N62">
            <v>1596.4967999999999</v>
          </cell>
          <cell r="Q62">
            <v>1596.4967999999999</v>
          </cell>
          <cell r="T62">
            <v>1596.4967999999999</v>
          </cell>
          <cell r="W62">
            <v>1596.4967999999999</v>
          </cell>
          <cell r="Z62">
            <v>1596.4967999999999</v>
          </cell>
          <cell r="AC62">
            <v>1596.4967999999999</v>
          </cell>
          <cell r="AF62">
            <v>1596.4967999999999</v>
          </cell>
          <cell r="AI62">
            <v>1596.4967999999999</v>
          </cell>
          <cell r="AL62">
            <v>1596.4967999999999</v>
          </cell>
          <cell r="AO62">
            <v>1596.4967999999999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114710.73599999998</v>
          </cell>
          <cell r="H63">
            <v>9409.894666666667</v>
          </cell>
          <cell r="K63">
            <v>9409.894666666667</v>
          </cell>
          <cell r="N63">
            <v>9409.894666666667</v>
          </cell>
          <cell r="Q63">
            <v>9857.894666666667</v>
          </cell>
          <cell r="T63">
            <v>9857.894666666667</v>
          </cell>
          <cell r="W63">
            <v>9409.894666666667</v>
          </cell>
          <cell r="Z63">
            <v>9409.894666666667</v>
          </cell>
          <cell r="AC63">
            <v>9409.894666666667</v>
          </cell>
          <cell r="AF63">
            <v>9409.894666666667</v>
          </cell>
          <cell r="AI63">
            <v>9857.894666666667</v>
          </cell>
          <cell r="AL63">
            <v>9857.894666666667</v>
          </cell>
          <cell r="AO63">
            <v>9409.894666666667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3136.0000000000005</v>
          </cell>
          <cell r="H64">
            <v>244.32954319370256</v>
          </cell>
          <cell r="K64">
            <v>168.21322882608277</v>
          </cell>
          <cell r="N64">
            <v>255.71314561568806</v>
          </cell>
          <cell r="Q64">
            <v>283.23627122334295</v>
          </cell>
          <cell r="T64">
            <v>370.1122677147423</v>
          </cell>
          <cell r="W64">
            <v>260.75944437979479</v>
          </cell>
          <cell r="Z64">
            <v>259.61362848623401</v>
          </cell>
          <cell r="AC64">
            <v>274.89771377876548</v>
          </cell>
          <cell r="AF64">
            <v>301.2318591954994</v>
          </cell>
          <cell r="AI64">
            <v>373.63604399014486</v>
          </cell>
          <cell r="AL64">
            <v>217.13995988383078</v>
          </cell>
          <cell r="AO64">
            <v>127.11689371217211</v>
          </cell>
        </row>
        <row r="65">
          <cell r="A65" t="str">
            <v>Véhicules neufsUniformes</v>
          </cell>
          <cell r="B65" t="str">
            <v>Uniformes</v>
          </cell>
          <cell r="E65">
            <v>420</v>
          </cell>
          <cell r="H65">
            <v>35</v>
          </cell>
          <cell r="K65">
            <v>35</v>
          </cell>
          <cell r="N65">
            <v>35</v>
          </cell>
          <cell r="Q65">
            <v>35</v>
          </cell>
          <cell r="T65">
            <v>35</v>
          </cell>
          <cell r="W65">
            <v>35</v>
          </cell>
          <cell r="Z65">
            <v>35</v>
          </cell>
          <cell r="AC65">
            <v>35</v>
          </cell>
          <cell r="AF65">
            <v>35</v>
          </cell>
          <cell r="AI65">
            <v>35</v>
          </cell>
          <cell r="AL65">
            <v>35</v>
          </cell>
          <cell r="AO65">
            <v>35</v>
          </cell>
        </row>
        <row r="66">
          <cell r="A66" t="str">
            <v>Véhicules neufsPapeterie</v>
          </cell>
          <cell r="B66" t="str">
            <v>Papeterie</v>
          </cell>
          <cell r="E66">
            <v>8371.2000000000025</v>
          </cell>
          <cell r="H66">
            <v>697.6</v>
          </cell>
          <cell r="K66">
            <v>697.6</v>
          </cell>
          <cell r="N66">
            <v>697.6</v>
          </cell>
          <cell r="Q66">
            <v>697.6</v>
          </cell>
          <cell r="T66">
            <v>697.6</v>
          </cell>
          <cell r="W66">
            <v>697.6</v>
          </cell>
          <cell r="Z66">
            <v>697.6</v>
          </cell>
          <cell r="AC66">
            <v>697.6</v>
          </cell>
          <cell r="AF66">
            <v>697.6</v>
          </cell>
          <cell r="AI66">
            <v>697.6</v>
          </cell>
          <cell r="AL66">
            <v>697.6</v>
          </cell>
          <cell r="AO66">
            <v>697.6</v>
          </cell>
        </row>
        <row r="67">
          <cell r="A67" t="str">
            <v>Véhicules neufsTéléphone</v>
          </cell>
          <cell r="B67" t="str">
            <v>Téléphone</v>
          </cell>
          <cell r="E67">
            <v>7078.9440000000022</v>
          </cell>
          <cell r="H67">
            <v>589.91200000000003</v>
          </cell>
          <cell r="K67">
            <v>589.91200000000003</v>
          </cell>
          <cell r="N67">
            <v>589.91200000000003</v>
          </cell>
          <cell r="Q67">
            <v>589.91200000000003</v>
          </cell>
          <cell r="T67">
            <v>589.91200000000003</v>
          </cell>
          <cell r="W67">
            <v>589.91200000000003</v>
          </cell>
          <cell r="Z67">
            <v>589.91200000000003</v>
          </cell>
          <cell r="AC67">
            <v>589.91200000000003</v>
          </cell>
          <cell r="AF67">
            <v>589.91200000000003</v>
          </cell>
          <cell r="AI67">
            <v>589.91200000000003</v>
          </cell>
          <cell r="AL67">
            <v>589.91200000000003</v>
          </cell>
          <cell r="AO67">
            <v>589.91200000000003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3321.6000000000008</v>
          </cell>
          <cell r="H68">
            <v>276.8</v>
          </cell>
          <cell r="K68">
            <v>276.8</v>
          </cell>
          <cell r="N68">
            <v>276.8</v>
          </cell>
          <cell r="Q68">
            <v>276.8</v>
          </cell>
          <cell r="T68">
            <v>276.8</v>
          </cell>
          <cell r="W68">
            <v>276.8</v>
          </cell>
          <cell r="Z68">
            <v>276.8</v>
          </cell>
          <cell r="AC68">
            <v>276.8</v>
          </cell>
          <cell r="AF68">
            <v>276.8</v>
          </cell>
          <cell r="AI68">
            <v>276.8</v>
          </cell>
          <cell r="AL68">
            <v>276.8</v>
          </cell>
          <cell r="AO68">
            <v>276.8</v>
          </cell>
        </row>
        <row r="69">
          <cell r="A69" t="str">
            <v>Véhicules neufsDivers</v>
          </cell>
          <cell r="B69" t="str">
            <v>Divers</v>
          </cell>
          <cell r="E69">
            <v>16189.440000000004</v>
          </cell>
          <cell r="H69">
            <v>1349.1200000000001</v>
          </cell>
          <cell r="K69">
            <v>1349.1200000000001</v>
          </cell>
          <cell r="N69">
            <v>1349.1200000000001</v>
          </cell>
          <cell r="Q69">
            <v>1349.1200000000001</v>
          </cell>
          <cell r="T69">
            <v>1349.1200000000001</v>
          </cell>
          <cell r="W69">
            <v>1349.1200000000001</v>
          </cell>
          <cell r="Z69">
            <v>1349.1200000000001</v>
          </cell>
          <cell r="AC69">
            <v>1349.1200000000001</v>
          </cell>
          <cell r="AF69">
            <v>1349.1200000000001</v>
          </cell>
          <cell r="AI69">
            <v>1349.1200000000001</v>
          </cell>
          <cell r="AL69">
            <v>1349.1200000000001</v>
          </cell>
          <cell r="AO69">
            <v>1349.1200000000001</v>
          </cell>
        </row>
        <row r="70">
          <cell r="A70" t="str">
            <v>Véhicules neufsFormation</v>
          </cell>
          <cell r="B70" t="str">
            <v>Formation</v>
          </cell>
          <cell r="E70">
            <v>17260.16</v>
          </cell>
          <cell r="H70">
            <v>1438.3466666666668</v>
          </cell>
          <cell r="K70">
            <v>1438.3466666666668</v>
          </cell>
          <cell r="N70">
            <v>1438.3466666666668</v>
          </cell>
          <cell r="Q70">
            <v>1438.3466666666668</v>
          </cell>
          <cell r="T70">
            <v>1438.3466666666668</v>
          </cell>
          <cell r="W70">
            <v>1438.3466666666668</v>
          </cell>
          <cell r="Z70">
            <v>1438.3466666666668</v>
          </cell>
          <cell r="AC70">
            <v>1438.3466666666668</v>
          </cell>
          <cell r="AF70">
            <v>1438.3466666666668</v>
          </cell>
          <cell r="AI70">
            <v>1438.3466666666668</v>
          </cell>
          <cell r="AL70">
            <v>1438.3466666666668</v>
          </cell>
          <cell r="AO70">
            <v>1438.3466666666668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33942.400000000001</v>
          </cell>
          <cell r="H71">
            <v>2087.673832859015</v>
          </cell>
          <cell r="K71">
            <v>1800.7473835324845</v>
          </cell>
          <cell r="N71">
            <v>2083.3141574587762</v>
          </cell>
          <cell r="Q71">
            <v>4004.986042493329</v>
          </cell>
          <cell r="T71">
            <v>3670.657400387608</v>
          </cell>
          <cell r="W71">
            <v>2426.1879529419884</v>
          </cell>
          <cell r="Z71">
            <v>2287.3779570920533</v>
          </cell>
          <cell r="AC71">
            <v>2521.1800718091527</v>
          </cell>
          <cell r="AF71">
            <v>1909.2920190954228</v>
          </cell>
          <cell r="AI71">
            <v>3579.0423375094747</v>
          </cell>
          <cell r="AL71">
            <v>5208.1297278014263</v>
          </cell>
          <cell r="AO71">
            <v>2363.8111170192706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0.23096285157300209</v>
          </cell>
          <cell r="E75">
            <v>412783.7268</v>
          </cell>
          <cell r="F75" t="str">
            <v>% brut</v>
          </cell>
          <cell r="G75">
            <v>0.24266993790987043</v>
          </cell>
          <cell r="H75">
            <v>33491.447276052721</v>
          </cell>
          <cell r="I75" t="str">
            <v>% brut</v>
          </cell>
          <cell r="J75">
            <v>0.33895021190691804</v>
          </cell>
          <cell r="K75">
            <v>33128.404512358567</v>
          </cell>
          <cell r="L75" t="str">
            <v>% brut</v>
          </cell>
          <cell r="M75">
            <v>0.22947590011371763</v>
          </cell>
          <cell r="N75">
            <v>33498.47120307447</v>
          </cell>
          <cell r="O75" t="str">
            <v>% brut</v>
          </cell>
          <cell r="P75">
            <v>0.22274409564930289</v>
          </cell>
          <cell r="Q75">
            <v>35895.666213716679</v>
          </cell>
          <cell r="R75" t="str">
            <v>% brut</v>
          </cell>
          <cell r="S75">
            <v>0.17052647338079238</v>
          </cell>
          <cell r="T75">
            <v>35648.21356810235</v>
          </cell>
          <cell r="U75" t="str">
            <v>% brut</v>
          </cell>
          <cell r="V75">
            <v>0.22752307093676563</v>
          </cell>
          <cell r="W75">
            <v>33846.391297321781</v>
          </cell>
          <cell r="X75" t="str">
            <v>% brut</v>
          </cell>
          <cell r="Y75">
            <v>0.2275485314468087</v>
          </cell>
          <cell r="Z75">
            <v>33706.435485578288</v>
          </cell>
          <cell r="AA75" t="str">
            <v>% brut</v>
          </cell>
          <cell r="AB75">
            <v>0.21689212854136217</v>
          </cell>
          <cell r="AC75">
            <v>33955.521685587919</v>
          </cell>
          <cell r="AD75" t="str">
            <v>% brut</v>
          </cell>
          <cell r="AE75">
            <v>0.19506244356173494</v>
          </cell>
          <cell r="AF75">
            <v>33369.967778290928</v>
          </cell>
          <cell r="AG75" t="str">
            <v>% brut</v>
          </cell>
          <cell r="AH75">
            <v>0.16853883046915494</v>
          </cell>
          <cell r="AI75">
            <v>35560.122281499622</v>
          </cell>
          <cell r="AJ75" t="str">
            <v>% brut</v>
          </cell>
          <cell r="AK75">
            <v>0.29694530049114726</v>
          </cell>
          <cell r="AL75">
            <v>37032.713587685263</v>
          </cell>
          <cell r="AM75" t="str">
            <v>% brut</v>
          </cell>
          <cell r="AN75">
            <v>0.44818586300198915</v>
          </cell>
          <cell r="AO75">
            <v>33650.371910731446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1.2627158122933242</v>
          </cell>
          <cell r="E77">
            <v>2256763.5242543719</v>
          </cell>
          <cell r="F77" t="str">
            <v>% brut</v>
          </cell>
          <cell r="G77">
            <v>1.3005913071976967</v>
          </cell>
          <cell r="H77">
            <v>179497.65664374214</v>
          </cell>
          <cell r="I77" t="str">
            <v>% brut</v>
          </cell>
          <cell r="J77">
            <v>1.5914577472258411</v>
          </cell>
          <cell r="K77">
            <v>155546.31377219234</v>
          </cell>
          <cell r="L77" t="str">
            <v>% brut</v>
          </cell>
          <cell r="M77">
            <v>1.2923419785513521</v>
          </cell>
          <cell r="N77">
            <v>188653.71279325412</v>
          </cell>
          <cell r="O77" t="str">
            <v>% brut</v>
          </cell>
          <cell r="P77">
            <v>1.2122698364612972</v>
          </cell>
          <cell r="Q77">
            <v>195359.76154036302</v>
          </cell>
          <cell r="R77" t="str">
            <v>% brut</v>
          </cell>
          <cell r="S77">
            <v>1.0605929376352208</v>
          </cell>
          <cell r="T77">
            <v>221714.80357313261</v>
          </cell>
          <cell r="U77" t="str">
            <v>% brut</v>
          </cell>
          <cell r="V77">
            <v>1.2636063542465386</v>
          </cell>
          <cell r="W77">
            <v>187974.41039944906</v>
          </cell>
          <cell r="X77" t="str">
            <v>% brut</v>
          </cell>
          <cell r="Y77">
            <v>1.2685633114729253</v>
          </cell>
          <cell r="Z77">
            <v>187910.4520941675</v>
          </cell>
          <cell r="AA77" t="str">
            <v>% brut</v>
          </cell>
          <cell r="AB77">
            <v>1.2298290412675918</v>
          </cell>
          <cell r="AC77">
            <v>192535.74097486815</v>
          </cell>
          <cell r="AD77" t="str">
            <v>% brut</v>
          </cell>
          <cell r="AE77">
            <v>1.1703058725673245</v>
          </cell>
          <cell r="AF77">
            <v>200208.03874507209</v>
          </cell>
          <cell r="AG77" t="str">
            <v>% brut</v>
          </cell>
          <cell r="AH77">
            <v>1.0457020667729524</v>
          </cell>
          <cell r="AI77">
            <v>220633.38911841161</v>
          </cell>
          <cell r="AJ77" t="str">
            <v>% brut</v>
          </cell>
          <cell r="AK77">
            <v>1.4224493179333764</v>
          </cell>
          <cell r="AL77">
            <v>177396.84075449925</v>
          </cell>
          <cell r="AM77" t="str">
            <v>% brut</v>
          </cell>
          <cell r="AN77">
            <v>1.988943018789854</v>
          </cell>
          <cell r="AO77">
            <v>149332.40384522005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84157.371389625943</v>
          </cell>
          <cell r="H78">
            <v>19827.767250000001</v>
          </cell>
          <cell r="K78">
            <v>1201.2880890289925</v>
          </cell>
          <cell r="N78">
            <v>758.49607159347272</v>
          </cell>
          <cell r="Q78">
            <v>7158.5199510629927</v>
          </cell>
          <cell r="T78">
            <v>9354.2258593001643</v>
          </cell>
          <cell r="W78">
            <v>6590.4401189808532</v>
          </cell>
          <cell r="Z78">
            <v>6561.4807420660518</v>
          </cell>
          <cell r="AC78">
            <v>6947.771060843972</v>
          </cell>
          <cell r="AF78">
            <v>7613.3408501427211</v>
          </cell>
          <cell r="AI78">
            <v>9443.285860908014</v>
          </cell>
          <cell r="AL78">
            <v>5488.0002772516173</v>
          </cell>
          <cell r="AO78">
            <v>3212.7552584470782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739261.69357707503</v>
          </cell>
          <cell r="H81">
            <v>36963.084678853753</v>
          </cell>
          <cell r="K81">
            <v>36963.084678853753</v>
          </cell>
          <cell r="N81">
            <v>73926.169357707506</v>
          </cell>
          <cell r="Q81">
            <v>73926.169357707506</v>
          </cell>
          <cell r="T81">
            <v>81318.786293478261</v>
          </cell>
          <cell r="W81">
            <v>59140.935486166003</v>
          </cell>
          <cell r="Z81">
            <v>51748.318550395255</v>
          </cell>
          <cell r="AC81">
            <v>73926.169357707506</v>
          </cell>
          <cell r="AF81">
            <v>73926.169357707506</v>
          </cell>
          <cell r="AI81">
            <v>81318.786293478261</v>
          </cell>
          <cell r="AL81">
            <v>73926.169357707506</v>
          </cell>
          <cell r="AO81">
            <v>22177.85080731225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246254.40000000002</v>
          </cell>
          <cell r="H85">
            <v>19185.977379285494</v>
          </cell>
          <cell r="K85">
            <v>13208.943793568151</v>
          </cell>
          <cell r="N85">
            <v>20079.87475947191</v>
          </cell>
          <cell r="Q85">
            <v>22241.12819781301</v>
          </cell>
          <cell r="T85">
            <v>29063.065822300134</v>
          </cell>
          <cell r="W85">
            <v>20476.135369923384</v>
          </cell>
          <cell r="Z85">
            <v>20386.160176881524</v>
          </cell>
          <cell r="AC85">
            <v>21586.342974477557</v>
          </cell>
          <cell r="AF85">
            <v>23654.231743326585</v>
          </cell>
          <cell r="AI85">
            <v>29339.770354326123</v>
          </cell>
          <cell r="AL85">
            <v>17050.915349877814</v>
          </cell>
          <cell r="AO85">
            <v>9981.854078748318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1069673.4649667009</v>
          </cell>
          <cell r="H86">
            <v>75976.829308139248</v>
          </cell>
          <cell r="K86">
            <v>51373.316561450891</v>
          </cell>
          <cell r="N86">
            <v>94764.540188772895</v>
          </cell>
          <cell r="Q86">
            <v>103325.81750658351</v>
          </cell>
          <cell r="T86">
            <v>119736.07797507856</v>
          </cell>
          <cell r="W86">
            <v>86207.51097507024</v>
          </cell>
          <cell r="Z86">
            <v>78695.959469342837</v>
          </cell>
          <cell r="AC86">
            <v>102460.28339302904</v>
          </cell>
          <cell r="AF86">
            <v>105193.74195117681</v>
          </cell>
          <cell r="AI86">
            <v>120101.84250871241</v>
          </cell>
          <cell r="AL86">
            <v>96465.08498483694</v>
          </cell>
          <cell r="AO86">
            <v>35372.460144507648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600139.89561063214</v>
          </cell>
          <cell r="H88">
            <v>34491.518010987638</v>
          </cell>
          <cell r="K88">
            <v>-6434.735517439316</v>
          </cell>
          <cell r="N88">
            <v>52088.994107030449</v>
          </cell>
          <cell r="Q88">
            <v>69118.09956620993</v>
          </cell>
          <cell r="T88">
            <v>107069.24719675344</v>
          </cell>
          <cell r="W88">
            <v>46993.361053682951</v>
          </cell>
          <cell r="Z88">
            <v>38914.06382537348</v>
          </cell>
          <cell r="AC88">
            <v>66479.424856471538</v>
          </cell>
          <cell r="AF88">
            <v>76058.961435486679</v>
          </cell>
          <cell r="AI88">
            <v>110459.13240778478</v>
          </cell>
          <cell r="AL88">
            <v>43780.484250412715</v>
          </cell>
          <cell r="AO88">
            <v>-38878.655582121974</v>
          </cell>
        </row>
        <row r="92">
          <cell r="B92" t="str">
            <v>Budget 2021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11978226.000000004</v>
          </cell>
          <cell r="H96">
            <v>641081.32723401533</v>
          </cell>
          <cell r="K96">
            <v>810373.52002469823</v>
          </cell>
          <cell r="N96">
            <v>758716.19304405223</v>
          </cell>
          <cell r="Q96">
            <v>994929.55394000048</v>
          </cell>
          <cell r="T96">
            <v>1240477.1936189239</v>
          </cell>
          <cell r="W96">
            <v>1127432.9567185473</v>
          </cell>
          <cell r="Z96">
            <v>1147134.4057891713</v>
          </cell>
          <cell r="AC96">
            <v>1181462.1086358507</v>
          </cell>
          <cell r="AF96">
            <v>952211.20158621995</v>
          </cell>
          <cell r="AI96">
            <v>1285172.0667532524</v>
          </cell>
          <cell r="AL96">
            <v>1165165.3760065578</v>
          </cell>
          <cell r="AO96">
            <v>674070.09664871078</v>
          </cell>
        </row>
        <row r="97">
          <cell r="A97" t="str">
            <v>Véhicules usagésCertifié</v>
          </cell>
          <cell r="B97" t="str">
            <v>Certifié</v>
          </cell>
          <cell r="C97">
            <v>359.49640287769785</v>
          </cell>
          <cell r="D97">
            <v>750.00000000000011</v>
          </cell>
          <cell r="E97">
            <v>269622.30215827341</v>
          </cell>
          <cell r="F97">
            <v>19.24044771677282</v>
          </cell>
          <cell r="G97">
            <v>750</v>
          </cell>
          <cell r="H97">
            <v>14430.335787579615</v>
          </cell>
          <cell r="I97">
            <v>24.321328169648581</v>
          </cell>
          <cell r="J97">
            <v>750</v>
          </cell>
          <cell r="K97">
            <v>18240.996127236434</v>
          </cell>
          <cell r="L97">
            <v>22.770963096237939</v>
          </cell>
          <cell r="M97">
            <v>750</v>
          </cell>
          <cell r="N97">
            <v>17078.222322178455</v>
          </cell>
          <cell r="O97">
            <v>29.860314520542744</v>
          </cell>
          <cell r="P97">
            <v>750</v>
          </cell>
          <cell r="Q97">
            <v>22395.235890407057</v>
          </cell>
          <cell r="R97">
            <v>37.229810905039251</v>
          </cell>
          <cell r="S97">
            <v>750</v>
          </cell>
          <cell r="T97">
            <v>27922.358178779439</v>
          </cell>
          <cell r="U97">
            <v>33.83707173550448</v>
          </cell>
          <cell r="V97">
            <v>750</v>
          </cell>
          <cell r="W97">
            <v>25377.803801628361</v>
          </cell>
          <cell r="X97">
            <v>34.428361303122216</v>
          </cell>
          <cell r="Y97">
            <v>750</v>
          </cell>
          <cell r="Z97">
            <v>25821.270977341661</v>
          </cell>
          <cell r="AA97">
            <v>35.458621184045796</v>
          </cell>
          <cell r="AB97">
            <v>750</v>
          </cell>
          <cell r="AC97">
            <v>26593.965888034349</v>
          </cell>
          <cell r="AD97">
            <v>28.578230344802019</v>
          </cell>
          <cell r="AE97">
            <v>750</v>
          </cell>
          <cell r="AF97">
            <v>21433.672758601515</v>
          </cell>
          <cell r="AG97">
            <v>38.571215393388869</v>
          </cell>
          <cell r="AH97">
            <v>750</v>
          </cell>
          <cell r="AI97">
            <v>28928.41154504165</v>
          </cell>
          <cell r="AJ97">
            <v>34.969515638793077</v>
          </cell>
          <cell r="AK97">
            <v>750</v>
          </cell>
          <cell r="AL97">
            <v>26227.136729094807</v>
          </cell>
          <cell r="AM97">
            <v>20.230522869800058</v>
          </cell>
          <cell r="AN97">
            <v>750</v>
          </cell>
          <cell r="AO97">
            <v>15172.892152350043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20.50359712230216</v>
          </cell>
          <cell r="D98">
            <v>750</v>
          </cell>
          <cell r="E98">
            <v>15377.69784172662</v>
          </cell>
          <cell r="F98">
            <v>1.0973639382189821</v>
          </cell>
          <cell r="G98">
            <v>750</v>
          </cell>
          <cell r="H98">
            <v>823.02295366423664</v>
          </cell>
          <cell r="I98">
            <v>1.3871479944666489</v>
          </cell>
          <cell r="J98">
            <v>750</v>
          </cell>
          <cell r="K98">
            <v>1040.3609958499867</v>
          </cell>
          <cell r="L98">
            <v>1.2987241309641409</v>
          </cell>
          <cell r="M98">
            <v>750</v>
          </cell>
          <cell r="N98">
            <v>974.04309822310563</v>
          </cell>
          <cell r="O98">
            <v>1.7030597635290536</v>
          </cell>
          <cell r="P98">
            <v>750</v>
          </cell>
          <cell r="Q98">
            <v>1277.2948226467902</v>
          </cell>
          <cell r="R98">
            <v>2.1233732455345575</v>
          </cell>
          <cell r="S98">
            <v>750</v>
          </cell>
          <cell r="T98">
            <v>1592.5299341509181</v>
          </cell>
          <cell r="U98">
            <v>1.9298710115306736</v>
          </cell>
          <cell r="V98">
            <v>750</v>
          </cell>
          <cell r="W98">
            <v>1447.4032586480052</v>
          </cell>
          <cell r="X98">
            <v>1.9635947511286436</v>
          </cell>
          <cell r="Y98">
            <v>750.00000000000011</v>
          </cell>
          <cell r="Z98">
            <v>1472.6960633464828</v>
          </cell>
          <cell r="AA98">
            <v>2.0223548203828403</v>
          </cell>
          <cell r="AB98">
            <v>750</v>
          </cell>
          <cell r="AC98">
            <v>1516.7661152871303</v>
          </cell>
          <cell r="AD98">
            <v>1.6299370919088603</v>
          </cell>
          <cell r="AE98">
            <v>750</v>
          </cell>
          <cell r="AF98">
            <v>1222.4528189316452</v>
          </cell>
          <cell r="AG98">
            <v>2.1998792049461331</v>
          </cell>
          <cell r="AH98">
            <v>750</v>
          </cell>
          <cell r="AI98">
            <v>1649.9094037095999</v>
          </cell>
          <cell r="AJ98">
            <v>1.994459066851316</v>
          </cell>
          <cell r="AK98">
            <v>750</v>
          </cell>
          <cell r="AL98">
            <v>1495.8443001384869</v>
          </cell>
          <cell r="AM98">
            <v>1.1538321028403073</v>
          </cell>
          <cell r="AN98">
            <v>750</v>
          </cell>
          <cell r="AO98">
            <v>865.37407713023049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380</v>
          </cell>
          <cell r="D99">
            <v>750</v>
          </cell>
          <cell r="E99">
            <v>285000</v>
          </cell>
          <cell r="F99">
            <v>20.337811654991803</v>
          </cell>
          <cell r="G99">
            <v>750</v>
          </cell>
          <cell r="H99">
            <v>15253.358741243852</v>
          </cell>
          <cell r="I99">
            <v>25.708476164115229</v>
          </cell>
          <cell r="J99">
            <v>750</v>
          </cell>
          <cell r="K99">
            <v>19281.357123086422</v>
          </cell>
          <cell r="L99">
            <v>24.069687227202081</v>
          </cell>
          <cell r="M99">
            <v>750</v>
          </cell>
          <cell r="N99">
            <v>18052.26542040156</v>
          </cell>
          <cell r="O99">
            <v>31.563374284071799</v>
          </cell>
          <cell r="P99">
            <v>749.99999999999989</v>
          </cell>
          <cell r="Q99">
            <v>23672.530713053846</v>
          </cell>
          <cell r="R99">
            <v>39.35318415057381</v>
          </cell>
          <cell r="S99">
            <v>750</v>
          </cell>
          <cell r="T99">
            <v>29514.888112930355</v>
          </cell>
          <cell r="U99">
            <v>35.766942747035152</v>
          </cell>
          <cell r="V99">
            <v>750.00000000000011</v>
          </cell>
          <cell r="W99">
            <v>26825.207060276367</v>
          </cell>
          <cell r="X99">
            <v>36.391956054250862</v>
          </cell>
          <cell r="Y99">
            <v>750</v>
          </cell>
          <cell r="Z99">
            <v>27293.967040688145</v>
          </cell>
          <cell r="AA99">
            <v>37.480976004428634</v>
          </cell>
          <cell r="AB99">
            <v>750.00000000000011</v>
          </cell>
          <cell r="AC99">
            <v>28110.732003321478</v>
          </cell>
          <cell r="AD99">
            <v>30.20816743671088</v>
          </cell>
          <cell r="AE99">
            <v>750</v>
          </cell>
          <cell r="AF99">
            <v>22656.125577533159</v>
          </cell>
          <cell r="AG99">
            <v>40.771094598335004</v>
          </cell>
          <cell r="AH99">
            <v>749.99999999999989</v>
          </cell>
          <cell r="AI99">
            <v>30578.32094875125</v>
          </cell>
          <cell r="AJ99">
            <v>36.963974705644389</v>
          </cell>
          <cell r="AK99">
            <v>750.00000000000011</v>
          </cell>
          <cell r="AL99">
            <v>27722.981029233295</v>
          </cell>
          <cell r="AM99">
            <v>21.384354972640367</v>
          </cell>
          <cell r="AN99">
            <v>750</v>
          </cell>
          <cell r="AO99">
            <v>16038.266229480274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321.99999999999994</v>
          </cell>
          <cell r="D102">
            <v>120.00000000000001</v>
          </cell>
          <cell r="E102">
            <v>38640</v>
          </cell>
          <cell r="F102">
            <v>17.233619349756211</v>
          </cell>
          <cell r="G102">
            <v>120</v>
          </cell>
          <cell r="H102">
            <v>2068.0343219707452</v>
          </cell>
          <cell r="I102">
            <v>21.784550854855535</v>
          </cell>
          <cell r="J102">
            <v>120</v>
          </cell>
          <cell r="K102">
            <v>2614.1461025826643</v>
          </cell>
          <cell r="L102">
            <v>20.395892860944919</v>
          </cell>
          <cell r="M102">
            <v>120</v>
          </cell>
          <cell r="N102">
            <v>2447.5071433133903</v>
          </cell>
          <cell r="O102">
            <v>26.745806630187154</v>
          </cell>
          <cell r="P102">
            <v>120</v>
          </cell>
          <cell r="Q102">
            <v>3209.4967956224586</v>
          </cell>
          <cell r="R102">
            <v>33.34664551706517</v>
          </cell>
          <cell r="S102">
            <v>120</v>
          </cell>
          <cell r="T102">
            <v>4001.5974620478205</v>
          </cell>
          <cell r="U102">
            <v>30.307777801435051</v>
          </cell>
          <cell r="V102">
            <v>120</v>
          </cell>
          <cell r="W102">
            <v>3636.9333361722061</v>
          </cell>
          <cell r="X102">
            <v>30.837394340707309</v>
          </cell>
          <cell r="Y102">
            <v>120</v>
          </cell>
          <cell r="Z102">
            <v>3700.4873208848771</v>
          </cell>
          <cell r="AA102">
            <v>31.760195456384267</v>
          </cell>
          <cell r="AB102">
            <v>120</v>
          </cell>
          <cell r="AC102">
            <v>3811.2234547661119</v>
          </cell>
          <cell r="AD102">
            <v>25.597447143739217</v>
          </cell>
          <cell r="AE102">
            <v>120</v>
          </cell>
          <cell r="AF102">
            <v>3071.6936572487061</v>
          </cell>
          <cell r="AG102">
            <v>34.548138054378612</v>
          </cell>
          <cell r="AH102">
            <v>120.00000000000001</v>
          </cell>
          <cell r="AI102">
            <v>4145.7765665254337</v>
          </cell>
          <cell r="AJ102">
            <v>31.322104882151301</v>
          </cell>
          <cell r="AK102">
            <v>120</v>
          </cell>
          <cell r="AL102">
            <v>3758.6525858581563</v>
          </cell>
          <cell r="AM102">
            <v>18.120427108395255</v>
          </cell>
          <cell r="AN102">
            <v>120.00000000000001</v>
          </cell>
          <cell r="AO102">
            <v>2174.4512530074308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804.09356725146199</v>
          </cell>
          <cell r="E104">
            <v>305555.55555555556</v>
          </cell>
          <cell r="G104">
            <v>804.09356725146199</v>
          </cell>
          <cell r="H104">
            <v>16353.50352375072</v>
          </cell>
          <cell r="J104">
            <v>804.09356725146199</v>
          </cell>
          <cell r="K104">
            <v>20672.020307402596</v>
          </cell>
          <cell r="M104">
            <v>804.09356725146199</v>
          </cell>
          <cell r="N104">
            <v>19354.280665147871</v>
          </cell>
          <cell r="P104">
            <v>804.09356725146199</v>
          </cell>
          <cell r="Q104">
            <v>25379.906222572354</v>
          </cell>
          <cell r="S104">
            <v>804.09356725146199</v>
          </cell>
          <cell r="T104">
            <v>31643.64222633859</v>
          </cell>
          <cell r="V104">
            <v>804.09356725146199</v>
          </cell>
          <cell r="W104">
            <v>28759.968583142301</v>
          </cell>
          <cell r="Y104">
            <v>804.09356725146199</v>
          </cell>
          <cell r="Z104">
            <v>29262.537762921016</v>
          </cell>
          <cell r="AB104">
            <v>804.09356725146199</v>
          </cell>
          <cell r="AC104">
            <v>30138.211699467469</v>
          </cell>
          <cell r="AE104">
            <v>804.09356725146199</v>
          </cell>
          <cell r="AF104">
            <v>24290.193114314305</v>
          </cell>
          <cell r="AH104">
            <v>804.09356725146199</v>
          </cell>
          <cell r="AI104">
            <v>32783.774896322007</v>
          </cell>
          <cell r="AK104">
            <v>804.09356725146199</v>
          </cell>
          <cell r="AL104">
            <v>29722.494280854407</v>
          </cell>
          <cell r="AN104">
            <v>804.09356725146188</v>
          </cell>
          <cell r="AO104">
            <v>17195.022273321931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911.30604288499023</v>
          </cell>
          <cell r="E105">
            <v>346296.29629629629</v>
          </cell>
          <cell r="G105">
            <v>911.30604288499035</v>
          </cell>
          <cell r="H105">
            <v>18533.970660250816</v>
          </cell>
          <cell r="J105">
            <v>911.30604288499023</v>
          </cell>
          <cell r="K105">
            <v>23428.289681722941</v>
          </cell>
          <cell r="M105">
            <v>911.30604288499035</v>
          </cell>
          <cell r="N105">
            <v>21934.851420500923</v>
          </cell>
          <cell r="P105">
            <v>911.30604288499023</v>
          </cell>
          <cell r="Q105">
            <v>28763.893718915333</v>
          </cell>
          <cell r="S105">
            <v>911.30604288499023</v>
          </cell>
          <cell r="T105">
            <v>35862.794523183737</v>
          </cell>
          <cell r="V105">
            <v>911.30604288499023</v>
          </cell>
          <cell r="W105">
            <v>32594.631060894608</v>
          </cell>
          <cell r="Y105">
            <v>911.30604288499012</v>
          </cell>
          <cell r="Z105">
            <v>33164.209464643813</v>
          </cell>
          <cell r="AB105">
            <v>911.30604288499023</v>
          </cell>
          <cell r="AC105">
            <v>34156.63992606313</v>
          </cell>
          <cell r="AE105">
            <v>911.30604288499023</v>
          </cell>
          <cell r="AF105">
            <v>27528.88552955621</v>
          </cell>
          <cell r="AH105">
            <v>911.30604288499035</v>
          </cell>
          <cell r="AI105">
            <v>37154.944882498276</v>
          </cell>
          <cell r="AK105">
            <v>911.30604288499012</v>
          </cell>
          <cell r="AL105">
            <v>33685.493518301657</v>
          </cell>
          <cell r="AN105">
            <v>911.30604288499023</v>
          </cell>
          <cell r="AO105">
            <v>19487.691909764857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M106">
            <v>0</v>
          </cell>
          <cell r="N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K106">
            <v>0</v>
          </cell>
          <cell r="AL106">
            <v>0</v>
          </cell>
          <cell r="AN106">
            <v>0</v>
          </cell>
          <cell r="AO106">
            <v>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380</v>
          </cell>
          <cell r="D107">
            <v>1715.3996101364523</v>
          </cell>
          <cell r="E107">
            <v>651851.85185185191</v>
          </cell>
          <cell r="F107">
            <v>20.337811654991803</v>
          </cell>
          <cell r="G107">
            <v>1715.3996101364523</v>
          </cell>
          <cell r="H107">
            <v>34887.474184001534</v>
          </cell>
          <cell r="I107">
            <v>25.708476164115229</v>
          </cell>
          <cell r="J107">
            <v>1715.3996101364523</v>
          </cell>
          <cell r="K107">
            <v>44100.309989125541</v>
          </cell>
          <cell r="L107">
            <v>24.069687227202081</v>
          </cell>
          <cell r="M107">
            <v>1715.3996101364523</v>
          </cell>
          <cell r="N107">
            <v>41289.132085648795</v>
          </cell>
          <cell r="O107">
            <v>31.563374284071799</v>
          </cell>
          <cell r="P107">
            <v>1715.3996101364521</v>
          </cell>
          <cell r="Q107">
            <v>54143.799941487683</v>
          </cell>
          <cell r="R107">
            <v>39.35318415057381</v>
          </cell>
          <cell r="S107">
            <v>1715.3996101364523</v>
          </cell>
          <cell r="T107">
            <v>67506.436749522327</v>
          </cell>
          <cell r="U107">
            <v>35.766942747035152</v>
          </cell>
          <cell r="V107">
            <v>1715.3996101364521</v>
          </cell>
          <cell r="W107">
            <v>61354.599644036905</v>
          </cell>
          <cell r="X107">
            <v>36.391956054250862</v>
          </cell>
          <cell r="Y107">
            <v>1715.3996101364523</v>
          </cell>
          <cell r="Z107">
            <v>62426.747227564832</v>
          </cell>
          <cell r="AA107">
            <v>37.480976004428634</v>
          </cell>
          <cell r="AB107">
            <v>1715.3996101364523</v>
          </cell>
          <cell r="AC107">
            <v>64294.851625530602</v>
          </cell>
          <cell r="AD107">
            <v>30.20816743671088</v>
          </cell>
          <cell r="AE107">
            <v>1715.3996101364521</v>
          </cell>
          <cell r="AF107">
            <v>51819.078643870511</v>
          </cell>
          <cell r="AG107">
            <v>40.771094598335004</v>
          </cell>
          <cell r="AH107">
            <v>1715.3996101364526</v>
          </cell>
          <cell r="AI107">
            <v>69938.71977882029</v>
          </cell>
          <cell r="AJ107">
            <v>36.963974705644389</v>
          </cell>
          <cell r="AK107">
            <v>1715.3996101364521</v>
          </cell>
          <cell r="AL107">
            <v>63407.987799156064</v>
          </cell>
          <cell r="AM107">
            <v>21.384354972640367</v>
          </cell>
          <cell r="AN107">
            <v>1715.3996101364523</v>
          </cell>
          <cell r="AO107">
            <v>36682.714183086791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702</v>
          </cell>
          <cell r="D110">
            <v>1389.5895325524957</v>
          </cell>
          <cell r="E110">
            <v>975491.85185185191</v>
          </cell>
          <cell r="F110">
            <v>37.571431004748014</v>
          </cell>
          <cell r="G110">
            <v>1389.5895325524955</v>
          </cell>
          <cell r="H110">
            <v>52208.867247216127</v>
          </cell>
          <cell r="I110">
            <v>47.493027018970764</v>
          </cell>
          <cell r="J110">
            <v>1389.5895325524953</v>
          </cell>
          <cell r="K110">
            <v>65995.813214794616</v>
          </cell>
          <cell r="L110">
            <v>44.465580088147</v>
          </cell>
          <cell r="M110">
            <v>1389.5895325524957</v>
          </cell>
          <cell r="N110">
            <v>61788.904649363751</v>
          </cell>
          <cell r="O110">
            <v>58.309180914258953</v>
          </cell>
          <cell r="P110">
            <v>1389.5895325524955</v>
          </cell>
          <cell r="Q110">
            <v>81025.827450163983</v>
          </cell>
          <cell r="R110">
            <v>72.69982966763898</v>
          </cell>
          <cell r="S110">
            <v>1389.5895325524957</v>
          </cell>
          <cell r="T110">
            <v>101022.92232450051</v>
          </cell>
          <cell r="U110">
            <v>66.074720548470196</v>
          </cell>
          <cell r="V110">
            <v>1389.5895325524957</v>
          </cell>
          <cell r="W110">
            <v>91816.740040485485</v>
          </cell>
          <cell r="X110">
            <v>67.229350394958175</v>
          </cell>
          <cell r="Y110">
            <v>1389.5895325524955</v>
          </cell>
          <cell r="Z110">
            <v>93421.201589137854</v>
          </cell>
          <cell r="AA110">
            <v>69.241171460812893</v>
          </cell>
          <cell r="AB110">
            <v>1389.5895325524955</v>
          </cell>
          <cell r="AC110">
            <v>96216.807083618187</v>
          </cell>
          <cell r="AD110">
            <v>55.805614580450097</v>
          </cell>
          <cell r="AE110">
            <v>1389.5895325524953</v>
          </cell>
          <cell r="AF110">
            <v>77546.897878652366</v>
          </cell>
          <cell r="AG110">
            <v>75.319232652713623</v>
          </cell>
          <cell r="AH110">
            <v>1389.5895325524955</v>
          </cell>
          <cell r="AI110">
            <v>104662.81729409698</v>
          </cell>
          <cell r="AJ110">
            <v>68.286079587795683</v>
          </cell>
          <cell r="AK110">
            <v>1389.5895325524957</v>
          </cell>
          <cell r="AL110">
            <v>94889.621414247522</v>
          </cell>
          <cell r="AM110">
            <v>39.504782081035621</v>
          </cell>
          <cell r="AN110">
            <v>1389.5895325524955</v>
          </cell>
          <cell r="AO110">
            <v>54895.431665574491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0.58186315789473686</v>
          </cell>
          <cell r="D114">
            <v>436.39736842105265</v>
          </cell>
          <cell r="E114">
            <v>165831</v>
          </cell>
          <cell r="G114">
            <v>532.94535995376907</v>
          </cell>
          <cell r="H114">
            <v>10838.942353141567</v>
          </cell>
          <cell r="J114">
            <v>471.62973415048248</v>
          </cell>
          <cell r="K114">
            <v>12124.881778695681</v>
          </cell>
          <cell r="M114">
            <v>497.57830715421136</v>
          </cell>
          <cell r="N114">
            <v>11976.554224242554</v>
          </cell>
          <cell r="P114">
            <v>438.0947448356996</v>
          </cell>
          <cell r="Q114">
            <v>13827.748403134117</v>
          </cell>
          <cell r="S114">
            <v>400.41957519365081</v>
          </cell>
          <cell r="T114">
            <v>15757.785280090277</v>
          </cell>
          <cell r="V114">
            <v>417.89841005175413</v>
          </cell>
          <cell r="W114">
            <v>14946.948506398108</v>
          </cell>
          <cell r="Y114">
            <v>419.25084424424927</v>
          </cell>
          <cell r="Z114">
            <v>15257.358299444291</v>
          </cell>
          <cell r="AB114">
            <v>410.9634140626199</v>
          </cell>
          <cell r="AC114">
            <v>15403.309861179125</v>
          </cell>
          <cell r="AE114">
            <v>445.80408951449374</v>
          </cell>
          <cell r="AF114">
            <v>13466.924580024272</v>
          </cell>
          <cell r="AH114">
            <v>399.28542751146796</v>
          </cell>
          <cell r="AI114">
            <v>16279.303936806695</v>
          </cell>
          <cell r="AK114">
            <v>412.98746649793475</v>
          </cell>
          <cell r="AL114">
            <v>15265.658265377819</v>
          </cell>
          <cell r="AN114">
            <v>499.69169166602779</v>
          </cell>
          <cell r="AO114">
            <v>10685.584511465499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514.61988304093563</v>
          </cell>
          <cell r="E115">
            <v>195555.55555555556</v>
          </cell>
          <cell r="G115">
            <v>514.61988304093563</v>
          </cell>
          <cell r="H115">
            <v>10466.242255200459</v>
          </cell>
          <cell r="J115">
            <v>514.61988304093563</v>
          </cell>
          <cell r="K115">
            <v>13230.092996737661</v>
          </cell>
          <cell r="M115">
            <v>514.61988304093563</v>
          </cell>
          <cell r="N115">
            <v>12386.739625694638</v>
          </cell>
          <cell r="P115">
            <v>514.61988304093563</v>
          </cell>
          <cell r="Q115">
            <v>16243.139982446304</v>
          </cell>
          <cell r="S115">
            <v>514.61988304093563</v>
          </cell>
          <cell r="T115">
            <v>20251.931024856698</v>
          </cell>
          <cell r="V115">
            <v>514.61988304093563</v>
          </cell>
          <cell r="W115">
            <v>18406.379893211069</v>
          </cell>
          <cell r="Y115">
            <v>514.61988304093575</v>
          </cell>
          <cell r="Z115">
            <v>18728.02416826945</v>
          </cell>
          <cell r="AB115">
            <v>514.61988304093563</v>
          </cell>
          <cell r="AC115">
            <v>19288.455487659179</v>
          </cell>
          <cell r="AE115">
            <v>514.61988304093563</v>
          </cell>
          <cell r="AF115">
            <v>15545.723593161152</v>
          </cell>
          <cell r="AH115">
            <v>514.61988304093575</v>
          </cell>
          <cell r="AI115">
            <v>20981.615933646088</v>
          </cell>
          <cell r="AK115">
            <v>514.61988304093563</v>
          </cell>
          <cell r="AL115">
            <v>19022.396339746818</v>
          </cell>
          <cell r="AN115">
            <v>514.61988304093575</v>
          </cell>
          <cell r="AO115">
            <v>11004.814254926037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54</v>
          </cell>
          <cell r="E116">
            <v>20520</v>
          </cell>
          <cell r="G116">
            <v>54</v>
          </cell>
          <cell r="H116">
            <v>1098.2418293695573</v>
          </cell>
          <cell r="J116">
            <v>54</v>
          </cell>
          <cell r="K116">
            <v>1388.2577128622224</v>
          </cell>
          <cell r="M116">
            <v>54</v>
          </cell>
          <cell r="N116">
            <v>1299.7631102689124</v>
          </cell>
          <cell r="P116">
            <v>54</v>
          </cell>
          <cell r="Q116">
            <v>1704.4222113398771</v>
          </cell>
          <cell r="S116">
            <v>54</v>
          </cell>
          <cell r="T116">
            <v>2125.0719441309857</v>
          </cell>
          <cell r="V116">
            <v>54</v>
          </cell>
          <cell r="W116">
            <v>1931.4149083398981</v>
          </cell>
          <cell r="Y116">
            <v>54</v>
          </cell>
          <cell r="Z116">
            <v>1965.1656269295465</v>
          </cell>
          <cell r="AB116">
            <v>54</v>
          </cell>
          <cell r="AC116">
            <v>2023.9727042391462</v>
          </cell>
          <cell r="AE116">
            <v>53.999999999999993</v>
          </cell>
          <cell r="AF116">
            <v>1631.2410415823874</v>
          </cell>
          <cell r="AH116">
            <v>54</v>
          </cell>
          <cell r="AI116">
            <v>2201.6391083100903</v>
          </cell>
          <cell r="AK116">
            <v>54</v>
          </cell>
          <cell r="AL116">
            <v>1996.0546341047971</v>
          </cell>
          <cell r="AN116">
            <v>54.000000000000007</v>
          </cell>
          <cell r="AO116">
            <v>1154.7551685225799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105</v>
          </cell>
          <cell r="E117">
            <v>39900</v>
          </cell>
          <cell r="G117">
            <v>105</v>
          </cell>
          <cell r="H117">
            <v>2135.4702237741394</v>
          </cell>
          <cell r="J117">
            <v>105</v>
          </cell>
          <cell r="K117">
            <v>2699.3899972320992</v>
          </cell>
          <cell r="M117">
            <v>105</v>
          </cell>
          <cell r="N117">
            <v>2527.3171588562186</v>
          </cell>
          <cell r="P117">
            <v>105</v>
          </cell>
          <cell r="Q117">
            <v>3314.154299827539</v>
          </cell>
          <cell r="S117">
            <v>105</v>
          </cell>
          <cell r="T117">
            <v>4132.0843358102502</v>
          </cell>
          <cell r="V117">
            <v>105</v>
          </cell>
          <cell r="W117">
            <v>3755.5289884386912</v>
          </cell>
          <cell r="Y117">
            <v>105</v>
          </cell>
          <cell r="Z117">
            <v>3821.1553856963405</v>
          </cell>
          <cell r="AB117">
            <v>105</v>
          </cell>
          <cell r="AC117">
            <v>3935.5024804650066</v>
          </cell>
          <cell r="AE117">
            <v>105</v>
          </cell>
          <cell r="AF117">
            <v>3171.8575808546425</v>
          </cell>
          <cell r="AH117">
            <v>105</v>
          </cell>
          <cell r="AI117">
            <v>4280.9649328251753</v>
          </cell>
          <cell r="AK117">
            <v>105</v>
          </cell>
          <cell r="AL117">
            <v>3881.2173440926608</v>
          </cell>
          <cell r="AN117">
            <v>105</v>
          </cell>
          <cell r="AO117">
            <v>2245.3572721272385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61</v>
          </cell>
          <cell r="E118">
            <v>23180</v>
          </cell>
          <cell r="G118">
            <v>61</v>
          </cell>
          <cell r="H118">
            <v>1240.6065109545</v>
          </cell>
          <cell r="J118">
            <v>61</v>
          </cell>
          <cell r="K118">
            <v>1568.217046011029</v>
          </cell>
          <cell r="M118">
            <v>61</v>
          </cell>
          <cell r="N118">
            <v>1468.2509208593269</v>
          </cell>
          <cell r="P118">
            <v>61</v>
          </cell>
          <cell r="Q118">
            <v>1925.3658313283797</v>
          </cell>
          <cell r="S118">
            <v>60.999999999999993</v>
          </cell>
          <cell r="T118">
            <v>2400.5442331850022</v>
          </cell>
          <cell r="V118">
            <v>60.999999999999993</v>
          </cell>
          <cell r="W118">
            <v>2181.7835075691441</v>
          </cell>
          <cell r="Y118">
            <v>61</v>
          </cell>
          <cell r="Z118">
            <v>2219.9093193093026</v>
          </cell>
          <cell r="AB118">
            <v>61</v>
          </cell>
          <cell r="AC118">
            <v>2286.3395362701467</v>
          </cell>
          <cell r="AE118">
            <v>61</v>
          </cell>
          <cell r="AF118">
            <v>1842.6982136393638</v>
          </cell>
          <cell r="AH118">
            <v>60.999999999999993</v>
          </cell>
          <cell r="AI118">
            <v>2487.0367704984351</v>
          </cell>
          <cell r="AK118">
            <v>61</v>
          </cell>
          <cell r="AL118">
            <v>2254.8024570443076</v>
          </cell>
          <cell r="AN118">
            <v>61</v>
          </cell>
          <cell r="AO118">
            <v>1304.4456533310624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27.410526315789454</v>
          </cell>
          <cell r="E119">
            <v>10415.999999999993</v>
          </cell>
          <cell r="G119">
            <v>27.410526315789443</v>
          </cell>
          <cell r="H119">
            <v>557.47012157472204</v>
          </cell>
          <cell r="J119">
            <v>27.410526315789461</v>
          </cell>
          <cell r="K119">
            <v>704.68286243532657</v>
          </cell>
          <cell r="M119">
            <v>27.410526315789454</v>
          </cell>
          <cell r="N119">
            <v>659.76279515404394</v>
          </cell>
          <cell r="P119">
            <v>27.410526315789454</v>
          </cell>
          <cell r="Q119">
            <v>865.16870142866219</v>
          </cell>
          <cell r="S119">
            <v>27.410526315789454</v>
          </cell>
          <cell r="T119">
            <v>1078.6914897694119</v>
          </cell>
          <cell r="V119">
            <v>27.410526315789468</v>
          </cell>
          <cell r="W119">
            <v>980.39072540294228</v>
          </cell>
          <cell r="Y119">
            <v>27.410526315789454</v>
          </cell>
          <cell r="Z119">
            <v>997.52266910809658</v>
          </cell>
          <cell r="AB119">
            <v>27.410526315789443</v>
          </cell>
          <cell r="AC119">
            <v>1027.3732791108637</v>
          </cell>
          <cell r="AE119">
            <v>27.41052631578944</v>
          </cell>
          <cell r="AF119">
            <v>828.02176847573719</v>
          </cell>
          <cell r="AH119">
            <v>27.410526315789461</v>
          </cell>
          <cell r="AI119">
            <v>1117.5571614112032</v>
          </cell>
          <cell r="AK119">
            <v>27.410526315789443</v>
          </cell>
          <cell r="AL119">
            <v>1013.2020014052409</v>
          </cell>
          <cell r="AN119">
            <v>27.41052631578944</v>
          </cell>
          <cell r="AO119">
            <v>586.15642472374157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39.789405694160209</v>
          </cell>
          <cell r="E120">
            <v>15119.974163780878</v>
          </cell>
          <cell r="G120">
            <v>53.174692062731076</v>
          </cell>
          <cell r="H120">
            <v>1081.4568719840122</v>
          </cell>
          <cell r="J120">
            <v>43.606076116015728</v>
          </cell>
          <cell r="K120">
            <v>1121.0457684391847</v>
          </cell>
          <cell r="M120">
            <v>49.005918486367769</v>
          </cell>
          <cell r="N120">
            <v>1179.5571302486326</v>
          </cell>
          <cell r="P120">
            <v>42.343491517432383</v>
          </cell>
          <cell r="Q120">
            <v>1336.5034712591375</v>
          </cell>
          <cell r="S120">
            <v>35.110718730025852</v>
          </cell>
          <cell r="T120">
            <v>1381.7185798417083</v>
          </cell>
          <cell r="V120">
            <v>37.759628304838067</v>
          </cell>
          <cell r="W120">
            <v>1350.5464637284711</v>
          </cell>
          <cell r="Y120">
            <v>37.592671687670652</v>
          </cell>
          <cell r="Z120">
            <v>1368.070856019591</v>
          </cell>
          <cell r="AB120">
            <v>34.845495532368076</v>
          </cell>
          <cell r="AC120">
            <v>1306.0431819111132</v>
          </cell>
          <cell r="AE120">
            <v>44.248025096004639</v>
          </cell>
          <cell r="AF120">
            <v>1336.6517508438931</v>
          </cell>
          <cell r="AH120">
            <v>34.549477003882934</v>
          </cell>
          <cell r="AI120">
            <v>1408.6199952483109</v>
          </cell>
          <cell r="AK120">
            <v>32.777189924363412</v>
          </cell>
          <cell r="AL120">
            <v>1211.5752192862712</v>
          </cell>
          <cell r="AN120">
            <v>48.548804782694084</v>
          </cell>
          <cell r="AO120">
            <v>1038.1848749705507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0.48234388511406523</v>
          </cell>
          <cell r="E124">
            <v>470522.52971933642</v>
          </cell>
          <cell r="F124" t="str">
            <v>% brut</v>
          </cell>
          <cell r="G124">
            <v>0.52516807223893491</v>
          </cell>
          <cell r="H124">
            <v>27418.430165998961</v>
          </cell>
          <cell r="I124" t="str">
            <v>% brut</v>
          </cell>
          <cell r="J124">
            <v>0.49755532302543193</v>
          </cell>
          <cell r="K124">
            <v>32836.568162413205</v>
          </cell>
          <cell r="L124" t="str">
            <v>% brut</v>
          </cell>
          <cell r="M124">
            <v>0.50976700661821273</v>
          </cell>
          <cell r="N124">
            <v>31497.944965324325</v>
          </cell>
          <cell r="O124" t="str">
            <v>% brut</v>
          </cell>
          <cell r="P124">
            <v>0.48400002980388757</v>
          </cell>
          <cell r="Q124">
            <v>39216.502900764019</v>
          </cell>
          <cell r="R124" t="str">
            <v>% brut</v>
          </cell>
          <cell r="S124">
            <v>0.46650627207459711</v>
          </cell>
          <cell r="T124">
            <v>47127.826887684329</v>
          </cell>
          <cell r="U124" t="str">
            <v>% brut</v>
          </cell>
          <cell r="V124">
            <v>0.4743469760948183</v>
          </cell>
          <cell r="W124">
            <v>43552.992993088315</v>
          </cell>
          <cell r="X124" t="str">
            <v>% brut</v>
          </cell>
          <cell r="Y124">
            <v>0.47480877541971234</v>
          </cell>
          <cell r="Z124">
            <v>44357.206324776627</v>
          </cell>
          <cell r="AA124" t="str">
            <v>% brut</v>
          </cell>
          <cell r="AB124">
            <v>0.47051027676995527</v>
          </cell>
          <cell r="AC124">
            <v>45270.996530834585</v>
          </cell>
          <cell r="AD124" t="str">
            <v>% brut</v>
          </cell>
          <cell r="AE124">
            <v>0.48774508798234784</v>
          </cell>
          <cell r="AF124">
            <v>37823.118528581443</v>
          </cell>
          <cell r="AG124" t="str">
            <v>% brut</v>
          </cell>
          <cell r="AH124">
            <v>0.46584583808538366</v>
          </cell>
          <cell r="AI124">
            <v>48756.737838745998</v>
          </cell>
          <cell r="AJ124" t="str">
            <v>% brut</v>
          </cell>
          <cell r="AK124">
            <v>0.47049303807586434</v>
          </cell>
          <cell r="AL124">
            <v>44644.906261057913</v>
          </cell>
          <cell r="AM124" t="str">
            <v>% brut</v>
          </cell>
          <cell r="AN124">
            <v>0.51041220207104976</v>
          </cell>
          <cell r="AO124">
            <v>28019.298160066708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77970.8</v>
          </cell>
          <cell r="H125">
            <v>6355.5385057471267</v>
          </cell>
          <cell r="K125">
            <v>6166.1676245210729</v>
          </cell>
          <cell r="N125">
            <v>6734.2802681992334</v>
          </cell>
          <cell r="Q125">
            <v>6355.5385057471267</v>
          </cell>
          <cell r="T125">
            <v>6544.9093869731805</v>
          </cell>
          <cell r="W125">
            <v>6544.9093869731805</v>
          </cell>
          <cell r="Z125">
            <v>6544.9093869731805</v>
          </cell>
          <cell r="AC125">
            <v>6544.9093869731805</v>
          </cell>
          <cell r="AF125">
            <v>6544.9093869731805</v>
          </cell>
          <cell r="AI125">
            <v>6355.5385057471267</v>
          </cell>
          <cell r="AL125">
            <v>6544.9093869731805</v>
          </cell>
          <cell r="AO125">
            <v>6734.2802681992334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26441.041423999999</v>
          </cell>
          <cell r="H126">
            <v>2127.4401145747129</v>
          </cell>
          <cell r="K126">
            <v>2026.1334424521074</v>
          </cell>
          <cell r="N126">
            <v>2330.0534588199239</v>
          </cell>
          <cell r="Q126">
            <v>2127.4401145747129</v>
          </cell>
          <cell r="T126">
            <v>2228.7467866973179</v>
          </cell>
          <cell r="W126">
            <v>2228.7467866973179</v>
          </cell>
          <cell r="Z126">
            <v>2228.7467866973179</v>
          </cell>
          <cell r="AC126">
            <v>2228.7467866973179</v>
          </cell>
          <cell r="AF126">
            <v>2228.7467866973179</v>
          </cell>
          <cell r="AI126">
            <v>2127.4401145747129</v>
          </cell>
          <cell r="AL126">
            <v>2228.7467866973179</v>
          </cell>
          <cell r="AO126">
            <v>2330.0534588199239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83372.88332160002</v>
          </cell>
          <cell r="H127">
            <v>6708.1630258758623</v>
          </cell>
          <cell r="K127">
            <v>6388.7266913103458</v>
          </cell>
          <cell r="N127">
            <v>7347.0356950068963</v>
          </cell>
          <cell r="Q127">
            <v>6708.1630258758623</v>
          </cell>
          <cell r="T127">
            <v>7027.5993604413807</v>
          </cell>
          <cell r="W127">
            <v>7027.5993604413807</v>
          </cell>
          <cell r="Z127">
            <v>7027.5993604413807</v>
          </cell>
          <cell r="AC127">
            <v>7027.5993604413807</v>
          </cell>
          <cell r="AF127">
            <v>7027.5993604413807</v>
          </cell>
          <cell r="AI127">
            <v>6708.1630258758623</v>
          </cell>
          <cell r="AL127">
            <v>7027.5993604413807</v>
          </cell>
          <cell r="AO127">
            <v>7347.0356950068963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65900.553636138677</v>
          </cell>
          <cell r="H132">
            <v>4379.5591505447674</v>
          </cell>
          <cell r="K132">
            <v>4792.3203040460239</v>
          </cell>
          <cell r="N132">
            <v>4892.9595926355896</v>
          </cell>
          <cell r="Q132">
            <v>5431.4436038133745</v>
          </cell>
          <cell r="T132">
            <v>6217.3166206870619</v>
          </cell>
          <cell r="W132">
            <v>5898.5500720465261</v>
          </cell>
          <cell r="Z132">
            <v>5974.3965602190747</v>
          </cell>
          <cell r="AC132">
            <v>6059.162505954022</v>
          </cell>
          <cell r="AF132">
            <v>5377.668444875676</v>
          </cell>
          <cell r="AI132">
            <v>6294.2473819980578</v>
          </cell>
          <cell r="AL132">
            <v>6010.7172167083818</v>
          </cell>
          <cell r="AO132">
            <v>4572.2121826101102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65900.553636138677</v>
          </cell>
          <cell r="H133">
            <v>4379.5591505447674</v>
          </cell>
          <cell r="K133">
            <v>4792.3203040460239</v>
          </cell>
          <cell r="N133">
            <v>4892.9595926355896</v>
          </cell>
          <cell r="Q133">
            <v>5431.4436038133745</v>
          </cell>
          <cell r="T133">
            <v>6217.3166206870619</v>
          </cell>
          <cell r="W133">
            <v>5898.5500720465261</v>
          </cell>
          <cell r="Z133">
            <v>5974.3965602190747</v>
          </cell>
          <cell r="AC133">
            <v>6059.162505954022</v>
          </cell>
          <cell r="AF133">
            <v>5377.668444875676</v>
          </cell>
          <cell r="AI133">
            <v>6294.2473819980578</v>
          </cell>
          <cell r="AL133">
            <v>6010.7172167083818</v>
          </cell>
          <cell r="AO133">
            <v>4572.2121826101102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47228.730105899369</v>
          </cell>
          <cell r="H134">
            <v>3138.6840578904166</v>
          </cell>
          <cell r="K134">
            <v>3434.4962178996507</v>
          </cell>
          <cell r="N134">
            <v>3506.6210413888389</v>
          </cell>
          <cell r="Q134">
            <v>3892.5345827329184</v>
          </cell>
          <cell r="T134">
            <v>4455.7435781590611</v>
          </cell>
          <cell r="W134">
            <v>4227.2942183000105</v>
          </cell>
          <cell r="Z134">
            <v>4281.6508681570031</v>
          </cell>
          <cell r="AC134">
            <v>4342.3997959337157</v>
          </cell>
          <cell r="AF134">
            <v>3853.9957188275675</v>
          </cell>
          <cell r="AI134">
            <v>4510.8772904319412</v>
          </cell>
          <cell r="AL134">
            <v>4307.6806719743399</v>
          </cell>
          <cell r="AO134">
            <v>3276.7520642039121</v>
          </cell>
        </row>
        <row r="135">
          <cell r="A135" t="str">
            <v>Véhicules usagésCsst</v>
          </cell>
          <cell r="B135" t="str">
            <v>Csst</v>
          </cell>
          <cell r="E135">
            <v>10983.425606023111</v>
          </cell>
          <cell r="H135">
            <v>729.9265250907946</v>
          </cell>
          <cell r="K135">
            <v>798.72005067433747</v>
          </cell>
          <cell r="N135">
            <v>815.49326543926497</v>
          </cell>
          <cell r="Q135">
            <v>905.24060063556249</v>
          </cell>
          <cell r="T135">
            <v>1036.2194367811771</v>
          </cell>
          <cell r="W135">
            <v>983.09167867442113</v>
          </cell>
          <cell r="Z135">
            <v>995.73276003651256</v>
          </cell>
          <cell r="AC135">
            <v>1009.8604176590037</v>
          </cell>
          <cell r="AF135">
            <v>896.27807414594599</v>
          </cell>
          <cell r="AI135">
            <v>1049.0412303330097</v>
          </cell>
          <cell r="AL135">
            <v>1001.7862027847303</v>
          </cell>
          <cell r="AO135">
            <v>762.03536376835166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0.38728974210558154</v>
          </cell>
          <cell r="E137">
            <v>377797.98772979988</v>
          </cell>
          <cell r="F137" t="str">
            <v>% brut</v>
          </cell>
          <cell r="G137">
            <v>0.53283804068267349</v>
          </cell>
          <cell r="H137">
            <v>27818.870530268447</v>
          </cell>
          <cell r="I137" t="str">
            <v>% brut</v>
          </cell>
          <cell r="J137">
            <v>0.43031342825522217</v>
          </cell>
          <cell r="K137">
            <v>28398.884634949565</v>
          </cell>
          <cell r="L137" t="str">
            <v>% brut</v>
          </cell>
          <cell r="M137">
            <v>0.49393014955217529</v>
          </cell>
          <cell r="N137">
            <v>30519.402914125338</v>
          </cell>
          <cell r="O137" t="str">
            <v>% brut</v>
          </cell>
          <cell r="P137">
            <v>0.38076505983439352</v>
          </cell>
          <cell r="Q137">
            <v>30851.804037192935</v>
          </cell>
          <cell r="R137" t="str">
            <v>% brut</v>
          </cell>
          <cell r="S137">
            <v>0.33386335511150045</v>
          </cell>
          <cell r="T137">
            <v>33727.851790426241</v>
          </cell>
          <cell r="U137" t="str">
            <v>% brut</v>
          </cell>
          <cell r="V137">
            <v>0.35732853900838507</v>
          </cell>
          <cell r="W137">
            <v>32808.741575179367</v>
          </cell>
          <cell r="X137" t="str">
            <v>% brut</v>
          </cell>
          <cell r="Y137">
            <v>0.35353251425727389</v>
          </cell>
          <cell r="Z137">
            <v>33027.432282743539</v>
          </cell>
          <cell r="AA137" t="str">
            <v>% brut</v>
          </cell>
          <cell r="AB137">
            <v>0.34580071578032529</v>
          </cell>
          <cell r="AC137">
            <v>33271.840759612642</v>
          </cell>
          <cell r="AD137" t="str">
            <v>% brut</v>
          </cell>
          <cell r="AE137">
            <v>0.40371526228975185</v>
          </cell>
          <cell r="AF137">
            <v>31306.866216836741</v>
          </cell>
          <cell r="AG137" t="str">
            <v>% brut</v>
          </cell>
          <cell r="AH137">
            <v>0.31854249477420798</v>
          </cell>
          <cell r="AI137">
            <v>33339.554930958773</v>
          </cell>
          <cell r="AJ137" t="str">
            <v>% brut</v>
          </cell>
          <cell r="AK137">
            <v>0.34916523375772446</v>
          </cell>
          <cell r="AL137">
            <v>33132.15684228771</v>
          </cell>
          <cell r="AM137" t="str">
            <v>% brut</v>
          </cell>
          <cell r="AN137">
            <v>0.5391082703477057</v>
          </cell>
          <cell r="AO137">
            <v>29594.581215218535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2580.48</v>
          </cell>
          <cell r="H140">
            <v>215.04</v>
          </cell>
          <cell r="K140">
            <v>215.04</v>
          </cell>
          <cell r="N140">
            <v>215.04</v>
          </cell>
          <cell r="Q140">
            <v>215.04</v>
          </cell>
          <cell r="T140">
            <v>215.04</v>
          </cell>
          <cell r="W140">
            <v>215.04</v>
          </cell>
          <cell r="Z140">
            <v>215.04</v>
          </cell>
          <cell r="AC140">
            <v>215.04</v>
          </cell>
          <cell r="AF140">
            <v>215.04</v>
          </cell>
          <cell r="AI140">
            <v>215.04</v>
          </cell>
          <cell r="AL140">
            <v>215.04</v>
          </cell>
          <cell r="AO140">
            <v>215.04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31953.283200000002</v>
          </cell>
          <cell r="H141">
            <v>2662.7736</v>
          </cell>
          <cell r="K141">
            <v>2662.7736</v>
          </cell>
          <cell r="N141">
            <v>2662.7736</v>
          </cell>
          <cell r="Q141">
            <v>2662.7736</v>
          </cell>
          <cell r="T141">
            <v>2662.7736</v>
          </cell>
          <cell r="W141">
            <v>2662.7736</v>
          </cell>
          <cell r="Z141">
            <v>2662.7736</v>
          </cell>
          <cell r="AC141">
            <v>2662.7736</v>
          </cell>
          <cell r="AF141">
            <v>2662.7736</v>
          </cell>
          <cell r="AI141">
            <v>2662.7736</v>
          </cell>
          <cell r="AL141">
            <v>2662.7736</v>
          </cell>
          <cell r="AO141">
            <v>2662.7736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7184.2356000000009</v>
          </cell>
          <cell r="H142">
            <v>598.68629999999996</v>
          </cell>
          <cell r="K142">
            <v>598.68629999999996</v>
          </cell>
          <cell r="N142">
            <v>598.68629999999996</v>
          </cell>
          <cell r="Q142">
            <v>598.68629999999996</v>
          </cell>
          <cell r="T142">
            <v>598.68629999999996</v>
          </cell>
          <cell r="W142">
            <v>598.68629999999996</v>
          </cell>
          <cell r="Z142">
            <v>598.68629999999996</v>
          </cell>
          <cell r="AC142">
            <v>598.68629999999996</v>
          </cell>
          <cell r="AF142">
            <v>598.68629999999996</v>
          </cell>
          <cell r="AI142">
            <v>598.68629999999996</v>
          </cell>
          <cell r="AL142">
            <v>598.68629999999996</v>
          </cell>
          <cell r="AO142">
            <v>598.68629999999996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33870.725999999995</v>
          </cell>
          <cell r="H143">
            <v>2766.5604999999996</v>
          </cell>
          <cell r="K143">
            <v>2766.5604999999996</v>
          </cell>
          <cell r="N143">
            <v>2766.5604999999996</v>
          </cell>
          <cell r="Q143">
            <v>2934.5604999999996</v>
          </cell>
          <cell r="T143">
            <v>2934.5604999999996</v>
          </cell>
          <cell r="W143">
            <v>2766.5604999999996</v>
          </cell>
          <cell r="Z143">
            <v>2766.5604999999996</v>
          </cell>
          <cell r="AC143">
            <v>2766.5604999999996</v>
          </cell>
          <cell r="AF143">
            <v>2766.5604999999996</v>
          </cell>
          <cell r="AI143">
            <v>2934.5604999999996</v>
          </cell>
          <cell r="AL143">
            <v>2934.5604999999996</v>
          </cell>
          <cell r="AO143">
            <v>2766.5604999999996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1520.0000000000002</v>
          </cell>
          <cell r="H144">
            <v>81.351246619967213</v>
          </cell>
          <cell r="K144">
            <v>102.83390465646092</v>
          </cell>
          <cell r="N144">
            <v>96.278748908808325</v>
          </cell>
          <cell r="Q144">
            <v>126.25349713628719</v>
          </cell>
          <cell r="T144">
            <v>157.41273660229524</v>
          </cell>
          <cell r="W144">
            <v>143.06777098814061</v>
          </cell>
          <cell r="Z144">
            <v>145.56782421700345</v>
          </cell>
          <cell r="AC144">
            <v>149.92390401771453</v>
          </cell>
          <cell r="AF144">
            <v>120.83266974684352</v>
          </cell>
          <cell r="AI144">
            <v>163.08437839334002</v>
          </cell>
          <cell r="AL144">
            <v>147.85589882257756</v>
          </cell>
          <cell r="AO144">
            <v>85.537419890561466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120</v>
          </cell>
          <cell r="H145">
            <v>10</v>
          </cell>
          <cell r="K145">
            <v>10</v>
          </cell>
          <cell r="N145">
            <v>10</v>
          </cell>
          <cell r="Q145">
            <v>10</v>
          </cell>
          <cell r="T145">
            <v>10</v>
          </cell>
          <cell r="W145">
            <v>10</v>
          </cell>
          <cell r="Z145">
            <v>10</v>
          </cell>
          <cell r="AC145">
            <v>10</v>
          </cell>
          <cell r="AF145">
            <v>10</v>
          </cell>
          <cell r="AI145">
            <v>10</v>
          </cell>
          <cell r="AL145">
            <v>10</v>
          </cell>
          <cell r="AO145">
            <v>10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3139.1999999999994</v>
          </cell>
          <cell r="H146">
            <v>261.59999999999997</v>
          </cell>
          <cell r="K146">
            <v>261.59999999999997</v>
          </cell>
          <cell r="N146">
            <v>261.59999999999997</v>
          </cell>
          <cell r="Q146">
            <v>261.59999999999997</v>
          </cell>
          <cell r="T146">
            <v>261.59999999999997</v>
          </cell>
          <cell r="W146">
            <v>261.59999999999997</v>
          </cell>
          <cell r="Z146">
            <v>261.59999999999997</v>
          </cell>
          <cell r="AC146">
            <v>261.59999999999997</v>
          </cell>
          <cell r="AF146">
            <v>261.59999999999997</v>
          </cell>
          <cell r="AI146">
            <v>261.59999999999997</v>
          </cell>
          <cell r="AL146">
            <v>261.59999999999997</v>
          </cell>
          <cell r="AO146">
            <v>261.59999999999997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3217.1040000000007</v>
          </cell>
          <cell r="H147">
            <v>268.09199999999998</v>
          </cell>
          <cell r="K147">
            <v>268.09199999999998</v>
          </cell>
          <cell r="N147">
            <v>268.09199999999998</v>
          </cell>
          <cell r="Q147">
            <v>268.09199999999998</v>
          </cell>
          <cell r="T147">
            <v>268.09199999999998</v>
          </cell>
          <cell r="W147">
            <v>268.09199999999998</v>
          </cell>
          <cell r="Z147">
            <v>268.09199999999998</v>
          </cell>
          <cell r="AC147">
            <v>268.09199999999998</v>
          </cell>
          <cell r="AF147">
            <v>268.09199999999998</v>
          </cell>
          <cell r="AI147">
            <v>268.09199999999998</v>
          </cell>
          <cell r="AL147">
            <v>268.09199999999998</v>
          </cell>
          <cell r="AO147">
            <v>268.09199999999998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1245.5999999999997</v>
          </cell>
          <cell r="H148">
            <v>103.8</v>
          </cell>
          <cell r="K148">
            <v>103.8</v>
          </cell>
          <cell r="N148">
            <v>103.8</v>
          </cell>
          <cell r="Q148">
            <v>103.8</v>
          </cell>
          <cell r="T148">
            <v>103.8</v>
          </cell>
          <cell r="W148">
            <v>103.8</v>
          </cell>
          <cell r="Z148">
            <v>103.8</v>
          </cell>
          <cell r="AC148">
            <v>103.8</v>
          </cell>
          <cell r="AF148">
            <v>103.8</v>
          </cell>
          <cell r="AI148">
            <v>103.8</v>
          </cell>
          <cell r="AL148">
            <v>103.8</v>
          </cell>
          <cell r="AO148">
            <v>103.8</v>
          </cell>
        </row>
        <row r="149">
          <cell r="A149" t="str">
            <v>Véhicules usagésDivers</v>
          </cell>
          <cell r="B149" t="str">
            <v>Divers</v>
          </cell>
          <cell r="E149">
            <v>5171.04</v>
          </cell>
          <cell r="H149">
            <v>430.91999999999996</v>
          </cell>
          <cell r="K149">
            <v>430.91999999999996</v>
          </cell>
          <cell r="N149">
            <v>430.91999999999996</v>
          </cell>
          <cell r="Q149">
            <v>430.91999999999996</v>
          </cell>
          <cell r="T149">
            <v>430.91999999999996</v>
          </cell>
          <cell r="W149">
            <v>430.91999999999996</v>
          </cell>
          <cell r="Z149">
            <v>430.91999999999996</v>
          </cell>
          <cell r="AC149">
            <v>430.91999999999996</v>
          </cell>
          <cell r="AF149">
            <v>430.91999999999996</v>
          </cell>
          <cell r="AI149">
            <v>430.91999999999996</v>
          </cell>
          <cell r="AL149">
            <v>430.91999999999996</v>
          </cell>
          <cell r="AO149">
            <v>430.91999999999996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847.56</v>
          </cell>
          <cell r="H150">
            <v>70.63</v>
          </cell>
          <cell r="K150">
            <v>70.63</v>
          </cell>
          <cell r="N150">
            <v>70.63</v>
          </cell>
          <cell r="Q150">
            <v>70.63</v>
          </cell>
          <cell r="T150">
            <v>70.63</v>
          </cell>
          <cell r="W150">
            <v>70.63</v>
          </cell>
          <cell r="Z150">
            <v>70.63</v>
          </cell>
          <cell r="AC150">
            <v>70.63</v>
          </cell>
          <cell r="AF150">
            <v>70.63</v>
          </cell>
          <cell r="AI150">
            <v>70.63</v>
          </cell>
          <cell r="AL150">
            <v>70.63</v>
          </cell>
          <cell r="AO150">
            <v>70.63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12728.4</v>
          </cell>
          <cell r="H151">
            <v>782.87768732213056</v>
          </cell>
          <cell r="K151">
            <v>675.2802688246818</v>
          </cell>
          <cell r="N151">
            <v>781.24280904704108</v>
          </cell>
          <cell r="Q151">
            <v>1501.8697659349984</v>
          </cell>
          <cell r="T151">
            <v>1376.496525145353</v>
          </cell>
          <cell r="W151">
            <v>909.82048235324567</v>
          </cell>
          <cell r="Z151">
            <v>857.76673390951987</v>
          </cell>
          <cell r="AC151">
            <v>945.44252692843224</v>
          </cell>
          <cell r="AF151">
            <v>715.98450716078355</v>
          </cell>
          <cell r="AI151">
            <v>1342.1408765660528</v>
          </cell>
          <cell r="AL151">
            <v>1953.0486479255346</v>
          </cell>
          <cell r="AO151">
            <v>886.42916888222646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0.10617990155773269</v>
          </cell>
          <cell r="E155">
            <v>103577.62879999999</v>
          </cell>
          <cell r="F155" t="str">
            <v>% brut</v>
          </cell>
          <cell r="G155">
            <v>0.15806378818498745</v>
          </cell>
          <cell r="H155">
            <v>8252.3313339420984</v>
          </cell>
          <cell r="I155" t="str">
            <v>% brut</v>
          </cell>
          <cell r="J155">
            <v>0.12373840363028484</v>
          </cell>
          <cell r="K155">
            <v>8166.2165734811424</v>
          </cell>
          <cell r="L155" t="str">
            <v>% brut</v>
          </cell>
          <cell r="M155">
            <v>0.13377197742638672</v>
          </cell>
          <cell r="N155">
            <v>8265.6239579558496</v>
          </cell>
          <cell r="O155" t="str">
            <v>% brut</v>
          </cell>
          <cell r="P155">
            <v>0.11334935973002147</v>
          </cell>
          <cell r="Q155">
            <v>9184.2256630712855</v>
          </cell>
          <cell r="R155" t="str">
            <v>% brut</v>
          </cell>
          <cell r="S155">
            <v>8.9979694237602728E-2</v>
          </cell>
          <cell r="T155">
            <v>9090.0116617476469</v>
          </cell>
          <cell r="U155" t="str">
            <v>% brut</v>
          </cell>
          <cell r="V155">
            <v>9.1933024954049036E-2</v>
          </cell>
          <cell r="W155">
            <v>8440.990653341385</v>
          </cell>
          <cell r="X155" t="str">
            <v>% brut</v>
          </cell>
          <cell r="Y155">
            <v>8.9823689006181678E-2</v>
          </cell>
          <cell r="Z155">
            <v>8391.4369581265237</v>
          </cell>
          <cell r="AA155" t="str">
            <v>% brut</v>
          </cell>
          <cell r="AB155">
            <v>8.8170342459748252E-2</v>
          </cell>
          <cell r="AC155">
            <v>8483.4688309461471</v>
          </cell>
          <cell r="AD155" t="str">
            <v>% brut</v>
          </cell>
          <cell r="AE155">
            <v>0.10606381173078283</v>
          </cell>
          <cell r="AF155">
            <v>8224.9195769076268</v>
          </cell>
          <cell r="AG155" t="str">
            <v>% brut</v>
          </cell>
          <cell r="AH155">
            <v>8.6576378213645264E-2</v>
          </cell>
          <cell r="AI155">
            <v>9061.327654959392</v>
          </cell>
          <cell r="AJ155" t="str">
            <v>% brut</v>
          </cell>
          <cell r="AK155">
            <v>0.10177095031910548</v>
          </cell>
          <cell r="AL155">
            <v>9657.0069467481117</v>
          </cell>
          <cell r="AM155" t="str">
            <v>% brut</v>
          </cell>
          <cell r="AN155">
            <v>0.15229079606665114</v>
          </cell>
          <cell r="AO155">
            <v>8360.0689887727876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0.97581352877737948</v>
          </cell>
          <cell r="E157">
            <v>951898.14624913631</v>
          </cell>
          <cell r="F157" t="str">
            <v>% brut</v>
          </cell>
          <cell r="G157">
            <v>1.2160699011065959</v>
          </cell>
          <cell r="H157">
            <v>63489.632030209512</v>
          </cell>
          <cell r="I157" t="str">
            <v>% brut</v>
          </cell>
          <cell r="J157">
            <v>1.0516071549109389</v>
          </cell>
          <cell r="K157">
            <v>69401.669370843912</v>
          </cell>
          <cell r="L157" t="str">
            <v>% brut</v>
          </cell>
          <cell r="M157">
            <v>1.1374691335967746</v>
          </cell>
          <cell r="N157">
            <v>70282.971837405508</v>
          </cell>
          <cell r="O157" t="str">
            <v>% brut</v>
          </cell>
          <cell r="P157">
            <v>0.9781144493683025</v>
          </cell>
          <cell r="Q157">
            <v>79252.53260102823</v>
          </cell>
          <cell r="R157" t="str">
            <v>% brut</v>
          </cell>
          <cell r="S157">
            <v>0.89034932142370027</v>
          </cell>
          <cell r="T157">
            <v>89945.690339858207</v>
          </cell>
          <cell r="U157" t="str">
            <v>% brut</v>
          </cell>
          <cell r="V157">
            <v>0.92360854005725246</v>
          </cell>
          <cell r="W157">
            <v>84802.725221609071</v>
          </cell>
          <cell r="X157" t="str">
            <v>% brut</v>
          </cell>
          <cell r="Y157">
            <v>0.91816497868316793</v>
          </cell>
          <cell r="Z157">
            <v>85776.075565646694</v>
          </cell>
          <cell r="AA157" t="str">
            <v>% brut</v>
          </cell>
          <cell r="AB157">
            <v>0.90448133501002892</v>
          </cell>
          <cell r="AC157">
            <v>87026.306121393383</v>
          </cell>
          <cell r="AD157" t="str">
            <v>% brut</v>
          </cell>
          <cell r="AE157">
            <v>0.99752416200288263</v>
          </cell>
          <cell r="AF157">
            <v>77354.90432232582</v>
          </cell>
          <cell r="AG157" t="str">
            <v>% brut</v>
          </cell>
          <cell r="AH157">
            <v>0.87096471107323692</v>
          </cell>
          <cell r="AI157">
            <v>91157.620424664157</v>
          </cell>
          <cell r="AJ157" t="str">
            <v>% brut</v>
          </cell>
          <cell r="AK157">
            <v>0.92142922215269429</v>
          </cell>
          <cell r="AL157">
            <v>87434.070050093738</v>
          </cell>
          <cell r="AM157" t="str">
            <v>% brut</v>
          </cell>
          <cell r="AN157">
            <v>1.2018112684854065</v>
          </cell>
          <cell r="AO157">
            <v>65973.948364058029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34000</v>
          </cell>
          <cell r="H158">
            <v>0</v>
          </cell>
          <cell r="K158">
            <v>0</v>
          </cell>
          <cell r="N158">
            <v>8500</v>
          </cell>
          <cell r="Q158">
            <v>0</v>
          </cell>
          <cell r="T158">
            <v>0</v>
          </cell>
          <cell r="W158">
            <v>8500</v>
          </cell>
          <cell r="Z158">
            <v>0</v>
          </cell>
          <cell r="AC158">
            <v>0</v>
          </cell>
          <cell r="AF158">
            <v>8500</v>
          </cell>
          <cell r="AI158">
            <v>0</v>
          </cell>
          <cell r="AL158">
            <v>0</v>
          </cell>
          <cell r="AO158">
            <v>8500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119358.00000000003</v>
          </cell>
          <cell r="H164">
            <v>6388.1066408329252</v>
          </cell>
          <cell r="K164">
            <v>8075.0323631485935</v>
          </cell>
          <cell r="N164">
            <v>7560.2887580641736</v>
          </cell>
          <cell r="Q164">
            <v>9914.0558626269521</v>
          </cell>
          <cell r="T164">
            <v>12360.835141695234</v>
          </cell>
          <cell r="W164">
            <v>11234.396716843741</v>
          </cell>
          <cell r="Z164">
            <v>11430.713396640196</v>
          </cell>
          <cell r="AC164">
            <v>11772.774562991033</v>
          </cell>
          <cell r="AF164">
            <v>9488.3853918708883</v>
          </cell>
          <cell r="AI164">
            <v>12806.200813337025</v>
          </cell>
          <cell r="AL164">
            <v>11610.384455042904</v>
          </cell>
          <cell r="AO164">
            <v>6716.8258969063399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153358.00000000003</v>
          </cell>
          <cell r="H165">
            <v>6388.1066408329252</v>
          </cell>
          <cell r="K165">
            <v>8075.0323631485935</v>
          </cell>
          <cell r="N165">
            <v>16060.288758064173</v>
          </cell>
          <cell r="Q165">
            <v>9914.0558626269521</v>
          </cell>
          <cell r="T165">
            <v>12360.835141695234</v>
          </cell>
          <cell r="W165">
            <v>19734.396716843741</v>
          </cell>
          <cell r="Z165">
            <v>11430.713396640196</v>
          </cell>
          <cell r="AC165">
            <v>11772.774562991033</v>
          </cell>
          <cell r="AF165">
            <v>17988.385391870888</v>
          </cell>
          <cell r="AI165">
            <v>12806.200813337025</v>
          </cell>
          <cell r="AL165">
            <v>11610.384455042904</v>
          </cell>
          <cell r="AO165">
            <v>15216.825896906339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176951.70560271564</v>
          </cell>
          <cell r="H167">
            <v>-4892.6581421604596</v>
          </cell>
          <cell r="K167">
            <v>4669.1762070992972</v>
          </cell>
          <cell r="N167">
            <v>7566.2215700224151</v>
          </cell>
          <cell r="Q167">
            <v>11687.350711762705</v>
          </cell>
          <cell r="T167">
            <v>23438.067126337541</v>
          </cell>
          <cell r="W167">
            <v>26748.411535720155</v>
          </cell>
          <cell r="Z167">
            <v>19075.839420131357</v>
          </cell>
          <cell r="AC167">
            <v>20963.275525215839</v>
          </cell>
          <cell r="AF167">
            <v>18180.378948197435</v>
          </cell>
          <cell r="AI167">
            <v>26311.39768276985</v>
          </cell>
          <cell r="AL167">
            <v>19065.935819196689</v>
          </cell>
          <cell r="AO167">
            <v>4138.3091984228013</v>
          </cell>
        </row>
        <row r="170">
          <cell r="B170" t="str">
            <v>Budget 2021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5700</v>
          </cell>
          <cell r="D174">
            <v>1398999.3690851734</v>
          </cell>
          <cell r="E174">
            <v>1049957.3272153714</v>
          </cell>
          <cell r="F174">
            <v>309.1242508979725</v>
          </cell>
          <cell r="G174">
            <v>75870.988065822879</v>
          </cell>
          <cell r="H174">
            <v>56941.626710577031</v>
          </cell>
          <cell r="I174">
            <v>302.22260338597385</v>
          </cell>
          <cell r="J174">
            <v>74177.058150922123</v>
          </cell>
          <cell r="K174">
            <v>55670.32225880849</v>
          </cell>
          <cell r="L174">
            <v>395.91441996095165</v>
          </cell>
          <cell r="M174">
            <v>97172.635743349791</v>
          </cell>
          <cell r="N174">
            <v>72928.639682144712</v>
          </cell>
          <cell r="O174">
            <v>724.39540650343611</v>
          </cell>
          <cell r="P174">
            <v>177794.51169587806</v>
          </cell>
          <cell r="Q174">
            <v>133435.83594025267</v>
          </cell>
          <cell r="R174">
            <v>646.98142975837663</v>
          </cell>
          <cell r="S174">
            <v>158794.14246347235</v>
          </cell>
          <cell r="T174">
            <v>119175.94609597976</v>
          </cell>
          <cell r="U174">
            <v>386.59597116892093</v>
          </cell>
          <cell r="V174">
            <v>94885.529781787787</v>
          </cell>
          <cell r="W174">
            <v>71212.153087851053</v>
          </cell>
          <cell r="X174">
            <v>369.57520889424842</v>
          </cell>
          <cell r="Y174">
            <v>90707.979661855235</v>
          </cell>
          <cell r="Z174">
            <v>68076.876936082044</v>
          </cell>
          <cell r="AA174">
            <v>408.25355341348234</v>
          </cell>
          <cell r="AB174">
            <v>100201.13397407754</v>
          </cell>
          <cell r="AC174">
            <v>75201.545573368028</v>
          </cell>
          <cell r="AD174">
            <v>301.96626227632748</v>
          </cell>
          <cell r="AE174">
            <v>74114.142177121088</v>
          </cell>
          <cell r="AF174">
            <v>55623.103447169939</v>
          </cell>
          <cell r="AG174">
            <v>521.01827409100156</v>
          </cell>
          <cell r="AH174">
            <v>127877.93626932583</v>
          </cell>
          <cell r="AI174">
            <v>95973.149911395405</v>
          </cell>
          <cell r="AJ174">
            <v>975.37451453597555</v>
          </cell>
          <cell r="AK174">
            <v>239394.44393992759</v>
          </cell>
          <cell r="AL174">
            <v>179666.95058178654</v>
          </cell>
          <cell r="AM174">
            <v>358.57810511333281</v>
          </cell>
          <cell r="AN174">
            <v>88008.867161633272</v>
          </cell>
          <cell r="AO174">
            <v>66051.176989955682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0.75050593332429749</v>
          </cell>
          <cell r="H175">
            <v>0.75050593332429738</v>
          </cell>
          <cell r="K175">
            <v>0.75050593332429738</v>
          </cell>
          <cell r="N175">
            <v>0.75050593332429738</v>
          </cell>
          <cell r="Q175">
            <v>0.75050593332429738</v>
          </cell>
          <cell r="T175">
            <v>0.75050593332429738</v>
          </cell>
          <cell r="W175">
            <v>0.75050593332429727</v>
          </cell>
          <cell r="Z175">
            <v>0.75050593332429738</v>
          </cell>
          <cell r="AC175">
            <v>0.75050593332429738</v>
          </cell>
          <cell r="AF175">
            <v>0.75050593332429738</v>
          </cell>
          <cell r="AI175">
            <v>0.75050593332429738</v>
          </cell>
          <cell r="AL175">
            <v>0.75050593332429738</v>
          </cell>
          <cell r="AO175">
            <v>0.75050593332429738</v>
          </cell>
        </row>
        <row r="176">
          <cell r="A176" t="str">
            <v>Service</v>
          </cell>
          <cell r="D176">
            <v>245.43848580441639</v>
          </cell>
          <cell r="G176">
            <v>245.43848580441642</v>
          </cell>
          <cell r="J176">
            <v>245.43848580441644</v>
          </cell>
          <cell r="M176">
            <v>245.43848580441642</v>
          </cell>
          <cell r="P176">
            <v>245.43848580441642</v>
          </cell>
          <cell r="S176">
            <v>245.43848580441642</v>
          </cell>
          <cell r="V176">
            <v>245.43848580441644</v>
          </cell>
          <cell r="Y176">
            <v>245.43848580441644</v>
          </cell>
          <cell r="AB176">
            <v>245.43848580441642</v>
          </cell>
          <cell r="AE176">
            <v>245.43848580441642</v>
          </cell>
          <cell r="AH176">
            <v>245.43848580441642</v>
          </cell>
          <cell r="AK176">
            <v>245.43848580441642</v>
          </cell>
          <cell r="AN176">
            <v>245.43848580441642</v>
          </cell>
        </row>
        <row r="177">
          <cell r="A177" t="str">
            <v>ServiceM/O Garantie</v>
          </cell>
          <cell r="B177" t="str">
            <v>M/O Garantie</v>
          </cell>
          <cell r="C177">
            <v>4004.9999999999995</v>
          </cell>
          <cell r="D177">
            <v>707819.68005018809</v>
          </cell>
          <cell r="E177">
            <v>494174.45420326223</v>
          </cell>
          <cell r="F177">
            <v>260.73056767022592</v>
          </cell>
          <cell r="G177">
            <v>46079.956800909669</v>
          </cell>
          <cell r="H177">
            <v>32171.38226530352</v>
          </cell>
          <cell r="I177">
            <v>262.03197676267513</v>
          </cell>
          <cell r="J177">
            <v>46309.960038720368</v>
          </cell>
          <cell r="K177">
            <v>32331.962322221443</v>
          </cell>
          <cell r="L177">
            <v>285.24048684205479</v>
          </cell>
          <cell r="M177">
            <v>50411.692917329121</v>
          </cell>
          <cell r="N177">
            <v>35195.645918063725</v>
          </cell>
          <cell r="O177">
            <v>264.50668118362398</v>
          </cell>
          <cell r="P177">
            <v>46747.324456062386</v>
          </cell>
          <cell r="Q177">
            <v>32637.314558560218</v>
          </cell>
          <cell r="R177">
            <v>376.76791619169114</v>
          </cell>
          <cell r="S177">
            <v>66587.701845687625</v>
          </cell>
          <cell r="T177">
            <v>46489.158388346921</v>
          </cell>
          <cell r="U177">
            <v>354.43283158799522</v>
          </cell>
          <cell r="V177">
            <v>62640.332947290139</v>
          </cell>
          <cell r="W177">
            <v>43733.246217656502</v>
          </cell>
          <cell r="X177">
            <v>430.29789831374308</v>
          </cell>
          <cell r="Y177">
            <v>76048.26984037504</v>
          </cell>
          <cell r="Z177">
            <v>53094.189524096088</v>
          </cell>
          <cell r="AA177">
            <v>450.56955189715893</v>
          </cell>
          <cell r="AB177">
            <v>79630.960315656353</v>
          </cell>
          <cell r="AC177">
            <v>55595.496227062911</v>
          </cell>
          <cell r="AD177">
            <v>346.05881956587018</v>
          </cell>
          <cell r="AE177">
            <v>61160.360285558061</v>
          </cell>
          <cell r="AF177">
            <v>42699.982092681421</v>
          </cell>
          <cell r="AG177">
            <v>331.69197366573701</v>
          </cell>
          <cell r="AH177">
            <v>58621.250106191612</v>
          </cell>
          <cell r="AI177">
            <v>40927.265930054535</v>
          </cell>
          <cell r="AJ177">
            <v>346.23706070096699</v>
          </cell>
          <cell r="AK177">
            <v>61191.86155477554</v>
          </cell>
          <cell r="AL177">
            <v>42721.975155266453</v>
          </cell>
          <cell r="AM177">
            <v>296.43423561825756</v>
          </cell>
          <cell r="AN177">
            <v>52390.008941632252</v>
          </cell>
          <cell r="AO177">
            <v>36576.835603948479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0.69816433214773388</v>
          </cell>
          <cell r="H178">
            <v>0.69816433214773377</v>
          </cell>
          <cell r="K178">
            <v>0.69816433214773377</v>
          </cell>
          <cell r="N178">
            <v>0.69816433214773377</v>
          </cell>
          <cell r="Q178">
            <v>0.69816433214773377</v>
          </cell>
          <cell r="T178">
            <v>0.69816433214773377</v>
          </cell>
          <cell r="W178">
            <v>0.69816433214773377</v>
          </cell>
          <cell r="Z178">
            <v>0.69816433214773377</v>
          </cell>
          <cell r="AC178">
            <v>0.69816433214773377</v>
          </cell>
          <cell r="AF178">
            <v>0.69816433214773377</v>
          </cell>
          <cell r="AI178">
            <v>0.69816433214773377</v>
          </cell>
          <cell r="AL178">
            <v>0.69816433214773377</v>
          </cell>
          <cell r="AO178">
            <v>0.69816433214773377</v>
          </cell>
        </row>
        <row r="179">
          <cell r="A179" t="str">
            <v>Service</v>
          </cell>
          <cell r="D179">
            <v>176.73400250941029</v>
          </cell>
          <cell r="G179">
            <v>176.73400250941026</v>
          </cell>
          <cell r="J179">
            <v>176.73400250941029</v>
          </cell>
          <cell r="M179">
            <v>176.73400250941029</v>
          </cell>
          <cell r="P179">
            <v>176.73400250941029</v>
          </cell>
          <cell r="S179">
            <v>176.73400250941029</v>
          </cell>
          <cell r="V179">
            <v>176.73400250941029</v>
          </cell>
          <cell r="Y179">
            <v>176.73400250941029</v>
          </cell>
          <cell r="AB179">
            <v>176.73400250941029</v>
          </cell>
          <cell r="AE179">
            <v>176.73400250941029</v>
          </cell>
          <cell r="AH179">
            <v>176.73400250941029</v>
          </cell>
          <cell r="AK179">
            <v>176.73400250941029</v>
          </cell>
          <cell r="AN179">
            <v>176.73400250941029</v>
          </cell>
        </row>
        <row r="180">
          <cell r="A180" t="str">
            <v>ServiceM/O Interne</v>
          </cell>
          <cell r="B180" t="str">
            <v>M/O Interne</v>
          </cell>
          <cell r="C180">
            <v>2943</v>
          </cell>
          <cell r="D180">
            <v>694024.65988216386</v>
          </cell>
          <cell r="E180">
            <v>508877.32994108187</v>
          </cell>
          <cell r="F180">
            <v>200.69466402901355</v>
          </cell>
          <cell r="G180">
            <v>47328.252104281775</v>
          </cell>
          <cell r="H180">
            <v>34702.332573736632</v>
          </cell>
          <cell r="I180">
            <v>233.23105368099667</v>
          </cell>
          <cell r="J180">
            <v>55001.054266025283</v>
          </cell>
          <cell r="K180">
            <v>40328.235085467459</v>
          </cell>
          <cell r="L180">
            <v>222.73320905479713</v>
          </cell>
          <cell r="M180">
            <v>52525.429717539402</v>
          </cell>
          <cell r="N180">
            <v>38513.041356783542</v>
          </cell>
          <cell r="O180">
            <v>231.4420696166658</v>
          </cell>
          <cell r="P180">
            <v>54579.172153629144</v>
          </cell>
          <cell r="Q180">
            <v>40018.899905731188</v>
          </cell>
          <cell r="R180">
            <v>281.57639574585056</v>
          </cell>
          <cell r="S180">
            <v>66401.957964104484</v>
          </cell>
          <cell r="T180">
            <v>48687.680748074017</v>
          </cell>
          <cell r="U180">
            <v>246.35764538800652</v>
          </cell>
          <cell r="V180">
            <v>58096.595667611946</v>
          </cell>
          <cell r="W180">
            <v>42597.96833014633</v>
          </cell>
          <cell r="X180">
            <v>240.42736984044527</v>
          </cell>
          <cell r="Y180">
            <v>56698.105191939605</v>
          </cell>
          <cell r="Z180">
            <v>41572.557937194295</v>
          </cell>
          <cell r="AA180">
            <v>252.06007127051322</v>
          </cell>
          <cell r="AB180">
            <v>59441.354139786585</v>
          </cell>
          <cell r="AC180">
            <v>43583.980989771517</v>
          </cell>
          <cell r="AD180">
            <v>248.43426877888152</v>
          </cell>
          <cell r="AE180">
            <v>58586.309511497566</v>
          </cell>
          <cell r="AF180">
            <v>42957.039538587269</v>
          </cell>
          <cell r="AG180">
            <v>310.98866456111728</v>
          </cell>
          <cell r="AH180">
            <v>73338.02315638389</v>
          </cell>
          <cell r="AI180">
            <v>53773.388129053397</v>
          </cell>
          <cell r="AJ180">
            <v>257.81050531641455</v>
          </cell>
          <cell r="AK180">
            <v>60797.434001452049</v>
          </cell>
          <cell r="AL180">
            <v>44578.294793128822</v>
          </cell>
          <cell r="AM180">
            <v>217.24408271729797</v>
          </cell>
          <cell r="AN180">
            <v>51230.972007912125</v>
          </cell>
          <cell r="AO180">
            <v>37563.910553407448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0.7332265830834922</v>
          </cell>
          <cell r="H181">
            <v>0.73322658308349231</v>
          </cell>
          <cell r="K181">
            <v>0.73322658308349231</v>
          </cell>
          <cell r="N181">
            <v>0.73322658308349231</v>
          </cell>
          <cell r="Q181">
            <v>0.73322658308349231</v>
          </cell>
          <cell r="T181">
            <v>0.73322658308349231</v>
          </cell>
          <cell r="W181">
            <v>0.73322658308349231</v>
          </cell>
          <cell r="Z181">
            <v>0.73322658308349242</v>
          </cell>
          <cell r="AC181">
            <v>0.73322658308349231</v>
          </cell>
          <cell r="AF181">
            <v>0.73322658308349231</v>
          </cell>
          <cell r="AI181">
            <v>0.73322658308349231</v>
          </cell>
          <cell r="AL181">
            <v>0.73322658308349231</v>
          </cell>
          <cell r="AO181">
            <v>0.73322658308349231</v>
          </cell>
        </row>
        <row r="182">
          <cell r="A182" t="str">
            <v>Service</v>
          </cell>
          <cell r="D182">
            <v>235.82217461167647</v>
          </cell>
          <cell r="G182">
            <v>235.82217461167645</v>
          </cell>
          <cell r="J182">
            <v>235.82217461167647</v>
          </cell>
          <cell r="M182">
            <v>235.82217461167645</v>
          </cell>
          <cell r="P182">
            <v>235.82217461167647</v>
          </cell>
          <cell r="S182">
            <v>235.82217461167647</v>
          </cell>
          <cell r="V182">
            <v>235.82217461167647</v>
          </cell>
          <cell r="Y182">
            <v>235.8221746116765</v>
          </cell>
          <cell r="AB182">
            <v>235.82217461167647</v>
          </cell>
          <cell r="AE182">
            <v>235.8221746116765</v>
          </cell>
          <cell r="AH182">
            <v>235.8221746116765</v>
          </cell>
          <cell r="AK182">
            <v>235.82217461167645</v>
          </cell>
          <cell r="AN182">
            <v>235.82217461167645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0</v>
          </cell>
          <cell r="D183">
            <v>1906</v>
          </cell>
          <cell r="E183">
            <v>1410.44</v>
          </cell>
          <cell r="F183">
            <v>0</v>
          </cell>
          <cell r="G183">
            <v>270.33034111310593</v>
          </cell>
          <cell r="H183">
            <v>200.04445242369837</v>
          </cell>
          <cell r="I183">
            <v>0</v>
          </cell>
          <cell r="J183">
            <v>24.986890403775561</v>
          </cell>
          <cell r="K183">
            <v>18.490298898793917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222.34923117043039</v>
          </cell>
          <cell r="Q183">
            <v>164.53843106611848</v>
          </cell>
          <cell r="R183">
            <v>0</v>
          </cell>
          <cell r="S183">
            <v>23.953321364452425</v>
          </cell>
          <cell r="T183">
            <v>17.725457809694795</v>
          </cell>
          <cell r="U183">
            <v>0</v>
          </cell>
          <cell r="V183">
            <v>57.469847928683798</v>
          </cell>
          <cell r="W183">
            <v>42.527687467226009</v>
          </cell>
          <cell r="X183">
            <v>0</v>
          </cell>
          <cell r="Y183">
            <v>49.973780807551123</v>
          </cell>
          <cell r="Z183">
            <v>36.980597797587833</v>
          </cell>
          <cell r="AA183">
            <v>0</v>
          </cell>
          <cell r="AB183">
            <v>240.85478239011712</v>
          </cell>
          <cell r="AC183">
            <v>178.23253896868667</v>
          </cell>
          <cell r="AD183">
            <v>0</v>
          </cell>
          <cell r="AE183">
            <v>106.76534905417911</v>
          </cell>
          <cell r="AF183">
            <v>79.006358300092543</v>
          </cell>
          <cell r="AG183">
            <v>0</v>
          </cell>
          <cell r="AH183">
            <v>295.49577339086181</v>
          </cell>
          <cell r="AI183">
            <v>218.66687230923773</v>
          </cell>
          <cell r="AJ183">
            <v>0</v>
          </cell>
          <cell r="AK183">
            <v>553.85214540778145</v>
          </cell>
          <cell r="AL183">
            <v>409.85058760175826</v>
          </cell>
          <cell r="AM183">
            <v>0</v>
          </cell>
          <cell r="AN183">
            <v>59.968536969061347</v>
          </cell>
          <cell r="AO183">
            <v>44.376717357105399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0.74</v>
          </cell>
          <cell r="G184">
            <v>0</v>
          </cell>
          <cell r="H184">
            <v>0.74</v>
          </cell>
          <cell r="J184">
            <v>0</v>
          </cell>
          <cell r="K184">
            <v>0.7400000000000001</v>
          </cell>
          <cell r="M184">
            <v>0</v>
          </cell>
          <cell r="N184">
            <v>0</v>
          </cell>
          <cell r="P184">
            <v>0</v>
          </cell>
          <cell r="Q184">
            <v>0.74</v>
          </cell>
          <cell r="S184">
            <v>0</v>
          </cell>
          <cell r="T184">
            <v>0.74</v>
          </cell>
          <cell r="V184">
            <v>0</v>
          </cell>
          <cell r="W184">
            <v>0.74</v>
          </cell>
          <cell r="Y184">
            <v>0</v>
          </cell>
          <cell r="Z184">
            <v>0.7400000000000001</v>
          </cell>
          <cell r="AB184">
            <v>0</v>
          </cell>
          <cell r="AC184">
            <v>0.74</v>
          </cell>
          <cell r="AE184">
            <v>0</v>
          </cell>
          <cell r="AF184">
            <v>0.74</v>
          </cell>
          <cell r="AH184">
            <v>0</v>
          </cell>
          <cell r="AI184">
            <v>0.74</v>
          </cell>
          <cell r="AK184">
            <v>0</v>
          </cell>
          <cell r="AL184">
            <v>0.74</v>
          </cell>
          <cell r="AN184">
            <v>0</v>
          </cell>
          <cell r="AO184">
            <v>0.74</v>
          </cell>
        </row>
        <row r="185">
          <cell r="A185" t="str">
            <v>Service</v>
          </cell>
          <cell r="D185">
            <v>0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-48641.460247757655</v>
          </cell>
          <cell r="H186">
            <v>-2959.7191851556272</v>
          </cell>
          <cell r="K186">
            <v>-3065.6632097438992</v>
          </cell>
          <cell r="N186">
            <v>-3475.7080423797106</v>
          </cell>
          <cell r="Q186">
            <v>-4750.6399655734394</v>
          </cell>
          <cell r="T186">
            <v>-5033.4209187872038</v>
          </cell>
          <cell r="W186">
            <v>-3776.1121398973351</v>
          </cell>
          <cell r="Z186">
            <v>-3947.0420261874815</v>
          </cell>
          <cell r="AC186">
            <v>-4222.0781123780662</v>
          </cell>
          <cell r="AF186">
            <v>-3419.54898262199</v>
          </cell>
          <cell r="AI186">
            <v>-4500.6152400611772</v>
          </cell>
          <cell r="AL186">
            <v>-6146.4338340456598</v>
          </cell>
          <cell r="AO186">
            <v>-3344.4785909260709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12648</v>
          </cell>
          <cell r="D187">
            <v>2802749.7090175254</v>
          </cell>
          <cell r="E187">
            <v>2005778.0911119578</v>
          </cell>
          <cell r="F187">
            <v>770.54948259721198</v>
          </cell>
          <cell r="G187">
            <v>169549.52731212744</v>
          </cell>
          <cell r="H187">
            <v>121055.66681688525</v>
          </cell>
          <cell r="I187">
            <v>797.48563382964562</v>
          </cell>
          <cell r="J187">
            <v>175513.05934607156</v>
          </cell>
          <cell r="K187">
            <v>125283.34675565228</v>
          </cell>
          <cell r="L187">
            <v>903.88811585780365</v>
          </cell>
          <cell r="M187">
            <v>200109.75837821831</v>
          </cell>
          <cell r="N187">
            <v>143161.61891461228</v>
          </cell>
          <cell r="O187">
            <v>1220.344157303726</v>
          </cell>
          <cell r="P187">
            <v>279343.35753674002</v>
          </cell>
          <cell r="Q187">
            <v>201505.94887003678</v>
          </cell>
          <cell r="R187">
            <v>1305.3257416959184</v>
          </cell>
          <cell r="S187">
            <v>291807.75559462892</v>
          </cell>
          <cell r="T187">
            <v>209337.0897714232</v>
          </cell>
          <cell r="U187">
            <v>987.38644814492261</v>
          </cell>
          <cell r="V187">
            <v>215679.92824461855</v>
          </cell>
          <cell r="W187">
            <v>153809.78318322377</v>
          </cell>
          <cell r="X187">
            <v>1040.3004770484367</v>
          </cell>
          <cell r="Y187">
            <v>223504.3284749774</v>
          </cell>
          <cell r="Z187">
            <v>158833.56296898253</v>
          </cell>
          <cell r="AA187">
            <v>1110.8831765811544</v>
          </cell>
          <cell r="AB187">
            <v>239514.30321191062</v>
          </cell>
          <cell r="AC187">
            <v>170337.17721679306</v>
          </cell>
          <cell r="AD187">
            <v>896.45935062107924</v>
          </cell>
          <cell r="AE187">
            <v>193967.57732323089</v>
          </cell>
          <cell r="AF187">
            <v>137939.58245411675</v>
          </cell>
          <cell r="AG187">
            <v>1163.698912317856</v>
          </cell>
          <cell r="AH187">
            <v>260132.70530529221</v>
          </cell>
          <cell r="AI187">
            <v>186391.85560275137</v>
          </cell>
          <cell r="AJ187">
            <v>1579.4220805533571</v>
          </cell>
          <cell r="AK187">
            <v>361937.59164156293</v>
          </cell>
          <cell r="AL187">
            <v>261230.63728373789</v>
          </cell>
          <cell r="AM187">
            <v>872.25642344888831</v>
          </cell>
          <cell r="AN187">
            <v>191689.81664814672</v>
          </cell>
          <cell r="AO187">
            <v>136891.82127374265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221.59627680404216</v>
          </cell>
          <cell r="E188">
            <v>0.71564652550265084</v>
          </cell>
          <cell r="G188">
            <v>220.03716976182278</v>
          </cell>
          <cell r="H188">
            <v>0.71398410090540221</v>
          </cell>
          <cell r="J188">
            <v>220.08303585762607</v>
          </cell>
          <cell r="K188">
            <v>0.71381210732941647</v>
          </cell>
          <cell r="M188">
            <v>221.38775238604734</v>
          </cell>
          <cell r="N188">
            <v>0.71541548035867919</v>
          </cell>
          <cell r="P188">
            <v>228.90539186415387</v>
          </cell>
          <cell r="Q188">
            <v>0.72135579183598153</v>
          </cell>
          <cell r="S188">
            <v>223.55167470726772</v>
          </cell>
          <cell r="T188">
            <v>0.71738014414609441</v>
          </cell>
          <cell r="V188">
            <v>218.43517160867734</v>
          </cell>
          <cell r="W188">
            <v>0.71313906878148037</v>
          </cell>
          <cell r="Y188">
            <v>214.84593481020866</v>
          </cell>
          <cell r="Z188">
            <v>0.71065094825116493</v>
          </cell>
          <cell r="AB188">
            <v>215.607102763981</v>
          </cell>
          <cell r="AC188">
            <v>0.71117747429925715</v>
          </cell>
          <cell r="AE188">
            <v>216.37074474023558</v>
          </cell>
          <cell r="AF188">
            <v>0.71114762764836659</v>
          </cell>
          <cell r="AH188">
            <v>223.5395277522085</v>
          </cell>
          <cell r="AI188">
            <v>0.71652603383339109</v>
          </cell>
          <cell r="AK188">
            <v>229.15824471363385</v>
          </cell>
          <cell r="AL188">
            <v>0.72175602456470456</v>
          </cell>
          <cell r="AN188">
            <v>219.76314704592048</v>
          </cell>
          <cell r="AO188">
            <v>0.7141319432999006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299999.99999999994</v>
          </cell>
          <cell r="E190">
            <v>71999.999999999985</v>
          </cell>
          <cell r="F190">
            <v>0</v>
          </cell>
          <cell r="G190">
            <v>19187.075768751314</v>
          </cell>
          <cell r="H190">
            <v>4604.8981845003154</v>
          </cell>
          <cell r="I190">
            <v>0</v>
          </cell>
          <cell r="J190">
            <v>18153.058934700417</v>
          </cell>
          <cell r="K190">
            <v>4356.7341443281002</v>
          </cell>
          <cell r="L190">
            <v>0</v>
          </cell>
          <cell r="M190">
            <v>24221.91661324873</v>
          </cell>
          <cell r="N190">
            <v>5813.2599871796947</v>
          </cell>
          <cell r="O190">
            <v>0</v>
          </cell>
          <cell r="P190">
            <v>33882.618586113851</v>
          </cell>
          <cell r="Q190">
            <v>8131.8284606673242</v>
          </cell>
          <cell r="R190">
            <v>0</v>
          </cell>
          <cell r="S190">
            <v>38955.433881342142</v>
          </cell>
          <cell r="T190">
            <v>9349.3041315221144</v>
          </cell>
          <cell r="U190">
            <v>0</v>
          </cell>
          <cell r="V190">
            <v>27930.607628183541</v>
          </cell>
          <cell r="W190">
            <v>6703.3458307640494</v>
          </cell>
          <cell r="X190">
            <v>0</v>
          </cell>
          <cell r="Y190">
            <v>24153.7014980233</v>
          </cell>
          <cell r="Z190">
            <v>5796.888359525592</v>
          </cell>
          <cell r="AA190">
            <v>0</v>
          </cell>
          <cell r="AB190">
            <v>24378.890593754368</v>
          </cell>
          <cell r="AC190">
            <v>5850.9337425010481</v>
          </cell>
          <cell r="AD190">
            <v>0</v>
          </cell>
          <cell r="AE190">
            <v>29072.228396112863</v>
          </cell>
          <cell r="AF190">
            <v>6977.3348150670872</v>
          </cell>
          <cell r="AG190">
            <v>0</v>
          </cell>
          <cell r="AH190">
            <v>25843.985930584855</v>
          </cell>
          <cell r="AI190">
            <v>6202.5566233403651</v>
          </cell>
          <cell r="AJ190">
            <v>0</v>
          </cell>
          <cell r="AK190">
            <v>19876.874014810674</v>
          </cell>
          <cell r="AL190">
            <v>4770.4497635545613</v>
          </cell>
          <cell r="AM190">
            <v>0</v>
          </cell>
          <cell r="AN190">
            <v>14343.608154373955</v>
          </cell>
          <cell r="AO190">
            <v>3442.4659570497488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0.24</v>
          </cell>
          <cell r="H191">
            <v>0.24</v>
          </cell>
          <cell r="K191">
            <v>0.24000000000000002</v>
          </cell>
          <cell r="N191">
            <v>0.24</v>
          </cell>
          <cell r="Q191">
            <v>0.24</v>
          </cell>
          <cell r="T191">
            <v>0.24000000000000002</v>
          </cell>
          <cell r="W191">
            <v>0.24</v>
          </cell>
          <cell r="Z191">
            <v>0.24</v>
          </cell>
          <cell r="AC191">
            <v>0.24</v>
          </cell>
          <cell r="AF191">
            <v>0.24</v>
          </cell>
          <cell r="AI191">
            <v>0.24</v>
          </cell>
          <cell r="AL191">
            <v>0.24</v>
          </cell>
          <cell r="AO191">
            <v>0.23999999999999996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3102749.7090175254</v>
          </cell>
          <cell r="E196">
            <v>2077778.0911119578</v>
          </cell>
          <cell r="G196">
            <v>188736.60308087876</v>
          </cell>
          <cell r="H196">
            <v>125660.56500138556</v>
          </cell>
          <cell r="J196">
            <v>193666.11828077197</v>
          </cell>
          <cell r="K196">
            <v>129640.08089998038</v>
          </cell>
          <cell r="M196">
            <v>224331.67499146704</v>
          </cell>
          <cell r="N196">
            <v>148974.87890179196</v>
          </cell>
          <cell r="P196">
            <v>313225.97612285387</v>
          </cell>
          <cell r="Q196">
            <v>209637.77733070409</v>
          </cell>
          <cell r="S196">
            <v>330763.18947597104</v>
          </cell>
          <cell r="T196">
            <v>218686.3939029453</v>
          </cell>
          <cell r="V196">
            <v>243610.53587280208</v>
          </cell>
          <cell r="W196">
            <v>160513.12901398781</v>
          </cell>
          <cell r="Y196">
            <v>247658.0299730007</v>
          </cell>
          <cell r="Z196">
            <v>164630.45132850812</v>
          </cell>
          <cell r="AB196">
            <v>263893.19380566501</v>
          </cell>
          <cell r="AC196">
            <v>176188.11095929411</v>
          </cell>
          <cell r="AE196">
            <v>223039.80571934374</v>
          </cell>
          <cell r="AF196">
            <v>144916.91726918385</v>
          </cell>
          <cell r="AH196">
            <v>285976.69123587705</v>
          </cell>
          <cell r="AI196">
            <v>192594.41222609172</v>
          </cell>
          <cell r="AK196">
            <v>381814.46565637359</v>
          </cell>
          <cell r="AL196">
            <v>266001.08704729244</v>
          </cell>
          <cell r="AN196">
            <v>206033.42480252066</v>
          </cell>
          <cell r="AO196">
            <v>140334.2872307924</v>
          </cell>
        </row>
        <row r="197">
          <cell r="A197" t="str">
            <v>Service</v>
          </cell>
          <cell r="E197">
            <v>0.66965700941758488</v>
          </cell>
          <cell r="H197">
            <v>0.66579859417908771</v>
          </cell>
          <cell r="K197">
            <v>0.66939990355995904</v>
          </cell>
          <cell r="N197">
            <v>0.66408312115290258</v>
          </cell>
          <cell r="Q197">
            <v>0.66928605323742274</v>
          </cell>
          <cell r="T197">
            <v>0.66115698741873519</v>
          </cell>
          <cell r="W197">
            <v>0.65889239329861149</v>
          </cell>
          <cell r="Z197">
            <v>0.66474909513919611</v>
          </cell>
          <cell r="AC197">
            <v>0.66764931834142616</v>
          </cell>
          <cell r="AF197">
            <v>0.64973566849110431</v>
          </cell>
          <cell r="AI197">
            <v>0.67346192234680247</v>
          </cell>
          <cell r="AL197">
            <v>0.6966762943096263</v>
          </cell>
          <cell r="AO197">
            <v>0.68112388737555707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148814.26175999999</v>
          </cell>
          <cell r="H200">
            <v>12044.250946206896</v>
          </cell>
          <cell r="K200">
            <v>11568.334234482758</v>
          </cell>
          <cell r="N200">
            <v>12996.084369655171</v>
          </cell>
          <cell r="Q200">
            <v>12044.250946206896</v>
          </cell>
          <cell r="T200">
            <v>12520.167657931033</v>
          </cell>
          <cell r="W200">
            <v>12520.167657931033</v>
          </cell>
          <cell r="Z200">
            <v>12520.167657931033</v>
          </cell>
          <cell r="AC200">
            <v>12520.167657931033</v>
          </cell>
          <cell r="AF200">
            <v>12520.167657931033</v>
          </cell>
          <cell r="AI200">
            <v>12044.250946206896</v>
          </cell>
          <cell r="AL200">
            <v>12520.167657931033</v>
          </cell>
          <cell r="AO200">
            <v>12996.084369655171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108700.73360400002</v>
          </cell>
          <cell r="H201">
            <v>8746.0360371034476</v>
          </cell>
          <cell r="K201">
            <v>8329.558130574711</v>
          </cell>
          <cell r="N201">
            <v>9578.9918501609191</v>
          </cell>
          <cell r="Q201">
            <v>8746.0360371034476</v>
          </cell>
          <cell r="T201">
            <v>9162.5139436321842</v>
          </cell>
          <cell r="W201">
            <v>9162.5139436321842</v>
          </cell>
          <cell r="Z201">
            <v>9162.5139436321842</v>
          </cell>
          <cell r="AC201">
            <v>9162.5139436321842</v>
          </cell>
          <cell r="AF201">
            <v>9162.5139436321842</v>
          </cell>
          <cell r="AI201">
            <v>8746.0360371034476</v>
          </cell>
          <cell r="AL201">
            <v>9162.5139436321842</v>
          </cell>
          <cell r="AO201">
            <v>9578.9918501609191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146835.62122560001</v>
          </cell>
          <cell r="H202">
            <v>11814.360328496552</v>
          </cell>
          <cell r="K202">
            <v>11251.771741425286</v>
          </cell>
          <cell r="N202">
            <v>12939.537502639081</v>
          </cell>
          <cell r="Q202">
            <v>11814.360328496552</v>
          </cell>
          <cell r="T202">
            <v>12376.948915567818</v>
          </cell>
          <cell r="W202">
            <v>12376.948915567818</v>
          </cell>
          <cell r="Z202">
            <v>12376.948915567818</v>
          </cell>
          <cell r="AC202">
            <v>12376.948915567818</v>
          </cell>
          <cell r="AF202">
            <v>12376.948915567818</v>
          </cell>
          <cell r="AI202">
            <v>11814.360328496552</v>
          </cell>
          <cell r="AL202">
            <v>12376.948915567818</v>
          </cell>
          <cell r="AO202">
            <v>12939.537502639081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371707.29119999998</v>
          </cell>
          <cell r="H203">
            <v>30510.931475862068</v>
          </cell>
          <cell r="K203">
            <v>29891.36331034483</v>
          </cell>
          <cell r="N203">
            <v>31750.067806896557</v>
          </cell>
          <cell r="Q203">
            <v>30510.931475862068</v>
          </cell>
          <cell r="T203">
            <v>31130.499641379309</v>
          </cell>
          <cell r="W203">
            <v>31130.499641379309</v>
          </cell>
          <cell r="Z203">
            <v>31130.499641379309</v>
          </cell>
          <cell r="AC203">
            <v>31130.499641379309</v>
          </cell>
          <cell r="AF203">
            <v>31130.499641379309</v>
          </cell>
          <cell r="AI203">
            <v>30510.931475862068</v>
          </cell>
          <cell r="AL203">
            <v>31130.499641379309</v>
          </cell>
          <cell r="AO203">
            <v>31750.067806896557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201024.82413475195</v>
          </cell>
          <cell r="H207">
            <v>16673.690254520276</v>
          </cell>
          <cell r="K207">
            <v>15991.419290019308</v>
          </cell>
          <cell r="N207">
            <v>17604.907383522208</v>
          </cell>
          <cell r="Q207">
            <v>16673.690254520276</v>
          </cell>
          <cell r="T207">
            <v>16489.311619021239</v>
          </cell>
          <cell r="W207">
            <v>16922.636419021241</v>
          </cell>
          <cell r="Z207">
            <v>17355.961219021243</v>
          </cell>
          <cell r="AC207">
            <v>16922.636419021241</v>
          </cell>
          <cell r="AF207">
            <v>16922.636419021241</v>
          </cell>
          <cell r="AI207">
            <v>16673.690254520276</v>
          </cell>
          <cell r="AL207">
            <v>16922.636419021241</v>
          </cell>
          <cell r="AO207">
            <v>15871.608183522205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201024.82413475195</v>
          </cell>
          <cell r="H208">
            <v>16673.690254520276</v>
          </cell>
          <cell r="K208">
            <v>15991.419290019308</v>
          </cell>
          <cell r="N208">
            <v>17604.907383522208</v>
          </cell>
          <cell r="Q208">
            <v>16673.690254520276</v>
          </cell>
          <cell r="T208">
            <v>16489.311619021239</v>
          </cell>
          <cell r="W208">
            <v>16922.636419021241</v>
          </cell>
          <cell r="Z208">
            <v>17355.961219021243</v>
          </cell>
          <cell r="AC208">
            <v>16922.636419021241</v>
          </cell>
          <cell r="AF208">
            <v>16922.636419021241</v>
          </cell>
          <cell r="AI208">
            <v>16673.690254520276</v>
          </cell>
          <cell r="AL208">
            <v>16922.636419021241</v>
          </cell>
          <cell r="AO208">
            <v>15871.608183522205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144067.79062990559</v>
          </cell>
          <cell r="H209">
            <v>11949.478015739529</v>
          </cell>
          <cell r="K209">
            <v>11460.517157847171</v>
          </cell>
          <cell r="N209">
            <v>12616.85029152425</v>
          </cell>
          <cell r="Q209">
            <v>11949.478015739529</v>
          </cell>
          <cell r="T209">
            <v>11817.339993631887</v>
          </cell>
          <cell r="W209">
            <v>12127.889433631888</v>
          </cell>
          <cell r="Z209">
            <v>12438.438873631889</v>
          </cell>
          <cell r="AC209">
            <v>12127.889433631888</v>
          </cell>
          <cell r="AF209">
            <v>12127.889433631888</v>
          </cell>
          <cell r="AI209">
            <v>11949.478015739529</v>
          </cell>
          <cell r="AL209">
            <v>12127.889433631888</v>
          </cell>
          <cell r="AO209">
            <v>11374.652531524247</v>
          </cell>
        </row>
        <row r="210">
          <cell r="A210" t="str">
            <v>ServiceCsst</v>
          </cell>
          <cell r="B210" t="str">
            <v>Csst</v>
          </cell>
          <cell r="E210">
            <v>33504.137355792001</v>
          </cell>
          <cell r="H210">
            <v>2778.948375753379</v>
          </cell>
          <cell r="K210">
            <v>2665.2365483365516</v>
          </cell>
          <cell r="N210">
            <v>2934.1512305870351</v>
          </cell>
          <cell r="Q210">
            <v>2778.948375753379</v>
          </cell>
          <cell r="T210">
            <v>2748.2186031702067</v>
          </cell>
          <cell r="W210">
            <v>2820.4394031702068</v>
          </cell>
          <cell r="Z210">
            <v>2892.6602031702073</v>
          </cell>
          <cell r="AC210">
            <v>2820.4394031702068</v>
          </cell>
          <cell r="AF210">
            <v>2820.4394031702068</v>
          </cell>
          <cell r="AI210">
            <v>2778.948375753379</v>
          </cell>
          <cell r="AL210">
            <v>2820.4394031702068</v>
          </cell>
          <cell r="AO210">
            <v>2645.2680305870344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0.65246596344621532</v>
          </cell>
          <cell r="E212">
            <v>1355679.4840448017</v>
          </cell>
          <cell r="F212" t="str">
            <v>%brut</v>
          </cell>
          <cell r="G212">
            <v>0.8848550512802198</v>
          </cell>
          <cell r="H212">
            <v>111191.38568820241</v>
          </cell>
          <cell r="I212" t="str">
            <v>%brut</v>
          </cell>
          <cell r="J212">
            <v>0.82651614345811586</v>
          </cell>
          <cell r="K212">
            <v>107149.61970304993</v>
          </cell>
          <cell r="L212" t="str">
            <v>%brut</v>
          </cell>
          <cell r="M212">
            <v>0.79225100693864536</v>
          </cell>
          <cell r="N212">
            <v>118025.49781850743</v>
          </cell>
          <cell r="O212" t="str">
            <v>%brut</v>
          </cell>
          <cell r="P212">
            <v>0.53039765591865506</v>
          </cell>
          <cell r="Q212">
            <v>111191.38568820241</v>
          </cell>
          <cell r="R212" t="str">
            <v>%brut</v>
          </cell>
          <cell r="S212">
            <v>0.51550674910020811</v>
          </cell>
          <cell r="T212">
            <v>112734.3119933549</v>
          </cell>
          <cell r="U212" t="str">
            <v>%brut</v>
          </cell>
          <cell r="V212">
            <v>0.71012092614194744</v>
          </cell>
          <cell r="W212">
            <v>113983.73183335492</v>
          </cell>
          <cell r="X212" t="str">
            <v>%brut</v>
          </cell>
          <cell r="Y212">
            <v>0.69995040858762836</v>
          </cell>
          <cell r="Z212">
            <v>115233.15167335492</v>
          </cell>
          <cell r="AA212" t="str">
            <v>%brut</v>
          </cell>
          <cell r="AB212">
            <v>0.64694337894166609</v>
          </cell>
          <cell r="AC212">
            <v>113983.73183335492</v>
          </cell>
          <cell r="AD212" t="str">
            <v>%brut</v>
          </cell>
          <cell r="AE212">
            <v>0.78654538049294553</v>
          </cell>
          <cell r="AF212">
            <v>113983.73183335492</v>
          </cell>
          <cell r="AG212" t="str">
            <v>%brut</v>
          </cell>
          <cell r="AH212">
            <v>0.57733443251547645</v>
          </cell>
          <cell r="AI212">
            <v>111191.38568820241</v>
          </cell>
          <cell r="AJ212" t="str">
            <v>%brut</v>
          </cell>
          <cell r="AK212">
            <v>0.42850851888845742</v>
          </cell>
          <cell r="AL212">
            <v>113983.73183335492</v>
          </cell>
          <cell r="AM212" t="str">
            <v>%brut</v>
          </cell>
          <cell r="AN212">
            <v>0.80541840977624346</v>
          </cell>
          <cell r="AO212">
            <v>113027.81845850741</v>
          </cell>
        </row>
        <row r="213">
          <cell r="A213" t="str">
            <v>ServicePublicité 2</v>
          </cell>
          <cell r="B213" t="str">
            <v>Publicité 2</v>
          </cell>
          <cell r="E213">
            <v>84878.3</v>
          </cell>
          <cell r="H213">
            <v>7073.1916666666666</v>
          </cell>
          <cell r="K213">
            <v>7073.1916666666666</v>
          </cell>
          <cell r="N213">
            <v>7073.1916666666666</v>
          </cell>
          <cell r="Q213">
            <v>7073.1916666666666</v>
          </cell>
          <cell r="T213">
            <v>7073.1916666666666</v>
          </cell>
          <cell r="W213">
            <v>7073.1916666666666</v>
          </cell>
          <cell r="Z213">
            <v>7073.1916666666666</v>
          </cell>
          <cell r="AC213">
            <v>7073.1916666666666</v>
          </cell>
          <cell r="AF213">
            <v>7073.1916666666666</v>
          </cell>
          <cell r="AI213">
            <v>7073.1916666666666</v>
          </cell>
          <cell r="AL213">
            <v>7073.1916666666666</v>
          </cell>
          <cell r="AO213">
            <v>7073.1916666666666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32433</v>
          </cell>
          <cell r="H214">
            <v>1758.9169876094636</v>
          </cell>
          <cell r="K214">
            <v>1719.6466132661913</v>
          </cell>
          <cell r="N214">
            <v>2252.7530495778146</v>
          </cell>
          <cell r="Q214">
            <v>4121.8098630045515</v>
          </cell>
          <cell r="T214">
            <v>3681.3243353251628</v>
          </cell>
          <cell r="W214">
            <v>2199.7310759511602</v>
          </cell>
          <cell r="Z214">
            <v>2102.8829386082739</v>
          </cell>
          <cell r="AC214">
            <v>2322.9627189227144</v>
          </cell>
          <cell r="AF214">
            <v>1718.1880323523033</v>
          </cell>
          <cell r="AI214">
            <v>2964.593979577799</v>
          </cell>
          <cell r="AL214">
            <v>5549.880987709701</v>
          </cell>
          <cell r="AO214">
            <v>2040.3094180948635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224388.96000000008</v>
          </cell>
          <cell r="H215">
            <v>16764.080000000002</v>
          </cell>
          <cell r="K215">
            <v>16764.080000000002</v>
          </cell>
          <cell r="N215">
            <v>16764.080000000002</v>
          </cell>
          <cell r="Q215">
            <v>21064.080000000002</v>
          </cell>
          <cell r="T215">
            <v>21064.080000000002</v>
          </cell>
          <cell r="W215">
            <v>16764.080000000002</v>
          </cell>
          <cell r="Z215">
            <v>16764.080000000002</v>
          </cell>
          <cell r="AC215">
            <v>16764.080000000002</v>
          </cell>
          <cell r="AF215">
            <v>16764.080000000002</v>
          </cell>
          <cell r="AI215">
            <v>22784.080000000002</v>
          </cell>
          <cell r="AL215">
            <v>21064.080000000002</v>
          </cell>
          <cell r="AO215">
            <v>21064.080000000002</v>
          </cell>
        </row>
        <row r="216">
          <cell r="A216" t="str">
            <v>ServiceInformatique</v>
          </cell>
          <cell r="B216" t="str">
            <v>Informatique</v>
          </cell>
          <cell r="E216">
            <v>53106.566400000003</v>
          </cell>
          <cell r="H216">
            <v>4425.5472</v>
          </cell>
          <cell r="K216">
            <v>4425.5472</v>
          </cell>
          <cell r="N216">
            <v>4425.5472</v>
          </cell>
          <cell r="Q216">
            <v>4425.5472</v>
          </cell>
          <cell r="T216">
            <v>4425.5472</v>
          </cell>
          <cell r="W216">
            <v>4425.5472</v>
          </cell>
          <cell r="Z216">
            <v>4425.5472</v>
          </cell>
          <cell r="AC216">
            <v>4425.5472</v>
          </cell>
          <cell r="AF216">
            <v>4425.5472</v>
          </cell>
          <cell r="AI216">
            <v>4425.5472</v>
          </cell>
          <cell r="AL216">
            <v>4425.5472</v>
          </cell>
          <cell r="AO216">
            <v>4425.5472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14368.471200000002</v>
          </cell>
          <cell r="H217">
            <v>1197.3725999999999</v>
          </cell>
          <cell r="K217">
            <v>1197.3725999999999</v>
          </cell>
          <cell r="N217">
            <v>1197.3725999999999</v>
          </cell>
          <cell r="Q217">
            <v>1197.3725999999999</v>
          </cell>
          <cell r="T217">
            <v>1197.3725999999999</v>
          </cell>
          <cell r="W217">
            <v>1197.3725999999999</v>
          </cell>
          <cell r="Z217">
            <v>1197.3725999999999</v>
          </cell>
          <cell r="AC217">
            <v>1197.3725999999999</v>
          </cell>
          <cell r="AF217">
            <v>1197.3725999999999</v>
          </cell>
          <cell r="AI217">
            <v>1197.3725999999999</v>
          </cell>
          <cell r="AL217">
            <v>1197.3725999999999</v>
          </cell>
          <cell r="AO217">
            <v>1197.3725999999999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43506.252</v>
          </cell>
          <cell r="H218">
            <v>3513.5209999999993</v>
          </cell>
          <cell r="K218">
            <v>3513.5209999999993</v>
          </cell>
          <cell r="N218">
            <v>3513.5209999999993</v>
          </cell>
          <cell r="Q218">
            <v>3849.5209999999993</v>
          </cell>
          <cell r="T218">
            <v>3849.5209999999993</v>
          </cell>
          <cell r="W218">
            <v>3513.5209999999993</v>
          </cell>
          <cell r="Z218">
            <v>3513.5209999999993</v>
          </cell>
          <cell r="AC218">
            <v>3513.5209999999993</v>
          </cell>
          <cell r="AF218">
            <v>3513.5209999999993</v>
          </cell>
          <cell r="AI218">
            <v>3849.5209999999993</v>
          </cell>
          <cell r="AL218">
            <v>3849.5209999999993</v>
          </cell>
          <cell r="AO218">
            <v>3513.5209999999993</v>
          </cell>
        </row>
        <row r="219">
          <cell r="A219" t="str">
            <v>ServiceFournitures autres</v>
          </cell>
          <cell r="B219" t="str">
            <v>Fournitures autres</v>
          </cell>
          <cell r="E219">
            <v>6474</v>
          </cell>
          <cell r="H219">
            <v>546</v>
          </cell>
          <cell r="K219">
            <v>520</v>
          </cell>
          <cell r="N219">
            <v>572</v>
          </cell>
          <cell r="Q219">
            <v>546</v>
          </cell>
          <cell r="T219">
            <v>520</v>
          </cell>
          <cell r="W219">
            <v>546</v>
          </cell>
          <cell r="Z219">
            <v>572</v>
          </cell>
          <cell r="AC219">
            <v>546</v>
          </cell>
          <cell r="AF219">
            <v>546</v>
          </cell>
          <cell r="AI219">
            <v>546</v>
          </cell>
          <cell r="AL219">
            <v>546</v>
          </cell>
          <cell r="AO219">
            <v>468</v>
          </cell>
        </row>
        <row r="220">
          <cell r="A220" t="str">
            <v>ServiceUniformes</v>
          </cell>
          <cell r="B220" t="str">
            <v>Uniformes</v>
          </cell>
          <cell r="E220">
            <v>15600</v>
          </cell>
          <cell r="H220">
            <v>1300</v>
          </cell>
          <cell r="K220">
            <v>1300</v>
          </cell>
          <cell r="N220">
            <v>1300</v>
          </cell>
          <cell r="Q220">
            <v>1300</v>
          </cell>
          <cell r="T220">
            <v>1300</v>
          </cell>
          <cell r="W220">
            <v>1300</v>
          </cell>
          <cell r="Z220">
            <v>1300</v>
          </cell>
          <cell r="AC220">
            <v>1300</v>
          </cell>
          <cell r="AF220">
            <v>1300</v>
          </cell>
          <cell r="AI220">
            <v>1300</v>
          </cell>
          <cell r="AL220">
            <v>1300</v>
          </cell>
          <cell r="AO220">
            <v>1300</v>
          </cell>
        </row>
        <row r="221">
          <cell r="A221" t="str">
            <v>ServicePapeterie</v>
          </cell>
          <cell r="B221" t="str">
            <v>Papeterie</v>
          </cell>
          <cell r="E221">
            <v>6278.3999999999987</v>
          </cell>
          <cell r="H221">
            <v>523.19999999999993</v>
          </cell>
          <cell r="K221">
            <v>523.19999999999993</v>
          </cell>
          <cell r="N221">
            <v>523.19999999999993</v>
          </cell>
          <cell r="Q221">
            <v>523.19999999999993</v>
          </cell>
          <cell r="T221">
            <v>523.19999999999993</v>
          </cell>
          <cell r="W221">
            <v>523.19999999999993</v>
          </cell>
          <cell r="Z221">
            <v>523.19999999999993</v>
          </cell>
          <cell r="AC221">
            <v>523.19999999999993</v>
          </cell>
          <cell r="AF221">
            <v>523.19999999999993</v>
          </cell>
          <cell r="AI221">
            <v>523.19999999999993</v>
          </cell>
          <cell r="AL221">
            <v>523.19999999999993</v>
          </cell>
          <cell r="AO221">
            <v>523.19999999999993</v>
          </cell>
        </row>
        <row r="222">
          <cell r="A222" t="str">
            <v>ServiceTéléphone</v>
          </cell>
          <cell r="B222" t="str">
            <v>Téléphone</v>
          </cell>
          <cell r="E222">
            <v>5534.2080000000014</v>
          </cell>
          <cell r="H222">
            <v>461.18399999999997</v>
          </cell>
          <cell r="K222">
            <v>461.18399999999997</v>
          </cell>
          <cell r="N222">
            <v>461.18399999999997</v>
          </cell>
          <cell r="Q222">
            <v>461.18399999999997</v>
          </cell>
          <cell r="T222">
            <v>461.18399999999997</v>
          </cell>
          <cell r="W222">
            <v>461.18399999999997</v>
          </cell>
          <cell r="Z222">
            <v>461.18399999999997</v>
          </cell>
          <cell r="AC222">
            <v>461.18399999999997</v>
          </cell>
          <cell r="AF222">
            <v>461.18399999999997</v>
          </cell>
          <cell r="AI222">
            <v>461.18399999999997</v>
          </cell>
          <cell r="AL222">
            <v>461.18399999999997</v>
          </cell>
          <cell r="AO222">
            <v>461.18399999999997</v>
          </cell>
        </row>
        <row r="223">
          <cell r="A223" t="str">
            <v>ServiceFrais postaux</v>
          </cell>
          <cell r="B223" t="str">
            <v>Frais postaux</v>
          </cell>
          <cell r="E223">
            <v>2491.1999999999994</v>
          </cell>
          <cell r="H223">
            <v>207.6</v>
          </cell>
          <cell r="K223">
            <v>207.6</v>
          </cell>
          <cell r="N223">
            <v>207.6</v>
          </cell>
          <cell r="Q223">
            <v>207.6</v>
          </cell>
          <cell r="T223">
            <v>207.6</v>
          </cell>
          <cell r="W223">
            <v>207.6</v>
          </cell>
          <cell r="Z223">
            <v>207.6</v>
          </cell>
          <cell r="AC223">
            <v>207.6</v>
          </cell>
          <cell r="AF223">
            <v>207.6</v>
          </cell>
          <cell r="AI223">
            <v>207.6</v>
          </cell>
          <cell r="AL223">
            <v>207.6</v>
          </cell>
          <cell r="AO223">
            <v>207.6</v>
          </cell>
        </row>
        <row r="224">
          <cell r="A224" t="str">
            <v>ServiceDivers</v>
          </cell>
          <cell r="B224" t="str">
            <v>Divers</v>
          </cell>
          <cell r="E224">
            <v>11542.08</v>
          </cell>
          <cell r="H224">
            <v>961.83999999999992</v>
          </cell>
          <cell r="K224">
            <v>961.83999999999992</v>
          </cell>
          <cell r="N224">
            <v>961.83999999999992</v>
          </cell>
          <cell r="Q224">
            <v>961.83999999999992</v>
          </cell>
          <cell r="T224">
            <v>961.83999999999992</v>
          </cell>
          <cell r="W224">
            <v>961.83999999999992</v>
          </cell>
          <cell r="Z224">
            <v>961.83999999999992</v>
          </cell>
          <cell r="AC224">
            <v>961.83999999999992</v>
          </cell>
          <cell r="AF224">
            <v>961.83999999999992</v>
          </cell>
          <cell r="AI224">
            <v>961.83999999999992</v>
          </cell>
          <cell r="AL224">
            <v>961.83999999999992</v>
          </cell>
          <cell r="AO224">
            <v>961.83999999999992</v>
          </cell>
        </row>
        <row r="225">
          <cell r="A225" t="str">
            <v>ServiceFormation</v>
          </cell>
          <cell r="B225" t="str">
            <v>Formation</v>
          </cell>
          <cell r="E225">
            <v>16695.12</v>
          </cell>
          <cell r="H225">
            <v>1391.26</v>
          </cell>
          <cell r="K225">
            <v>1391.26</v>
          </cell>
          <cell r="N225">
            <v>1391.26</v>
          </cell>
          <cell r="Q225">
            <v>1391.26</v>
          </cell>
          <cell r="T225">
            <v>1391.26</v>
          </cell>
          <cell r="W225">
            <v>1391.26</v>
          </cell>
          <cell r="Z225">
            <v>1391.26</v>
          </cell>
          <cell r="AC225">
            <v>1391.26</v>
          </cell>
          <cell r="AF225">
            <v>1391.26</v>
          </cell>
          <cell r="AI225">
            <v>1391.26</v>
          </cell>
          <cell r="AL225">
            <v>1391.26</v>
          </cell>
          <cell r="AO225">
            <v>1391.26</v>
          </cell>
        </row>
        <row r="226">
          <cell r="A226" t="str">
            <v>ServiceFrais bancaires</v>
          </cell>
          <cell r="B226" t="str">
            <v>Frais bancaires</v>
          </cell>
          <cell r="E226">
            <v>25456.799999999999</v>
          </cell>
          <cell r="H226">
            <v>1565.7553746442611</v>
          </cell>
          <cell r="K226">
            <v>1350.5605376493636</v>
          </cell>
          <cell r="N226">
            <v>1562.4856180940822</v>
          </cell>
          <cell r="Q226">
            <v>3003.7395318699969</v>
          </cell>
          <cell r="T226">
            <v>2752.9930502907059</v>
          </cell>
          <cell r="W226">
            <v>1819.6409647064913</v>
          </cell>
          <cell r="Z226">
            <v>1715.5334678190397</v>
          </cell>
          <cell r="AC226">
            <v>1890.8850538568645</v>
          </cell>
          <cell r="AF226">
            <v>1431.9690143215671</v>
          </cell>
          <cell r="AI226">
            <v>2684.2817531321057</v>
          </cell>
          <cell r="AL226">
            <v>3906.0972958510692</v>
          </cell>
          <cell r="AO226">
            <v>1772.8583377644529</v>
          </cell>
        </row>
        <row r="227">
          <cell r="A227" t="str">
            <v>Service[...]</v>
          </cell>
          <cell r="B227" t="str">
            <v>[...]</v>
          </cell>
          <cell r="E227">
            <v>0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ServiceTOTAL SEMI-FIXES</v>
          </cell>
          <cell r="B230" t="str">
            <v>TOTAL SEMI-FIXES</v>
          </cell>
          <cell r="C230" t="str">
            <v>%brut</v>
          </cell>
          <cell r="D230">
            <v>0.26121815410496341</v>
          </cell>
          <cell r="E230">
            <v>542753.3576000001</v>
          </cell>
          <cell r="F230" t="str">
            <v>%brut</v>
          </cell>
          <cell r="G230">
            <v>0.33176254482431072</v>
          </cell>
          <cell r="H230">
            <v>41689.468828920391</v>
          </cell>
          <cell r="I230" t="str">
            <v>%brut</v>
          </cell>
          <cell r="J230">
            <v>0.31941513249694742</v>
          </cell>
          <cell r="K230">
            <v>41409.003617582217</v>
          </cell>
          <cell r="L230" t="str">
            <v>%brut</v>
          </cell>
          <cell r="M230">
            <v>0.28330974621675548</v>
          </cell>
          <cell r="N230">
            <v>42206.035134338563</v>
          </cell>
          <cell r="O230" t="str">
            <v>%brut</v>
          </cell>
          <cell r="P230">
            <v>0.23910931750848888</v>
          </cell>
          <cell r="Q230">
            <v>50126.345861541216</v>
          </cell>
          <cell r="R230" t="str">
            <v>%brut</v>
          </cell>
          <cell r="S230">
            <v>0.22593593030854348</v>
          </cell>
          <cell r="T230">
            <v>49409.113852282535</v>
          </cell>
          <cell r="U230" t="str">
            <v>%brut</v>
          </cell>
          <cell r="V230">
            <v>0.26405421642257548</v>
          </cell>
          <cell r="W230">
            <v>42384.168507324313</v>
          </cell>
          <cell r="X230" t="str">
            <v>%brut</v>
          </cell>
          <cell r="Y230">
            <v>0.25638763990793267</v>
          </cell>
          <cell r="Z230">
            <v>42209.212873093973</v>
          </cell>
          <cell r="AA230" t="str">
            <v>%brut</v>
          </cell>
          <cell r="AB230">
            <v>0.24166581960393155</v>
          </cell>
          <cell r="AC230">
            <v>42578.644239446243</v>
          </cell>
          <cell r="AD230" t="str">
            <v>%brut</v>
          </cell>
          <cell r="AE230">
            <v>0.28647416944583715</v>
          </cell>
          <cell r="AF230">
            <v>41514.953513340537</v>
          </cell>
          <cell r="AG230" t="str">
            <v>%brut</v>
          </cell>
          <cell r="AH230">
            <v>0.26153236543667874</v>
          </cell>
          <cell r="AI230">
            <v>50369.672199376568</v>
          </cell>
          <cell r="AJ230" t="str">
            <v>%brut</v>
          </cell>
          <cell r="AK230">
            <v>0.19720511420654879</v>
          </cell>
          <cell r="AL230">
            <v>52456.774750227436</v>
          </cell>
          <cell r="AM230" t="str">
            <v>%brut</v>
          </cell>
          <cell r="AN230">
            <v>0.33063882774576003</v>
          </cell>
          <cell r="AO230">
            <v>46399.964222525981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B232" t="str">
            <v>TOTAL DES DÉPENSES</v>
          </cell>
          <cell r="C232" t="str">
            <v>% brut</v>
          </cell>
          <cell r="D232">
            <v>0.91368411755117862</v>
          </cell>
          <cell r="E232">
            <v>1898432.8416448017</v>
          </cell>
          <cell r="F232" t="str">
            <v>% brut</v>
          </cell>
          <cell r="G232">
            <v>1.2166175961045305</v>
          </cell>
          <cell r="H232">
            <v>152880.85451712279</v>
          </cell>
          <cell r="I232" t="str">
            <v>% brut</v>
          </cell>
          <cell r="J232">
            <v>1.1459312759550633</v>
          </cell>
          <cell r="K232">
            <v>148558.62332063215</v>
          </cell>
          <cell r="L232" t="str">
            <v>% brut</v>
          </cell>
          <cell r="M232">
            <v>1.0755607531554008</v>
          </cell>
          <cell r="N232">
            <v>160231.532952846</v>
          </cell>
          <cell r="O232" t="str">
            <v>% brut</v>
          </cell>
          <cell r="P232">
            <v>0.76950697342714391</v>
          </cell>
          <cell r="Q232">
            <v>161317.73154974362</v>
          </cell>
          <cell r="R232" t="str">
            <v>% brut</v>
          </cell>
          <cell r="S232">
            <v>0.74144267940875164</v>
          </cell>
          <cell r="T232">
            <v>162143.42584563745</v>
          </cell>
          <cell r="U232" t="str">
            <v>% brut</v>
          </cell>
          <cell r="V232">
            <v>0.97417514256452276</v>
          </cell>
          <cell r="W232">
            <v>156367.90034067922</v>
          </cell>
          <cell r="X232" t="str">
            <v>% brut</v>
          </cell>
          <cell r="Y232">
            <v>0.95633804849556103</v>
          </cell>
          <cell r="Z232">
            <v>157442.36454644889</v>
          </cell>
          <cell r="AA232" t="str">
            <v>% brut</v>
          </cell>
          <cell r="AB232">
            <v>0.88860919854559761</v>
          </cell>
          <cell r="AC232">
            <v>156562.37607280115</v>
          </cell>
          <cell r="AD232" t="str">
            <v>% brut</v>
          </cell>
          <cell r="AE232">
            <v>1.0730195499387827</v>
          </cell>
          <cell r="AF232">
            <v>155498.68534669545</v>
          </cell>
          <cell r="AG232" t="str">
            <v>% brut</v>
          </cell>
          <cell r="AH232">
            <v>0.83886679795215513</v>
          </cell>
          <cell r="AI232">
            <v>161561.05788757897</v>
          </cell>
          <cell r="AJ232" t="str">
            <v>% brut</v>
          </cell>
          <cell r="AK232">
            <v>0.62571363309500616</v>
          </cell>
          <cell r="AL232">
            <v>166440.50658358235</v>
          </cell>
          <cell r="AM232" t="str">
            <v>% brut</v>
          </cell>
          <cell r="AN232">
            <v>1.1360572375220035</v>
          </cell>
          <cell r="AO232">
            <v>159427.78268103339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B234" t="str">
            <v>PROFIT DÉPARTEMENTAL</v>
          </cell>
          <cell r="E234">
            <v>179345.24946715613</v>
          </cell>
          <cell r="H234">
            <v>-27220.289515737226</v>
          </cell>
          <cell r="K234">
            <v>-18918.542420651764</v>
          </cell>
          <cell r="N234">
            <v>-11256.654051054036</v>
          </cell>
          <cell r="Q234">
            <v>48320.04578096047</v>
          </cell>
          <cell r="T234">
            <v>56542.968057307851</v>
          </cell>
          <cell r="W234">
            <v>4145.228673308593</v>
          </cell>
          <cell r="Z234">
            <v>7188.0867820592248</v>
          </cell>
          <cell r="AC234">
            <v>19625.734886492952</v>
          </cell>
          <cell r="AF234">
            <v>-10581.768077511602</v>
          </cell>
          <cell r="AI234">
            <v>31033.354338512756</v>
          </cell>
          <cell r="AL234">
            <v>99560.580463710096</v>
          </cell>
          <cell r="AO234">
            <v>-19093.495450240996</v>
          </cell>
        </row>
        <row r="237">
          <cell r="B237" t="str">
            <v>Budget 2021</v>
          </cell>
          <cell r="C237" t="str">
            <v>Carrosserie</v>
          </cell>
        </row>
        <row r="239">
          <cell r="B239" t="str">
            <v>Mois</v>
          </cell>
          <cell r="C239">
            <v>2021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B242" t="str">
            <v>M/O Sous-traitement</v>
          </cell>
          <cell r="C242">
            <v>0</v>
          </cell>
          <cell r="D242">
            <v>982719.99999999988</v>
          </cell>
          <cell r="E242">
            <v>223900.80000000005</v>
          </cell>
          <cell r="G242">
            <v>78517.102612357092</v>
          </cell>
          <cell r="H242">
            <v>17889.166892491088</v>
          </cell>
          <cell r="J242">
            <v>68119.860316225822</v>
          </cell>
          <cell r="K242">
            <v>15520.281688264424</v>
          </cell>
          <cell r="M242">
            <v>87475.969165700837</v>
          </cell>
          <cell r="N242">
            <v>19930.33567748265</v>
          </cell>
          <cell r="P242">
            <v>75762.233575036022</v>
          </cell>
          <cell r="Q242">
            <v>17261.50348750145</v>
          </cell>
          <cell r="S242">
            <v>104359.36299929337</v>
          </cell>
          <cell r="T242">
            <v>23777.011623893057</v>
          </cell>
          <cell r="V242">
            <v>86548.437574332362</v>
          </cell>
          <cell r="W242">
            <v>19719.00888517897</v>
          </cell>
          <cell r="Y242">
            <v>102548.37313545501</v>
          </cell>
          <cell r="Z242">
            <v>23364.399608969885</v>
          </cell>
          <cell r="AB242">
            <v>82096.522762792156</v>
          </cell>
          <cell r="AC242">
            <v>18704.694240279401</v>
          </cell>
          <cell r="AE242">
            <v>62890.384889646244</v>
          </cell>
          <cell r="AF242">
            <v>14328.809314046428</v>
          </cell>
          <cell r="AH242">
            <v>89718.951661555475</v>
          </cell>
          <cell r="AI242">
            <v>20441.371959646287</v>
          </cell>
          <cell r="AK242">
            <v>89900.028650666252</v>
          </cell>
          <cell r="AL242">
            <v>20482.628149327473</v>
          </cell>
          <cell r="AN242">
            <v>54782.772656939349</v>
          </cell>
          <cell r="AO242">
            <v>12481.588472918884</v>
          </cell>
        </row>
        <row r="243">
          <cell r="A243" t="str">
            <v>Carrosserie% profit / ventes</v>
          </cell>
          <cell r="B243" t="str">
            <v>% profit / ventes</v>
          </cell>
          <cell r="E243">
            <v>0.22783783783783793</v>
          </cell>
          <cell r="H243">
            <v>0.22783783783783784</v>
          </cell>
          <cell r="K243">
            <v>0.22783783783783784</v>
          </cell>
          <cell r="N243">
            <v>0.22783783783783784</v>
          </cell>
          <cell r="Q243">
            <v>0.22783783783783784</v>
          </cell>
          <cell r="T243">
            <v>0.22783783783783784</v>
          </cell>
          <cell r="W243">
            <v>0.22783783783783787</v>
          </cell>
          <cell r="Z243">
            <v>0.22783783783783784</v>
          </cell>
          <cell r="AC243">
            <v>0.22783783783783781</v>
          </cell>
          <cell r="AF243">
            <v>0.22783783783783784</v>
          </cell>
          <cell r="AI243">
            <v>0.22783783783783781</v>
          </cell>
          <cell r="AL243">
            <v>0.22783783783783784</v>
          </cell>
          <cell r="AO243">
            <v>0.22783783783783784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B245" t="str">
            <v>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B246" t="str">
            <v>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B248" t="str">
            <v>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B249" t="str">
            <v>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B251" t="str">
            <v>Total Mécanique</v>
          </cell>
          <cell r="D251">
            <v>982719.99999999988</v>
          </cell>
          <cell r="E251">
            <v>223900.80000000005</v>
          </cell>
          <cell r="G251">
            <v>78517.102612357092</v>
          </cell>
          <cell r="H251">
            <v>17889.166892491088</v>
          </cell>
          <cell r="J251">
            <v>68119.860316225822</v>
          </cell>
          <cell r="K251">
            <v>15520.281688264424</v>
          </cell>
          <cell r="M251">
            <v>87475.969165700837</v>
          </cell>
          <cell r="N251">
            <v>19930.33567748265</v>
          </cell>
          <cell r="P251">
            <v>75762.233575036022</v>
          </cell>
          <cell r="Q251">
            <v>17261.50348750145</v>
          </cell>
          <cell r="S251">
            <v>104359.36299929337</v>
          </cell>
          <cell r="T251">
            <v>23777.011623893057</v>
          </cell>
          <cell r="V251">
            <v>86548.437574332362</v>
          </cell>
          <cell r="W251">
            <v>19719.00888517897</v>
          </cell>
          <cell r="Y251">
            <v>102548.37313545501</v>
          </cell>
          <cell r="Z251">
            <v>23364.399608969885</v>
          </cell>
          <cell r="AB251">
            <v>82096.522762792156</v>
          </cell>
          <cell r="AC251">
            <v>18704.694240279401</v>
          </cell>
          <cell r="AE251">
            <v>62890.384889646244</v>
          </cell>
          <cell r="AF251">
            <v>14328.809314046428</v>
          </cell>
          <cell r="AH251">
            <v>89718.951661555475</v>
          </cell>
          <cell r="AI251">
            <v>20441.371959646287</v>
          </cell>
          <cell r="AK251">
            <v>89900.028650666252</v>
          </cell>
          <cell r="AL251">
            <v>20482.628149327473</v>
          </cell>
          <cell r="AN251">
            <v>54782.772656939349</v>
          </cell>
          <cell r="AO251">
            <v>12481.588472918884</v>
          </cell>
        </row>
        <row r="252">
          <cell r="A252" t="str">
            <v>Carrosserie</v>
          </cell>
          <cell r="E252">
            <v>0.22783783783783793</v>
          </cell>
          <cell r="H252">
            <v>0.22783783783783784</v>
          </cell>
          <cell r="K252">
            <v>0.22783783783783784</v>
          </cell>
          <cell r="N252">
            <v>0.22783783783783784</v>
          </cell>
          <cell r="Q252">
            <v>0.22783783783783784</v>
          </cell>
          <cell r="T252">
            <v>0.22783783783783784</v>
          </cell>
          <cell r="W252">
            <v>0.22783783783783787</v>
          </cell>
          <cell r="Z252">
            <v>0.22783783783783784</v>
          </cell>
          <cell r="AC252">
            <v>0.22783783783783781</v>
          </cell>
          <cell r="AF252">
            <v>0.22783783783783784</v>
          </cell>
          <cell r="AI252">
            <v>0.22783783783783781</v>
          </cell>
          <cell r="AL252">
            <v>0.22783783783783784</v>
          </cell>
          <cell r="AO252">
            <v>0.22783783783783784</v>
          </cell>
        </row>
        <row r="253">
          <cell r="A253" t="str">
            <v>Carrosserie</v>
          </cell>
        </row>
        <row r="254">
          <cell r="A254" t="str">
            <v>CarrosserieDEPENSES</v>
          </cell>
          <cell r="B254" t="str">
            <v>DEPENSES</v>
          </cell>
        </row>
        <row r="255">
          <cell r="A255" t="str">
            <v>CarrosserieSalaires cadres</v>
          </cell>
          <cell r="B255" t="str">
            <v>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B256" t="str">
            <v>Salaires commis</v>
          </cell>
          <cell r="E256">
            <v>6610.2603559999998</v>
          </cell>
          <cell r="H256">
            <v>531.86002864367822</v>
          </cell>
          <cell r="K256">
            <v>506.53336061302684</v>
          </cell>
          <cell r="N256">
            <v>582.51336470498097</v>
          </cell>
          <cell r="Q256">
            <v>531.86002864367822</v>
          </cell>
          <cell r="T256">
            <v>557.18669667432948</v>
          </cell>
          <cell r="W256">
            <v>557.18669667432948</v>
          </cell>
          <cell r="Z256">
            <v>557.18669667432948</v>
          </cell>
          <cell r="AC256">
            <v>557.18669667432948</v>
          </cell>
          <cell r="AF256">
            <v>557.18669667432948</v>
          </cell>
          <cell r="AI256">
            <v>531.86002864367822</v>
          </cell>
          <cell r="AL256">
            <v>557.18669667432948</v>
          </cell>
          <cell r="AO256">
            <v>582.51336470498097</v>
          </cell>
        </row>
        <row r="257">
          <cell r="A257" t="str">
            <v>CarrosserieSalaires autres</v>
          </cell>
          <cell r="B257" t="str">
            <v>Salaires autres</v>
          </cell>
          <cell r="E257">
            <v>40983.3601184</v>
          </cell>
          <cell r="H257">
            <v>3297.5117336643675</v>
          </cell>
          <cell r="K257">
            <v>3140.4873653946361</v>
          </cell>
          <cell r="N257">
            <v>3611.5604702038304</v>
          </cell>
          <cell r="Q257">
            <v>3297.5117336643675</v>
          </cell>
          <cell r="T257">
            <v>3454.5361019340994</v>
          </cell>
          <cell r="W257">
            <v>3454.5361019340994</v>
          </cell>
          <cell r="Z257">
            <v>3454.5361019340994</v>
          </cell>
          <cell r="AC257">
            <v>3454.5361019340994</v>
          </cell>
          <cell r="AF257">
            <v>3454.5361019340994</v>
          </cell>
          <cell r="AI257">
            <v>3297.5117336643675</v>
          </cell>
          <cell r="AL257">
            <v>3454.5361019340994</v>
          </cell>
          <cell r="AO257">
            <v>3611.5604702038304</v>
          </cell>
        </row>
        <row r="258">
          <cell r="A258" t="str">
            <v>CarrosserieSalaires spécialistes</v>
          </cell>
          <cell r="B258" t="str">
            <v>Salaires spécialistes</v>
          </cell>
          <cell r="E258">
            <v>42600.101999999999</v>
          </cell>
          <cell r="H258">
            <v>3462.0771724137931</v>
          </cell>
          <cell r="K258">
            <v>3344.8354022988506</v>
          </cell>
          <cell r="N258">
            <v>3696.560712643678</v>
          </cell>
          <cell r="Q258">
            <v>3462.0771724137931</v>
          </cell>
          <cell r="T258">
            <v>3579.3189425287355</v>
          </cell>
          <cell r="W258">
            <v>3579.3189425287355</v>
          </cell>
          <cell r="Z258">
            <v>3579.3189425287355</v>
          </cell>
          <cell r="AC258">
            <v>3579.3189425287355</v>
          </cell>
          <cell r="AF258">
            <v>3579.3189425287355</v>
          </cell>
          <cell r="AI258">
            <v>3462.0771724137931</v>
          </cell>
          <cell r="AL258">
            <v>3579.3189425287355</v>
          </cell>
          <cell r="AO258">
            <v>3696.560712643678</v>
          </cell>
        </row>
        <row r="259">
          <cell r="A259" t="str">
            <v>Carrosserie[...]</v>
          </cell>
          <cell r="B259" t="str">
            <v>[...]</v>
          </cell>
          <cell r="E259">
            <v>0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CarrosserieSalaires en absences</v>
          </cell>
          <cell r="B262" t="str">
            <v>Salaires en absences</v>
          </cell>
          <cell r="E262">
            <v>11245.730696928</v>
          </cell>
          <cell r="H262">
            <v>908.96683768386197</v>
          </cell>
          <cell r="K262">
            <v>871.39698827034476</v>
          </cell>
          <cell r="N262">
            <v>984.10653651089626</v>
          </cell>
          <cell r="Q262">
            <v>908.96683768386197</v>
          </cell>
          <cell r="T262">
            <v>946.53668709737929</v>
          </cell>
          <cell r="W262">
            <v>946.53668709737929</v>
          </cell>
          <cell r="Z262">
            <v>946.53668709737929</v>
          </cell>
          <cell r="AC262">
            <v>946.53668709737929</v>
          </cell>
          <cell r="AF262">
            <v>946.53668709737929</v>
          </cell>
          <cell r="AI262">
            <v>908.96683768386197</v>
          </cell>
          <cell r="AL262">
            <v>946.53668709737929</v>
          </cell>
          <cell r="AO262">
            <v>984.10653651089626</v>
          </cell>
        </row>
        <row r="263">
          <cell r="A263" t="str">
            <v>CarrosserieDéduction à la source</v>
          </cell>
          <cell r="B263" t="str">
            <v>Déduction à la source</v>
          </cell>
          <cell r="E263">
            <v>11245.730696928</v>
          </cell>
          <cell r="H263">
            <v>908.96683768386197</v>
          </cell>
          <cell r="K263">
            <v>871.39698827034476</v>
          </cell>
          <cell r="N263">
            <v>984.10653651089626</v>
          </cell>
          <cell r="Q263">
            <v>908.96683768386197</v>
          </cell>
          <cell r="T263">
            <v>946.53668709737929</v>
          </cell>
          <cell r="W263">
            <v>946.53668709737929</v>
          </cell>
          <cell r="Z263">
            <v>946.53668709737929</v>
          </cell>
          <cell r="AC263">
            <v>946.53668709737929</v>
          </cell>
          <cell r="AF263">
            <v>946.53668709737929</v>
          </cell>
          <cell r="AI263">
            <v>908.96683768386197</v>
          </cell>
          <cell r="AL263">
            <v>946.53668709737929</v>
          </cell>
          <cell r="AO263">
            <v>984.10653651089626</v>
          </cell>
        </row>
        <row r="264">
          <cell r="A264" t="str">
            <v>CarrosserieBénéfices marginaux</v>
          </cell>
          <cell r="B264" t="str">
            <v>Bénéfices marginaux</v>
          </cell>
          <cell r="E264">
            <v>8059.4403327983991</v>
          </cell>
          <cell r="H264">
            <v>651.42623367343435</v>
          </cell>
          <cell r="K264">
            <v>624.50117492708034</v>
          </cell>
          <cell r="N264">
            <v>705.27635116614226</v>
          </cell>
          <cell r="Q264">
            <v>651.42623367343435</v>
          </cell>
          <cell r="T264">
            <v>678.35129241978848</v>
          </cell>
          <cell r="W264">
            <v>678.35129241978848</v>
          </cell>
          <cell r="Z264">
            <v>678.35129241978848</v>
          </cell>
          <cell r="AC264">
            <v>678.35129241978848</v>
          </cell>
          <cell r="AF264">
            <v>678.35129241978848</v>
          </cell>
          <cell r="AI264">
            <v>651.42623367343435</v>
          </cell>
          <cell r="AL264">
            <v>678.35129241978848</v>
          </cell>
          <cell r="AO264">
            <v>705.27635116614226</v>
          </cell>
        </row>
        <row r="265">
          <cell r="A265" t="str">
            <v>CarrosserieCsst</v>
          </cell>
          <cell r="B265" t="str">
            <v>Csst</v>
          </cell>
          <cell r="E265">
            <v>1874.288449488</v>
          </cell>
          <cell r="H265">
            <v>151.49447294731033</v>
          </cell>
          <cell r="K265">
            <v>145.23283137839081</v>
          </cell>
          <cell r="N265">
            <v>164.01775608514939</v>
          </cell>
          <cell r="Q265">
            <v>151.49447294731033</v>
          </cell>
          <cell r="T265">
            <v>157.75611451622987</v>
          </cell>
          <cell r="W265">
            <v>157.75611451622987</v>
          </cell>
          <cell r="Z265">
            <v>157.75611451622987</v>
          </cell>
          <cell r="AC265">
            <v>157.75611451622987</v>
          </cell>
          <cell r="AF265">
            <v>157.75611451622987</v>
          </cell>
          <cell r="AI265">
            <v>151.49447294731033</v>
          </cell>
          <cell r="AL265">
            <v>157.75611451622987</v>
          </cell>
          <cell r="AO265">
            <v>164.01775608514939</v>
          </cell>
        </row>
        <row r="266">
          <cell r="A266" t="str">
            <v>Carrosserie[...]</v>
          </cell>
          <cell r="B266" t="str">
            <v>[...]</v>
          </cell>
          <cell r="E266">
            <v>0</v>
          </cell>
        </row>
        <row r="267">
          <cell r="A267" t="str">
            <v>CarrosserieTOTAL PERSONNEL</v>
          </cell>
          <cell r="B267" t="str">
            <v>TOTAL PERSONNEL</v>
          </cell>
          <cell r="C267" t="str">
            <v>% brut</v>
          </cell>
          <cell r="D267">
            <v>0</v>
          </cell>
          <cell r="E267">
            <v>126139.6126505424</v>
          </cell>
          <cell r="F267" t="str">
            <v>% brut</v>
          </cell>
          <cell r="G267">
            <v>0</v>
          </cell>
          <cell r="H267">
            <v>10195.578029353985</v>
          </cell>
          <cell r="I267" t="str">
            <v>% brut</v>
          </cell>
          <cell r="J267">
            <v>0</v>
          </cell>
          <cell r="K267">
            <v>9774.1695517657008</v>
          </cell>
          <cell r="L267" t="str">
            <v>% brut</v>
          </cell>
          <cell r="M267">
            <v>0</v>
          </cell>
          <cell r="N267">
            <v>11038.394984530554</v>
          </cell>
          <cell r="O267" t="str">
            <v>% brut</v>
          </cell>
          <cell r="P267">
            <v>0</v>
          </cell>
          <cell r="Q267">
            <v>10195.578029353985</v>
          </cell>
          <cell r="R267" t="str">
            <v>% brut</v>
          </cell>
          <cell r="S267">
            <v>0</v>
          </cell>
          <cell r="T267">
            <v>10616.98650694227</v>
          </cell>
          <cell r="U267" t="str">
            <v>% brut</v>
          </cell>
          <cell r="V267">
            <v>0</v>
          </cell>
          <cell r="W267">
            <v>10616.98650694227</v>
          </cell>
          <cell r="X267" t="str">
            <v>% brut</v>
          </cell>
          <cell r="Y267">
            <v>0</v>
          </cell>
          <cell r="Z267">
            <v>10616.98650694227</v>
          </cell>
          <cell r="AA267" t="str">
            <v>% brut</v>
          </cell>
          <cell r="AB267">
            <v>0</v>
          </cell>
          <cell r="AC267">
            <v>10616.98650694227</v>
          </cell>
          <cell r="AD267" t="str">
            <v>% brut</v>
          </cell>
          <cell r="AE267">
            <v>0</v>
          </cell>
          <cell r="AF267">
            <v>10616.98650694227</v>
          </cell>
          <cell r="AG267" t="str">
            <v>% brut</v>
          </cell>
          <cell r="AH267">
            <v>0</v>
          </cell>
          <cell r="AI267">
            <v>10195.578029353985</v>
          </cell>
          <cell r="AJ267" t="str">
            <v>% brut</v>
          </cell>
          <cell r="AK267">
            <v>0</v>
          </cell>
          <cell r="AL267">
            <v>10616.98650694227</v>
          </cell>
          <cell r="AM267" t="str">
            <v>% brut</v>
          </cell>
          <cell r="AN267">
            <v>0</v>
          </cell>
          <cell r="AO267">
            <v>11038.394984530554</v>
          </cell>
        </row>
        <row r="268">
          <cell r="A268" t="str">
            <v>CarrosseriePublicité 2</v>
          </cell>
          <cell r="B268" t="str">
            <v>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B269" t="str">
            <v>Service gratuit 2</v>
          </cell>
          <cell r="E269">
            <v>12500</v>
          </cell>
          <cell r="H269">
            <v>998.72169351846264</v>
          </cell>
          <cell r="K269">
            <v>866.47087059673436</v>
          </cell>
          <cell r="N269">
            <v>1112.6766673836501</v>
          </cell>
          <cell r="Q269">
            <v>963.68031554049003</v>
          </cell>
          <cell r="T269">
            <v>1327.4300283816012</v>
          </cell>
          <cell r="W269">
            <v>1100.8786527995303</v>
          </cell>
          <cell r="Z269">
            <v>1304.3946029318499</v>
          </cell>
          <cell r="AC269">
            <v>1044.2511951877461</v>
          </cell>
          <cell r="AF269">
            <v>799.95299894230106</v>
          </cell>
          <cell r="AI269">
            <v>1141.2069518982451</v>
          </cell>
          <cell r="AL269">
            <v>1143.510214642348</v>
          </cell>
          <cell r="AO269">
            <v>696.82580817704115</v>
          </cell>
        </row>
        <row r="270">
          <cell r="A270" t="str">
            <v>CarrosserieFrais véhicules de cie</v>
          </cell>
          <cell r="B270" t="str">
            <v>Frais véhicules de cie</v>
          </cell>
          <cell r="E270">
            <v>3587.28</v>
          </cell>
          <cell r="H270">
            <v>298.94</v>
          </cell>
          <cell r="K270">
            <v>298.94</v>
          </cell>
          <cell r="N270">
            <v>298.94</v>
          </cell>
          <cell r="Q270">
            <v>298.94</v>
          </cell>
          <cell r="T270">
            <v>298.94</v>
          </cell>
          <cell r="W270">
            <v>298.94</v>
          </cell>
          <cell r="Z270">
            <v>298.94</v>
          </cell>
          <cell r="AC270">
            <v>298.94</v>
          </cell>
          <cell r="AF270">
            <v>298.94</v>
          </cell>
          <cell r="AI270">
            <v>298.94</v>
          </cell>
          <cell r="AL270">
            <v>298.94</v>
          </cell>
          <cell r="AO270">
            <v>298.94</v>
          </cell>
        </row>
        <row r="271">
          <cell r="A271" t="str">
            <v>CarrosserieInformatique</v>
          </cell>
          <cell r="B271" t="str">
            <v>Informatique</v>
          </cell>
          <cell r="E271">
            <v>17239.415199999999</v>
          </cell>
          <cell r="H271">
            <v>1436.6179333333334</v>
          </cell>
          <cell r="K271">
            <v>1436.6179333333334</v>
          </cell>
          <cell r="N271">
            <v>1436.6179333333334</v>
          </cell>
          <cell r="Q271">
            <v>1436.6179333333334</v>
          </cell>
          <cell r="T271">
            <v>1436.6179333333334</v>
          </cell>
          <cell r="W271">
            <v>1436.6179333333334</v>
          </cell>
          <cell r="Z271">
            <v>1436.6179333333334</v>
          </cell>
          <cell r="AC271">
            <v>1436.6179333333334</v>
          </cell>
          <cell r="AF271">
            <v>1436.6179333333334</v>
          </cell>
          <cell r="AI271">
            <v>1436.6179333333334</v>
          </cell>
          <cell r="AL271">
            <v>1436.6179333333334</v>
          </cell>
          <cell r="AO271">
            <v>1436.6179333333334</v>
          </cell>
        </row>
        <row r="272">
          <cell r="A272" t="str">
            <v>CarrosserieFrais de déplacement</v>
          </cell>
          <cell r="B272" t="str">
            <v>Frais de déplacement</v>
          </cell>
          <cell r="E272">
            <v>4190.8041000000003</v>
          </cell>
          <cell r="H272">
            <v>349.23367500000001</v>
          </cell>
          <cell r="K272">
            <v>349.23367500000001</v>
          </cell>
          <cell r="N272">
            <v>349.23367500000001</v>
          </cell>
          <cell r="Q272">
            <v>349.23367500000001</v>
          </cell>
          <cell r="T272">
            <v>349.23367500000001</v>
          </cell>
          <cell r="W272">
            <v>349.23367500000001</v>
          </cell>
          <cell r="Z272">
            <v>349.23367500000001</v>
          </cell>
          <cell r="AC272">
            <v>349.23367500000001</v>
          </cell>
          <cell r="AF272">
            <v>349.23367500000001</v>
          </cell>
          <cell r="AI272">
            <v>349.23367500000001</v>
          </cell>
          <cell r="AL272">
            <v>349.23367500000001</v>
          </cell>
          <cell r="AO272">
            <v>349.23367500000001</v>
          </cell>
        </row>
        <row r="273">
          <cell r="A273" t="str">
            <v>CarrosserieServices extérieurs</v>
          </cell>
          <cell r="B273" t="str">
            <v>Services extérieurs</v>
          </cell>
          <cell r="E273">
            <v>12689.323500000004</v>
          </cell>
          <cell r="H273">
            <v>1024.7769583333334</v>
          </cell>
          <cell r="K273">
            <v>1024.7769583333334</v>
          </cell>
          <cell r="N273">
            <v>1024.7769583333334</v>
          </cell>
          <cell r="Q273">
            <v>1122.7769583333334</v>
          </cell>
          <cell r="T273">
            <v>1122.7769583333334</v>
          </cell>
          <cell r="W273">
            <v>1024.7769583333334</v>
          </cell>
          <cell r="Z273">
            <v>1024.7769583333334</v>
          </cell>
          <cell r="AC273">
            <v>1024.7769583333334</v>
          </cell>
          <cell r="AF273">
            <v>1024.7769583333334</v>
          </cell>
          <cell r="AI273">
            <v>1122.7769583333334</v>
          </cell>
          <cell r="AL273">
            <v>1122.7769583333334</v>
          </cell>
          <cell r="AO273">
            <v>1024.7769583333334</v>
          </cell>
        </row>
        <row r="274">
          <cell r="A274" t="str">
            <v>CarrosserieFournitures autres</v>
          </cell>
          <cell r="B274" t="str">
            <v>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B275" t="str">
            <v>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B276" t="str">
            <v>Papeterie</v>
          </cell>
          <cell r="E276">
            <v>1831.1999999999998</v>
          </cell>
          <cell r="H276">
            <v>152.60000000000002</v>
          </cell>
          <cell r="K276">
            <v>152.60000000000002</v>
          </cell>
          <cell r="N276">
            <v>152.60000000000002</v>
          </cell>
          <cell r="Q276">
            <v>152.60000000000002</v>
          </cell>
          <cell r="T276">
            <v>152.60000000000002</v>
          </cell>
          <cell r="W276">
            <v>152.60000000000002</v>
          </cell>
          <cell r="Z276">
            <v>152.60000000000002</v>
          </cell>
          <cell r="AC276">
            <v>152.60000000000002</v>
          </cell>
          <cell r="AF276">
            <v>152.60000000000002</v>
          </cell>
          <cell r="AI276">
            <v>152.60000000000002</v>
          </cell>
          <cell r="AL276">
            <v>152.60000000000002</v>
          </cell>
          <cell r="AO276">
            <v>152.60000000000002</v>
          </cell>
        </row>
        <row r="277">
          <cell r="A277" t="str">
            <v>CarrosserieTéléphone</v>
          </cell>
          <cell r="B277" t="str">
            <v>Téléphone</v>
          </cell>
          <cell r="E277">
            <v>2131.6439999999998</v>
          </cell>
          <cell r="H277">
            <v>177.637</v>
          </cell>
          <cell r="K277">
            <v>177.637</v>
          </cell>
          <cell r="N277">
            <v>177.637</v>
          </cell>
          <cell r="Q277">
            <v>177.637</v>
          </cell>
          <cell r="T277">
            <v>177.637</v>
          </cell>
          <cell r="W277">
            <v>177.637</v>
          </cell>
          <cell r="Z277">
            <v>177.637</v>
          </cell>
          <cell r="AC277">
            <v>177.637</v>
          </cell>
          <cell r="AF277">
            <v>177.637</v>
          </cell>
          <cell r="AI277">
            <v>177.637</v>
          </cell>
          <cell r="AL277">
            <v>177.637</v>
          </cell>
          <cell r="AO277">
            <v>177.637</v>
          </cell>
        </row>
        <row r="278">
          <cell r="A278" t="str">
            <v>CarrosserieFrais postaux</v>
          </cell>
          <cell r="B278" t="str">
            <v>Frais postaux</v>
          </cell>
          <cell r="E278">
            <v>726.59999999999991</v>
          </cell>
          <cell r="H278">
            <v>60.550000000000004</v>
          </cell>
          <cell r="K278">
            <v>60.550000000000004</v>
          </cell>
          <cell r="N278">
            <v>60.550000000000004</v>
          </cell>
          <cell r="Q278">
            <v>60.550000000000004</v>
          </cell>
          <cell r="T278">
            <v>60.550000000000004</v>
          </cell>
          <cell r="W278">
            <v>60.550000000000004</v>
          </cell>
          <cell r="Z278">
            <v>60.550000000000004</v>
          </cell>
          <cell r="AC278">
            <v>60.550000000000004</v>
          </cell>
          <cell r="AF278">
            <v>60.550000000000004</v>
          </cell>
          <cell r="AI278">
            <v>60.550000000000004</v>
          </cell>
          <cell r="AL278">
            <v>60.550000000000004</v>
          </cell>
          <cell r="AO278">
            <v>60.550000000000004</v>
          </cell>
        </row>
        <row r="279">
          <cell r="A279" t="str">
            <v>CarrosserieDivers</v>
          </cell>
          <cell r="B279" t="str">
            <v>Divers</v>
          </cell>
          <cell r="E279">
            <v>3016.44</v>
          </cell>
          <cell r="H279">
            <v>251.37000000000003</v>
          </cell>
          <cell r="K279">
            <v>251.37000000000003</v>
          </cell>
          <cell r="N279">
            <v>251.37000000000003</v>
          </cell>
          <cell r="Q279">
            <v>251.37000000000003</v>
          </cell>
          <cell r="T279">
            <v>251.37000000000003</v>
          </cell>
          <cell r="W279">
            <v>251.37000000000003</v>
          </cell>
          <cell r="Z279">
            <v>251.37000000000003</v>
          </cell>
          <cell r="AC279">
            <v>251.37000000000003</v>
          </cell>
          <cell r="AF279">
            <v>251.37000000000003</v>
          </cell>
          <cell r="AI279">
            <v>251.37000000000003</v>
          </cell>
          <cell r="AL279">
            <v>251.37000000000003</v>
          </cell>
          <cell r="AO279">
            <v>251.37000000000003</v>
          </cell>
        </row>
        <row r="280">
          <cell r="A280" t="str">
            <v>CarrosserieFormation</v>
          </cell>
          <cell r="B280" t="str">
            <v>Formation</v>
          </cell>
          <cell r="E280">
            <v>494.41</v>
          </cell>
          <cell r="H280">
            <v>41.200833333333343</v>
          </cell>
          <cell r="K280">
            <v>41.200833333333343</v>
          </cell>
          <cell r="N280">
            <v>41.200833333333343</v>
          </cell>
          <cell r="Q280">
            <v>41.200833333333343</v>
          </cell>
          <cell r="T280">
            <v>41.200833333333343</v>
          </cell>
          <cell r="W280">
            <v>41.200833333333343</v>
          </cell>
          <cell r="Z280">
            <v>41.200833333333343</v>
          </cell>
          <cell r="AC280">
            <v>41.200833333333343</v>
          </cell>
          <cell r="AF280">
            <v>41.200833333333343</v>
          </cell>
          <cell r="AI280">
            <v>41.200833333333343</v>
          </cell>
          <cell r="AL280">
            <v>41.200833333333343</v>
          </cell>
          <cell r="AO280">
            <v>41.200833333333343</v>
          </cell>
        </row>
        <row r="281">
          <cell r="A281" t="str">
            <v>CarrosserieFrais bancaires</v>
          </cell>
          <cell r="B281" t="str">
            <v>Frais bancaires</v>
          </cell>
          <cell r="E281">
            <v>7424.9</v>
          </cell>
          <cell r="H281">
            <v>456.67865093790959</v>
          </cell>
          <cell r="K281">
            <v>393.91349014773107</v>
          </cell>
          <cell r="N281">
            <v>455.72497194410732</v>
          </cell>
          <cell r="Q281">
            <v>876.09069679541574</v>
          </cell>
          <cell r="T281">
            <v>802.95630633478925</v>
          </cell>
          <cell r="W281">
            <v>530.72861470605994</v>
          </cell>
          <cell r="Z281">
            <v>500.36392811388669</v>
          </cell>
          <cell r="AC281">
            <v>551.50814070825209</v>
          </cell>
          <cell r="AF281">
            <v>417.65762917712379</v>
          </cell>
          <cell r="AI281">
            <v>782.91551133019755</v>
          </cell>
          <cell r="AL281">
            <v>1139.2783779565621</v>
          </cell>
          <cell r="AO281">
            <v>517.08368184796541</v>
          </cell>
        </row>
        <row r="282">
          <cell r="A282" t="str">
            <v>Carrosserie[...]</v>
          </cell>
          <cell r="B282" t="str">
            <v>[...]</v>
          </cell>
          <cell r="E282">
            <v>0</v>
          </cell>
        </row>
        <row r="283">
          <cell r="A283" t="str">
            <v>Carrosserie[...]</v>
          </cell>
          <cell r="B283" t="str">
            <v>[...]</v>
          </cell>
          <cell r="E283">
            <v>0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CarrosserieTOTAL SEMI-FIXES</v>
          </cell>
          <cell r="B285" t="str">
            <v>TOTAL SEMI-FIXES</v>
          </cell>
          <cell r="C285" t="str">
            <v>% brut</v>
          </cell>
          <cell r="D285">
            <v>0</v>
          </cell>
          <cell r="E285">
            <v>65832.016800000012</v>
          </cell>
          <cell r="F285" t="str">
            <v>% brut</v>
          </cell>
          <cell r="G285">
            <v>0</v>
          </cell>
          <cell r="H285">
            <v>5248.3267444563726</v>
          </cell>
          <cell r="I285" t="str">
            <v>% brut</v>
          </cell>
          <cell r="J285">
            <v>0</v>
          </cell>
          <cell r="K285">
            <v>5053.3107607444654</v>
          </cell>
          <cell r="L285" t="str">
            <v>% brut</v>
          </cell>
          <cell r="M285">
            <v>0</v>
          </cell>
          <cell r="N285">
            <v>5361.3280393277573</v>
          </cell>
          <cell r="O285" t="str">
            <v>% brut</v>
          </cell>
          <cell r="P285">
            <v>0</v>
          </cell>
          <cell r="Q285">
            <v>5730.6974123359068</v>
          </cell>
          <cell r="R285" t="str">
            <v>% brut</v>
          </cell>
          <cell r="S285">
            <v>0</v>
          </cell>
          <cell r="T285">
            <v>6021.3127347163909</v>
          </cell>
          <cell r="U285" t="str">
            <v>% brut</v>
          </cell>
          <cell r="V285">
            <v>0</v>
          </cell>
          <cell r="W285">
            <v>5424.5336675055914</v>
          </cell>
          <cell r="X285" t="str">
            <v>% brut</v>
          </cell>
          <cell r="Y285">
            <v>0</v>
          </cell>
          <cell r="Z285">
            <v>5597.6849310457374</v>
          </cell>
          <cell r="AA285" t="str">
            <v>% brut</v>
          </cell>
          <cell r="AB285">
            <v>0</v>
          </cell>
          <cell r="AC285">
            <v>5388.6857358959987</v>
          </cell>
          <cell r="AD285" t="str">
            <v>% brut</v>
          </cell>
          <cell r="AE285">
            <v>0</v>
          </cell>
          <cell r="AF285">
            <v>5010.5370281194246</v>
          </cell>
          <cell r="AG285" t="str">
            <v>% brut</v>
          </cell>
          <cell r="AH285">
            <v>0</v>
          </cell>
          <cell r="AI285">
            <v>5815.0488632284432</v>
          </cell>
          <cell r="AJ285" t="str">
            <v>% brut</v>
          </cell>
          <cell r="AK285">
            <v>0</v>
          </cell>
          <cell r="AL285">
            <v>6173.7149925989106</v>
          </cell>
          <cell r="AM285" t="str">
            <v>% brut</v>
          </cell>
          <cell r="AN285">
            <v>0</v>
          </cell>
          <cell r="AO285">
            <v>5006.8358900250068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B287" t="str">
            <v>TOTAL DES DÉPENSES</v>
          </cell>
          <cell r="C287" t="str">
            <v>% brut</v>
          </cell>
          <cell r="D287">
            <v>0</v>
          </cell>
          <cell r="E287">
            <v>191971.62945054242</v>
          </cell>
          <cell r="F287" t="str">
            <v>% brut</v>
          </cell>
          <cell r="G287">
            <v>0</v>
          </cell>
          <cell r="H287">
            <v>15443.904773810358</v>
          </cell>
          <cell r="I287" t="str">
            <v>% brut</v>
          </cell>
          <cell r="J287">
            <v>0</v>
          </cell>
          <cell r="K287">
            <v>14827.480312510166</v>
          </cell>
          <cell r="L287" t="str">
            <v>% brut</v>
          </cell>
          <cell r="M287">
            <v>0</v>
          </cell>
          <cell r="N287">
            <v>16399.723023858311</v>
          </cell>
          <cell r="O287" t="str">
            <v>% brut</v>
          </cell>
          <cell r="P287">
            <v>0</v>
          </cell>
          <cell r="Q287">
            <v>15926.275441689892</v>
          </cell>
          <cell r="R287" t="str">
            <v>% brut</v>
          </cell>
          <cell r="S287">
            <v>0</v>
          </cell>
          <cell r="T287">
            <v>16638.29924165866</v>
          </cell>
          <cell r="U287" t="str">
            <v>% brut</v>
          </cell>
          <cell r="V287">
            <v>0</v>
          </cell>
          <cell r="W287">
            <v>16041.520174447862</v>
          </cell>
          <cell r="X287" t="str">
            <v>% brut</v>
          </cell>
          <cell r="Y287">
            <v>0</v>
          </cell>
          <cell r="Z287">
            <v>16214.671437988007</v>
          </cell>
          <cell r="AA287" t="str">
            <v>% brut</v>
          </cell>
          <cell r="AB287">
            <v>0</v>
          </cell>
          <cell r="AC287">
            <v>16005.672242838269</v>
          </cell>
          <cell r="AD287" t="str">
            <v>% brut</v>
          </cell>
          <cell r="AE287">
            <v>0</v>
          </cell>
          <cell r="AF287">
            <v>15627.523535061695</v>
          </cell>
          <cell r="AG287" t="str">
            <v>% brut</v>
          </cell>
          <cell r="AH287">
            <v>0</v>
          </cell>
          <cell r="AI287">
            <v>16010.626892582428</v>
          </cell>
          <cell r="AJ287" t="str">
            <v>% brut</v>
          </cell>
          <cell r="AK287">
            <v>0</v>
          </cell>
          <cell r="AL287">
            <v>16790.701499541181</v>
          </cell>
          <cell r="AM287" t="str">
            <v>% brut</v>
          </cell>
          <cell r="AN287">
            <v>0</v>
          </cell>
          <cell r="AO287">
            <v>16045.23087455556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B289" t="str">
            <v>PROFIT DÉPARTEMENTAL</v>
          </cell>
          <cell r="E289">
            <v>31929.170549457631</v>
          </cell>
          <cell r="H289">
            <v>2445.2621186807301</v>
          </cell>
          <cell r="K289">
            <v>692.80137575425761</v>
          </cell>
          <cell r="N289">
            <v>3530.6126536243391</v>
          </cell>
          <cell r="Q289">
            <v>1335.2280458115583</v>
          </cell>
          <cell r="T289">
            <v>7138.7123822343965</v>
          </cell>
          <cell r="W289">
            <v>3677.4887107311079</v>
          </cell>
          <cell r="Z289">
            <v>7149.7281709818781</v>
          </cell>
          <cell r="AC289">
            <v>2699.021997441132</v>
          </cell>
          <cell r="AF289">
            <v>-1298.714221015267</v>
          </cell>
          <cell r="AI289">
            <v>4430.7450670638591</v>
          </cell>
          <cell r="AL289">
            <v>3691.9266497862918</v>
          </cell>
          <cell r="AO289">
            <v>-3563.6424016366764</v>
          </cell>
        </row>
        <row r="291">
          <cell r="B291" t="str">
            <v>Budget 2021</v>
          </cell>
          <cell r="C291" t="str">
            <v>Pièces</v>
          </cell>
        </row>
        <row r="293">
          <cell r="B293" t="str">
            <v>Mois</v>
          </cell>
          <cell r="C293">
            <v>2021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B295" t="str">
            <v>Pièces Ro Clients</v>
          </cell>
          <cell r="C295">
            <v>839399.62145110429</v>
          </cell>
          <cell r="D295">
            <v>0.3581271756476892</v>
          </cell>
          <cell r="E295">
            <v>300611.81567002344</v>
          </cell>
          <cell r="F295">
            <v>56558.019542723647</v>
          </cell>
          <cell r="G295">
            <v>0.35812717564768926</v>
          </cell>
          <cell r="H295">
            <v>20254.963799062432</v>
          </cell>
          <cell r="I295">
            <v>59119.003061909214</v>
          </cell>
          <cell r="J295">
            <v>0.35812717564768926</v>
          </cell>
          <cell r="K295">
            <v>21172.121593668639</v>
          </cell>
          <cell r="L295">
            <v>59152.790459572665</v>
          </cell>
          <cell r="M295">
            <v>0.35812717564768926</v>
          </cell>
          <cell r="N295">
            <v>21184.221778966337</v>
          </cell>
          <cell r="O295">
            <v>96873.973274683376</v>
          </cell>
          <cell r="P295">
            <v>0.35812717564768926</v>
          </cell>
          <cell r="Q295">
            <v>34693.202442632086</v>
          </cell>
          <cell r="R295">
            <v>79286.904101341468</v>
          </cell>
          <cell r="S295">
            <v>0.35812717564768926</v>
          </cell>
          <cell r="T295">
            <v>28394.795031662608</v>
          </cell>
          <cell r="U295">
            <v>61003.734554113929</v>
          </cell>
          <cell r="V295">
            <v>0.35812717564768926</v>
          </cell>
          <cell r="W295">
            <v>21847.095159826171</v>
          </cell>
          <cell r="X295">
            <v>60661.32114266479</v>
          </cell>
          <cell r="Y295">
            <v>0.35812717564768926</v>
          </cell>
          <cell r="Z295">
            <v>21724.467611879998</v>
          </cell>
          <cell r="AA295">
            <v>76778.723065419894</v>
          </cell>
          <cell r="AB295">
            <v>0.35812717564768926</v>
          </cell>
          <cell r="AC295">
            <v>27496.547241254921</v>
          </cell>
          <cell r="AD295">
            <v>56840.064933360416</v>
          </cell>
          <cell r="AE295">
            <v>0.35812717564768926</v>
          </cell>
          <cell r="AF295">
            <v>20355.97191821563</v>
          </cell>
          <cell r="AG295">
            <v>71715.511887715809</v>
          </cell>
          <cell r="AH295">
            <v>0.35812717564768926</v>
          </cell>
          <cell r="AI295">
            <v>25683.273722475948</v>
          </cell>
          <cell r="AJ295">
            <v>106124.16805129041</v>
          </cell>
          <cell r="AK295">
            <v>0.3581271756476892</v>
          </cell>
          <cell r="AL295">
            <v>38005.948572169371</v>
          </cell>
          <cell r="AM295">
            <v>55285.407376308569</v>
          </cell>
          <cell r="AN295">
            <v>0.35812717564768926</v>
          </cell>
          <cell r="AO295">
            <v>19799.206798209314</v>
          </cell>
        </row>
        <row r="296">
          <cell r="A296" t="str">
            <v>PiècesPièces Ro Carrosserie</v>
          </cell>
          <cell r="B296" t="str">
            <v>Pièces Ro Carrosserie</v>
          </cell>
          <cell r="C296">
            <v>520841.6</v>
          </cell>
          <cell r="D296">
            <v>0.27367264200070929</v>
          </cell>
          <cell r="E296">
            <v>142540.09673587661</v>
          </cell>
          <cell r="F296">
            <v>52423.803994647475</v>
          </cell>
          <cell r="G296">
            <v>0.27367264200070923</v>
          </cell>
          <cell r="H296">
            <v>14346.960942942509</v>
          </cell>
          <cell r="I296">
            <v>49779.877688080589</v>
          </cell>
          <cell r="J296">
            <v>0.27367264200070923</v>
          </cell>
          <cell r="K296">
            <v>13623.390645369172</v>
          </cell>
          <cell r="L296">
            <v>43344.181100867499</v>
          </cell>
          <cell r="M296">
            <v>0.27367264200070923</v>
          </cell>
          <cell r="N296">
            <v>11862.116557231619</v>
          </cell>
          <cell r="O296">
            <v>34350.507933775058</v>
          </cell>
          <cell r="P296">
            <v>0.27367264200070923</v>
          </cell>
          <cell r="Q296">
            <v>9400.794260302544</v>
          </cell>
          <cell r="R296">
            <v>45479.984691792146</v>
          </cell>
          <cell r="S296">
            <v>0.27367264200070923</v>
          </cell>
          <cell r="T296">
            <v>12446.627568754568</v>
          </cell>
          <cell r="U296">
            <v>37081.656491933565</v>
          </cell>
          <cell r="V296">
            <v>0.27367264200070923</v>
          </cell>
          <cell r="W296">
            <v>10148.234901910209</v>
          </cell>
          <cell r="X296">
            <v>56981.848119371069</v>
          </cell>
          <cell r="Y296">
            <v>0.27367264200070923</v>
          </cell>
          <cell r="Z296">
            <v>15594.372920911424</v>
          </cell>
          <cell r="AA296">
            <v>36415.224001468006</v>
          </cell>
          <cell r="AB296">
            <v>0.27367264200070923</v>
          </cell>
          <cell r="AC296">
            <v>9965.8505615293889</v>
          </cell>
          <cell r="AD296">
            <v>33745.96065581825</v>
          </cell>
          <cell r="AE296">
            <v>0.27367264200070923</v>
          </cell>
          <cell r="AF296">
            <v>9235.3462095297673</v>
          </cell>
          <cell r="AG296">
            <v>41911.357513050338</v>
          </cell>
          <cell r="AH296">
            <v>0.27367264200070923</v>
          </cell>
          <cell r="AI296">
            <v>11469.991940432761</v>
          </cell>
          <cell r="AJ296">
            <v>53003.994339095931</v>
          </cell>
          <cell r="AK296">
            <v>0.27367264200070923</v>
          </cell>
          <cell r="AL296">
            <v>14505.74316737102</v>
          </cell>
          <cell r="AM296">
            <v>36323.203470100096</v>
          </cell>
          <cell r="AN296">
            <v>0.27367264200070923</v>
          </cell>
          <cell r="AO296">
            <v>9940.6670595916221</v>
          </cell>
        </row>
        <row r="297">
          <cell r="A297" t="str">
            <v>PiècesP/A Garantie</v>
          </cell>
          <cell r="B297" t="str">
            <v>P/A Garantie</v>
          </cell>
          <cell r="C297">
            <v>998025.74887076544</v>
          </cell>
          <cell r="D297">
            <v>0.23983607715678654</v>
          </cell>
          <cell r="E297">
            <v>239362.58051062856</v>
          </cell>
          <cell r="F297">
            <v>72277.206868378125</v>
          </cell>
          <cell r="G297">
            <v>0.23983607715678656</v>
          </cell>
          <cell r="H297">
            <v>17334.681763161359</v>
          </cell>
          <cell r="I297">
            <v>86359.142361086677</v>
          </cell>
          <cell r="J297">
            <v>0.23983607715678654</v>
          </cell>
          <cell r="K297">
            <v>20712.037930507497</v>
          </cell>
          <cell r="L297">
            <v>73637.814532344011</v>
          </cell>
          <cell r="M297">
            <v>0.23983607715678656</v>
          </cell>
          <cell r="N297">
            <v>17661.004567836397</v>
          </cell>
          <cell r="O297">
            <v>54593.585542272544</v>
          </cell>
          <cell r="P297">
            <v>0.23983607715678654</v>
          </cell>
          <cell r="Q297">
            <v>13093.511394382103</v>
          </cell>
          <cell r="R297">
            <v>87434.073358148133</v>
          </cell>
          <cell r="S297">
            <v>0.23983607715678656</v>
          </cell>
          <cell r="T297">
            <v>20969.845164056951</v>
          </cell>
          <cell r="U297">
            <v>83010.273455644725</v>
          </cell>
          <cell r="V297">
            <v>0.23983607715678651</v>
          </cell>
          <cell r="W297">
            <v>19908.858349313956</v>
          </cell>
          <cell r="X297">
            <v>93288.902236146867</v>
          </cell>
          <cell r="Y297">
            <v>0.23983607715678654</v>
          </cell>
          <cell r="Z297">
            <v>22374.044354580437</v>
          </cell>
          <cell r="AA297">
            <v>128595.36795157875</v>
          </cell>
          <cell r="AB297">
            <v>0.23983607715678654</v>
          </cell>
          <cell r="AC297">
            <v>30841.808590040197</v>
          </cell>
          <cell r="AD297">
            <v>102558.26618351226</v>
          </cell>
          <cell r="AE297">
            <v>0.23983607715678654</v>
          </cell>
          <cell r="AF297">
            <v>24597.172241455097</v>
          </cell>
          <cell r="AG297">
            <v>81400.524187672578</v>
          </cell>
          <cell r="AH297">
            <v>0.23983607715678651</v>
          </cell>
          <cell r="AI297">
            <v>19522.782399677508</v>
          </cell>
          <cell r="AJ297">
            <v>60828.735665644577</v>
          </cell>
          <cell r="AK297">
            <v>0.23983607715678654</v>
          </cell>
          <cell r="AL297">
            <v>14588.925340455306</v>
          </cell>
          <cell r="AM297">
            <v>74041.85652833608</v>
          </cell>
          <cell r="AN297">
            <v>0.23983607715678654</v>
          </cell>
          <cell r="AO297">
            <v>17757.908415161732</v>
          </cell>
        </row>
        <row r="298">
          <cell r="A298" t="str">
            <v>PiècesVentes Internes</v>
          </cell>
          <cell r="B298" t="str">
            <v>Ventes Internes</v>
          </cell>
          <cell r="C298">
            <v>638502.68709159084</v>
          </cell>
          <cell r="D298">
            <v>0.32994466198333777</v>
          </cell>
          <cell r="E298">
            <v>210670.55326788782</v>
          </cell>
          <cell r="F298">
            <v>41032.786125816012</v>
          </cell>
          <cell r="G298">
            <v>0.32994466198333777</v>
          </cell>
          <cell r="H298">
            <v>13538.548748516956</v>
          </cell>
          <cell r="I298">
            <v>38929.913805087061</v>
          </cell>
          <cell r="J298">
            <v>0.32994466198333777</v>
          </cell>
          <cell r="K298">
            <v>12844.717251459924</v>
          </cell>
          <cell r="L298">
            <v>39856.178455491056</v>
          </cell>
          <cell r="M298">
            <v>0.32994466198333777</v>
          </cell>
          <cell r="N298">
            <v>13150.333328444585</v>
          </cell>
          <cell r="O298">
            <v>46239.681459358391</v>
          </cell>
          <cell r="P298">
            <v>0.32994466198333777</v>
          </cell>
          <cell r="Q298">
            <v>15256.536069325215</v>
          </cell>
          <cell r="R298">
            <v>69067.162508301903</v>
          </cell>
          <cell r="S298">
            <v>0.32994466198333777</v>
          </cell>
          <cell r="T298">
            <v>22788.34158794993</v>
          </cell>
          <cell r="U298">
            <v>58798.338788738147</v>
          </cell>
          <cell r="V298">
            <v>0.32994466198333777</v>
          </cell>
          <cell r="W298">
            <v>19400.198016831986</v>
          </cell>
          <cell r="X298">
            <v>55737.793221153479</v>
          </cell>
          <cell r="Y298">
            <v>0.32994466198333777</v>
          </cell>
          <cell r="Z298">
            <v>18390.387344050661</v>
          </cell>
          <cell r="AA298">
            <v>63123.239019784436</v>
          </cell>
          <cell r="AB298">
            <v>0.32994466198333772</v>
          </cell>
          <cell r="AC298">
            <v>20827.175761676212</v>
          </cell>
          <cell r="AD298">
            <v>55883.798129063332</v>
          </cell>
          <cell r="AE298">
            <v>0.32994466198333777</v>
          </cell>
          <cell r="AF298">
            <v>18438.560884038885</v>
          </cell>
          <cell r="AG298">
            <v>75198.436561639828</v>
          </cell>
          <cell r="AH298">
            <v>0.32994466198333777</v>
          </cell>
          <cell r="AI298">
            <v>24811.322733005723</v>
          </cell>
          <cell r="AJ298">
            <v>60582.203881613321</v>
          </cell>
          <cell r="AK298">
            <v>0.32994466198333777</v>
          </cell>
          <cell r="AL298">
            <v>19988.77478192456</v>
          </cell>
          <cell r="AM298">
            <v>34053.155135543893</v>
          </cell>
          <cell r="AN298">
            <v>0.32994466198333777</v>
          </cell>
          <cell r="AO298">
            <v>11235.656760663192</v>
          </cell>
        </row>
        <row r="299">
          <cell r="A299" t="str">
            <v>PiècesVentes Détails</v>
          </cell>
          <cell r="B299" t="str">
            <v>Ventes Détails</v>
          </cell>
          <cell r="C299">
            <v>160000</v>
          </cell>
          <cell r="D299">
            <v>0.29678579936093841</v>
          </cell>
          <cell r="E299">
            <v>47485.727897750141</v>
          </cell>
          <cell r="F299">
            <v>11548.272056930771</v>
          </cell>
          <cell r="G299">
            <v>0.29678579936093841</v>
          </cell>
          <cell r="H299">
            <v>3427.3631536537873</v>
          </cell>
          <cell r="I299">
            <v>8846.8791380232742</v>
          </cell>
          <cell r="J299">
            <v>0.29678579936093841</v>
          </cell>
          <cell r="K299">
            <v>2625.628096827847</v>
          </cell>
          <cell r="L299">
            <v>9578.1763980452179</v>
          </cell>
          <cell r="M299">
            <v>0.29678579936093841</v>
          </cell>
          <cell r="N299">
            <v>2842.6667387139237</v>
          </cell>
          <cell r="O299">
            <v>12511.403821668857</v>
          </cell>
          <cell r="P299">
            <v>0.29678579936093841</v>
          </cell>
          <cell r="Q299">
            <v>3713.2069843414915</v>
          </cell>
          <cell r="R299">
            <v>14856.011564380127</v>
          </cell>
          <cell r="S299">
            <v>0.29678579936093841</v>
          </cell>
          <cell r="T299">
            <v>4409.0532674499009</v>
          </cell>
          <cell r="U299">
            <v>12283.166558827203</v>
          </cell>
          <cell r="V299">
            <v>0.29678579936093841</v>
          </cell>
          <cell r="W299">
            <v>3645.4694058450782</v>
          </cell>
          <cell r="X299">
            <v>14844.440786534014</v>
          </cell>
          <cell r="Y299">
            <v>0.29678579936093841</v>
          </cell>
          <cell r="Z299">
            <v>4405.6192248976149</v>
          </cell>
          <cell r="AA299">
            <v>13537.756635942922</v>
          </cell>
          <cell r="AB299">
            <v>0.29678579936093841</v>
          </cell>
          <cell r="AC299">
            <v>4017.8139247521685</v>
          </cell>
          <cell r="AD299">
            <v>10057.82321221679</v>
          </cell>
          <cell r="AE299">
            <v>0.29678579936093841</v>
          </cell>
          <cell r="AF299">
            <v>2985.0191018687615</v>
          </cell>
          <cell r="AG299">
            <v>17322.289240608017</v>
          </cell>
          <cell r="AH299">
            <v>0.29678579936093841</v>
          </cell>
          <cell r="AI299">
            <v>5141.0094590352328</v>
          </cell>
          <cell r="AJ299">
            <v>22510.112996751133</v>
          </cell>
          <cell r="AK299">
            <v>0.29678579936093841</v>
          </cell>
          <cell r="AL299">
            <v>6680.6818794458341</v>
          </cell>
          <cell r="AM299">
            <v>12103.667590071675</v>
          </cell>
          <cell r="AN299">
            <v>0.29678579936093841</v>
          </cell>
          <cell r="AO299">
            <v>3592.1966609185047</v>
          </cell>
        </row>
        <row r="300">
          <cell r="A300" t="str">
            <v>PiècesVentes de Gros</v>
          </cell>
          <cell r="B300" t="str">
            <v>Ventes de Gros</v>
          </cell>
          <cell r="C300">
            <v>628443.9</v>
          </cell>
          <cell r="D300">
            <v>0.19081606757663094</v>
          </cell>
          <cell r="E300">
            <v>119917.1936905215</v>
          </cell>
          <cell r="F300">
            <v>59510.634595705029</v>
          </cell>
          <cell r="G300">
            <v>0.19081606757663094</v>
          </cell>
          <cell r="H300">
            <v>11355.585272542243</v>
          </cell>
          <cell r="I300">
            <v>56324.520110096171</v>
          </cell>
          <cell r="J300">
            <v>0.19081606757663094</v>
          </cell>
          <cell r="K300">
            <v>10747.62343554942</v>
          </cell>
          <cell r="L300">
            <v>57358.521558253393</v>
          </cell>
          <cell r="M300">
            <v>0.19081606757663094</v>
          </cell>
          <cell r="N300">
            <v>10944.927525755322</v>
          </cell>
          <cell r="O300">
            <v>43358.307457594434</v>
          </cell>
          <cell r="P300">
            <v>0.19081606757663097</v>
          </cell>
          <cell r="Q300">
            <v>8273.4617258366816</v>
          </cell>
          <cell r="R300">
            <v>54567.944395506944</v>
          </cell>
          <cell r="S300">
            <v>0.19081606757663097</v>
          </cell>
          <cell r="T300">
            <v>10412.440565290894</v>
          </cell>
          <cell r="U300">
            <v>54161.758987495748</v>
          </cell>
          <cell r="V300">
            <v>0.19081606757663094</v>
          </cell>
          <cell r="W300">
            <v>10334.933863027187</v>
          </cell>
          <cell r="X300">
            <v>51653.179368916273</v>
          </cell>
          <cell r="Y300">
            <v>0.19081606757663094</v>
          </cell>
          <cell r="Z300">
            <v>9856.2565650069664</v>
          </cell>
          <cell r="AA300">
            <v>42942.062858260448</v>
          </cell>
          <cell r="AB300">
            <v>0.19081606757663094</v>
          </cell>
          <cell r="AC300">
            <v>8194.0355682417594</v>
          </cell>
          <cell r="AD300">
            <v>50401.259647053143</v>
          </cell>
          <cell r="AE300">
            <v>0.19081606757663094</v>
          </cell>
          <cell r="AF300">
            <v>9617.3701667594141</v>
          </cell>
          <cell r="AG300">
            <v>53940.227900699661</v>
          </cell>
          <cell r="AH300">
            <v>0.19081606757663097</v>
          </cell>
          <cell r="AI300">
            <v>10292.662172198781</v>
          </cell>
          <cell r="AJ300">
            <v>55523.666682395837</v>
          </cell>
          <cell r="AK300">
            <v>0.19081606757663094</v>
          </cell>
          <cell r="AL300">
            <v>10594.807733770376</v>
          </cell>
          <cell r="AM300">
            <v>48701.81643802295</v>
          </cell>
          <cell r="AN300">
            <v>0.19081606757663094</v>
          </cell>
          <cell r="AO300">
            <v>9293.0890965424624</v>
          </cell>
        </row>
        <row r="301">
          <cell r="A301" t="str">
            <v>Pièces[...]</v>
          </cell>
          <cell r="B301" t="str">
            <v>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B302" t="str">
            <v>Escomptes</v>
          </cell>
          <cell r="C302">
            <v>0</v>
          </cell>
          <cell r="D302">
            <v>0</v>
          </cell>
          <cell r="E302">
            <v>120000.00000000001</v>
          </cell>
          <cell r="G302">
            <v>0</v>
          </cell>
          <cell r="H302">
            <v>9299.8945100890614</v>
          </cell>
          <cell r="J302">
            <v>0</v>
          </cell>
          <cell r="K302">
            <v>9490.3813998439782</v>
          </cell>
          <cell r="M302">
            <v>0</v>
          </cell>
          <cell r="N302">
            <v>8969.4594467607076</v>
          </cell>
          <cell r="P302">
            <v>0</v>
          </cell>
          <cell r="Q302">
            <v>9127.9645427277192</v>
          </cell>
          <cell r="S302">
            <v>0</v>
          </cell>
          <cell r="T302">
            <v>11117.747793097567</v>
          </cell>
          <cell r="V302">
            <v>0</v>
          </cell>
          <cell r="W302">
            <v>9711.6505853186191</v>
          </cell>
          <cell r="Y302">
            <v>0</v>
          </cell>
          <cell r="Z302">
            <v>10562.177689201206</v>
          </cell>
          <cell r="AB302">
            <v>0</v>
          </cell>
          <cell r="AC302">
            <v>11456.971757632731</v>
          </cell>
          <cell r="AE302">
            <v>0</v>
          </cell>
          <cell r="AF302">
            <v>9811.4571788389731</v>
          </cell>
          <cell r="AH302">
            <v>0</v>
          </cell>
          <cell r="AI302">
            <v>10825.96821907405</v>
          </cell>
          <cell r="AK302">
            <v>0</v>
          </cell>
          <cell r="AL302">
            <v>11367.587361020038</v>
          </cell>
          <cell r="AN302">
            <v>0</v>
          </cell>
          <cell r="AO302">
            <v>8258.7395163953588</v>
          </cell>
        </row>
        <row r="303">
          <cell r="A303" t="str">
            <v>PiècesRectif. Inventaire</v>
          </cell>
          <cell r="B303" t="str">
            <v>Rectif. Inventaire</v>
          </cell>
          <cell r="C303">
            <v>0</v>
          </cell>
          <cell r="D303">
            <v>0</v>
          </cell>
          <cell r="E303">
            <v>1200</v>
          </cell>
          <cell r="G303">
            <v>0</v>
          </cell>
          <cell r="H303">
            <v>100</v>
          </cell>
          <cell r="J303">
            <v>0</v>
          </cell>
          <cell r="K303">
            <v>100</v>
          </cell>
          <cell r="M303">
            <v>0</v>
          </cell>
          <cell r="N303">
            <v>100</v>
          </cell>
          <cell r="P303">
            <v>0</v>
          </cell>
          <cell r="Q303">
            <v>100</v>
          </cell>
          <cell r="S303">
            <v>0</v>
          </cell>
          <cell r="T303">
            <v>100</v>
          </cell>
          <cell r="V303">
            <v>0</v>
          </cell>
          <cell r="W303">
            <v>100</v>
          </cell>
          <cell r="Y303">
            <v>0</v>
          </cell>
          <cell r="Z303">
            <v>100</v>
          </cell>
          <cell r="AB303">
            <v>0</v>
          </cell>
          <cell r="AC303">
            <v>100</v>
          </cell>
          <cell r="AE303">
            <v>0</v>
          </cell>
          <cell r="AF303">
            <v>100</v>
          </cell>
          <cell r="AH303">
            <v>0</v>
          </cell>
          <cell r="AI303">
            <v>100</v>
          </cell>
          <cell r="AK303">
            <v>0</v>
          </cell>
          <cell r="AL303">
            <v>100</v>
          </cell>
          <cell r="AN303">
            <v>0</v>
          </cell>
          <cell r="AO303">
            <v>100</v>
          </cell>
        </row>
        <row r="304">
          <cell r="A304" t="str">
            <v>PiècesSous-total Pièces</v>
          </cell>
          <cell r="B304" t="str">
            <v>Sous-total Pièces</v>
          </cell>
          <cell r="C304">
            <v>3785213.5574134602</v>
          </cell>
          <cell r="D304">
            <v>0.31221170215300509</v>
          </cell>
          <cell r="E304">
            <v>1181787.967772688</v>
          </cell>
          <cell r="F304">
            <v>293350.72318420105</v>
          </cell>
          <cell r="G304">
            <v>0.30563414746951284</v>
          </cell>
          <cell r="H304">
            <v>89657.998189968348</v>
          </cell>
          <cell r="I304">
            <v>299359.33616428298</v>
          </cell>
          <cell r="J304">
            <v>0.305037756708259</v>
          </cell>
          <cell r="K304">
            <v>91315.900353226476</v>
          </cell>
          <cell r="L304">
            <v>282927.66250457388</v>
          </cell>
          <cell r="M304">
            <v>0.30649081527087174</v>
          </cell>
          <cell r="N304">
            <v>86714.729943708895</v>
          </cell>
          <cell r="O304">
            <v>287927.45948935265</v>
          </cell>
          <cell r="P304">
            <v>0.32528567294572774</v>
          </cell>
          <cell r="Q304">
            <v>93658.677419547836</v>
          </cell>
          <cell r="R304">
            <v>350692.08061947074</v>
          </cell>
          <cell r="S304">
            <v>0.31548716692668782</v>
          </cell>
          <cell r="T304">
            <v>110638.85097826243</v>
          </cell>
          <cell r="U304">
            <v>306338.92883675336</v>
          </cell>
          <cell r="V304">
            <v>0.31042884638651219</v>
          </cell>
          <cell r="W304">
            <v>95096.440282073207</v>
          </cell>
          <cell r="X304">
            <v>333167.48487478646</v>
          </cell>
          <cell r="Y304">
            <v>0.30917580612418194</v>
          </cell>
          <cell r="Z304">
            <v>103007.3257105283</v>
          </cell>
          <cell r="AA304">
            <v>361392.37353245443</v>
          </cell>
          <cell r="AB304">
            <v>0.31240339219551494</v>
          </cell>
          <cell r="AC304">
            <v>112900.20340512739</v>
          </cell>
          <cell r="AD304">
            <v>309487.17276102421</v>
          </cell>
          <cell r="AE304">
            <v>0.30741467199408357</v>
          </cell>
          <cell r="AF304">
            <v>95140.897700706526</v>
          </cell>
          <cell r="AG304">
            <v>341488.34729138622</v>
          </cell>
          <cell r="AH304">
            <v>0.31581461417737916</v>
          </cell>
          <cell r="AI304">
            <v>107847.01064590001</v>
          </cell>
          <cell r="AJ304">
            <v>358572.88161679124</v>
          </cell>
          <cell r="AK304">
            <v>0.32303744866001122</v>
          </cell>
          <cell r="AL304">
            <v>115832.46883615649</v>
          </cell>
          <cell r="AM304">
            <v>260509.10653838329</v>
          </cell>
          <cell r="AN304">
            <v>0.3070044858324304</v>
          </cell>
          <cell r="AO304">
            <v>79977.464307482194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B307" t="str">
            <v>Ventes Pneus</v>
          </cell>
          <cell r="C307">
            <v>487093</v>
          </cell>
          <cell r="D307">
            <v>0.19500000000000001</v>
          </cell>
          <cell r="E307">
            <v>94983.135000000009</v>
          </cell>
          <cell r="F307">
            <v>44733.070931018294</v>
          </cell>
          <cell r="G307">
            <v>0.19499999999999998</v>
          </cell>
          <cell r="H307">
            <v>8722.9488315485669</v>
          </cell>
          <cell r="I307">
            <v>39790.081769045617</v>
          </cell>
          <cell r="J307">
            <v>0.19500000000000001</v>
          </cell>
          <cell r="K307">
            <v>7759.0659449638952</v>
          </cell>
          <cell r="L307">
            <v>26460.109588023632</v>
          </cell>
          <cell r="M307">
            <v>0.19500000000000001</v>
          </cell>
          <cell r="N307">
            <v>5159.7213696646086</v>
          </cell>
          <cell r="O307">
            <v>24486.258868781351</v>
          </cell>
          <cell r="P307">
            <v>0.19500000000000001</v>
          </cell>
          <cell r="Q307">
            <v>4774.820479412364</v>
          </cell>
          <cell r="R307">
            <v>39747.724268615071</v>
          </cell>
          <cell r="S307">
            <v>0.19500000000000001</v>
          </cell>
          <cell r="T307">
            <v>7750.8062323799395</v>
          </cell>
          <cell r="U307">
            <v>22830.049108010149</v>
          </cell>
          <cell r="V307">
            <v>0.19500000000000001</v>
          </cell>
          <cell r="W307">
            <v>4451.8595760619792</v>
          </cell>
          <cell r="X307">
            <v>18211.2175369998</v>
          </cell>
          <cell r="Y307">
            <v>0.19500000000000001</v>
          </cell>
          <cell r="Z307">
            <v>3551.1874197149614</v>
          </cell>
          <cell r="AA307">
            <v>28062.427708201438</v>
          </cell>
          <cell r="AB307">
            <v>0.19500000000000001</v>
          </cell>
          <cell r="AC307">
            <v>5472.1734030992802</v>
          </cell>
          <cell r="AD307">
            <v>33836.988060425458</v>
          </cell>
          <cell r="AE307">
            <v>0.19500000000000001</v>
          </cell>
          <cell r="AF307">
            <v>6598.2126717829642</v>
          </cell>
          <cell r="AG307">
            <v>77297.34137505063</v>
          </cell>
          <cell r="AH307">
            <v>0.19500000000000001</v>
          </cell>
          <cell r="AI307">
            <v>15072.981568134874</v>
          </cell>
          <cell r="AJ307">
            <v>100395.72511645118</v>
          </cell>
          <cell r="AK307">
            <v>0.19500000000000001</v>
          </cell>
          <cell r="AL307">
            <v>19577.166397707981</v>
          </cell>
          <cell r="AM307">
            <v>31242.005669377369</v>
          </cell>
          <cell r="AN307">
            <v>0.19500000000000001</v>
          </cell>
          <cell r="AO307">
            <v>6092.1911055285873</v>
          </cell>
        </row>
        <row r="308">
          <cell r="A308" t="str">
            <v>PiècesHuiles et Graisse</v>
          </cell>
          <cell r="B308" t="str">
            <v>Huiles et Graisse</v>
          </cell>
          <cell r="C308">
            <v>228340</v>
          </cell>
          <cell r="D308">
            <v>0.30006987567403653</v>
          </cell>
          <cell r="E308">
            <v>68517.955411409508</v>
          </cell>
          <cell r="F308">
            <v>13115.788065400957</v>
          </cell>
          <cell r="G308">
            <v>0.30006987567403659</v>
          </cell>
          <cell r="H308">
            <v>3935.6528941518782</v>
          </cell>
          <cell r="I308">
            <v>13802.65360619588</v>
          </cell>
          <cell r="J308">
            <v>0.30006987567403659</v>
          </cell>
          <cell r="K308">
            <v>4141.76055158299</v>
          </cell>
          <cell r="L308">
            <v>15129.102968859246</v>
          </cell>
          <cell r="M308">
            <v>0.30006987567403665</v>
          </cell>
          <cell r="N308">
            <v>4539.7880469252923</v>
          </cell>
          <cell r="O308">
            <v>22448.181251008446</v>
          </cell>
          <cell r="P308">
            <v>0.30006987567403659</v>
          </cell>
          <cell r="Q308">
            <v>6736.0229570983438</v>
          </cell>
          <cell r="R308">
            <v>22742.311918463936</v>
          </cell>
          <cell r="S308">
            <v>0.30006987567403659</v>
          </cell>
          <cell r="T308">
            <v>6824.2827099136339</v>
          </cell>
          <cell r="U308">
            <v>19208.182918302584</v>
          </cell>
          <cell r="V308">
            <v>0.30006987567403659</v>
          </cell>
          <cell r="W308">
            <v>5763.7970602192099</v>
          </cell>
          <cell r="X308">
            <v>18914.808314957238</v>
          </cell>
          <cell r="Y308">
            <v>0.30006987567403659</v>
          </cell>
          <cell r="Z308">
            <v>5675.7641794674519</v>
          </cell>
          <cell r="AA308">
            <v>18848.193513687947</v>
          </cell>
          <cell r="AB308">
            <v>0.30006987567403659</v>
          </cell>
          <cell r="AC308">
            <v>5655.7750843325257</v>
          </cell>
          <cell r="AD308">
            <v>15947.179207228528</v>
          </cell>
          <cell r="AE308">
            <v>0.30006987567403659</v>
          </cell>
          <cell r="AF308">
            <v>4785.2680820646456</v>
          </cell>
          <cell r="AG308">
            <v>23518.210778249882</v>
          </cell>
          <cell r="AH308">
            <v>0.30006987567403659</v>
          </cell>
          <cell r="AI308">
            <v>7057.1065843052293</v>
          </cell>
          <cell r="AJ308">
            <v>30363.710401764107</v>
          </cell>
          <cell r="AK308">
            <v>0.30006987567403659</v>
          </cell>
          <cell r="AL308">
            <v>9111.2348052598063</v>
          </cell>
          <cell r="AM308">
            <v>14301.677055881244</v>
          </cell>
          <cell r="AN308">
            <v>0.30006987567403659</v>
          </cell>
          <cell r="AO308">
            <v>4291.5024560885067</v>
          </cell>
        </row>
        <row r="309">
          <cell r="A309" t="str">
            <v>PiècesSous-total Pièces et Acc.</v>
          </cell>
          <cell r="B309" t="str">
            <v>Sous-total Pièces et Acc.</v>
          </cell>
          <cell r="C309">
            <v>4500646.5574134607</v>
          </cell>
          <cell r="D309">
            <v>0.29891017679851767</v>
          </cell>
          <cell r="E309">
            <v>1345289.0581840975</v>
          </cell>
          <cell r="F309">
            <v>351199.58218062029</v>
          </cell>
          <cell r="G309">
            <v>0.291334628818117</v>
          </cell>
          <cell r="H309">
            <v>102316.59991566879</v>
          </cell>
          <cell r="I309">
            <v>352952.07153952448</v>
          </cell>
          <cell r="J309">
            <v>0.29243836535526579</v>
          </cell>
          <cell r="K309">
            <v>103216.72684977336</v>
          </cell>
          <cell r="L309">
            <v>324516.87506145675</v>
          </cell>
          <cell r="M309">
            <v>0.29710084981571433</v>
          </cell>
          <cell r="N309">
            <v>96414.239360298787</v>
          </cell>
          <cell r="O309">
            <v>334861.89960914245</v>
          </cell>
          <cell r="P309">
            <v>0.31406833975084814</v>
          </cell>
          <cell r="Q309">
            <v>105169.52085605855</v>
          </cell>
          <cell r="R309">
            <v>413182.11680654972</v>
          </cell>
          <cell r="S309">
            <v>0.30304782038565498</v>
          </cell>
          <cell r="T309">
            <v>125213.939920556</v>
          </cell>
          <cell r="U309">
            <v>348377.16086306609</v>
          </cell>
          <cell r="V309">
            <v>0.30229334396507296</v>
          </cell>
          <cell r="W309">
            <v>105312.09691835439</v>
          </cell>
          <cell r="X309">
            <v>370293.51072674349</v>
          </cell>
          <cell r="Y309">
            <v>0.30309544741801731</v>
          </cell>
          <cell r="Z309">
            <v>112234.27730971071</v>
          </cell>
          <cell r="AA309">
            <v>408302.99475434382</v>
          </cell>
          <cell r="AB309">
            <v>0.3037649820990927</v>
          </cell>
          <cell r="AC309">
            <v>124028.1518925592</v>
          </cell>
          <cell r="AD309">
            <v>359271.34002867818</v>
          </cell>
          <cell r="AE309">
            <v>0.29650118611200943</v>
          </cell>
          <cell r="AF309">
            <v>106524.37845455414</v>
          </cell>
          <cell r="AG309">
            <v>442303.89944468671</v>
          </cell>
          <cell r="AH309">
            <v>0.29386378677991892</v>
          </cell>
          <cell r="AI309">
            <v>129977.09879834011</v>
          </cell>
          <cell r="AJ309">
            <v>489332.31713500648</v>
          </cell>
          <cell r="AK309">
            <v>0.29534299080281479</v>
          </cell>
          <cell r="AL309">
            <v>144520.87003912427</v>
          </cell>
          <cell r="AM309">
            <v>306052.78926364193</v>
          </cell>
          <cell r="AN309">
            <v>0.29524696731732714</v>
          </cell>
          <cell r="AO309">
            <v>90361.15786909929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B312" t="str">
            <v>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B314" t="str">
            <v>Total Dépt. Pièces</v>
          </cell>
          <cell r="C314">
            <v>4500646.5574134607</v>
          </cell>
          <cell r="D314">
            <v>0.29891017679851767</v>
          </cell>
          <cell r="E314">
            <v>1345289.0581840975</v>
          </cell>
          <cell r="F314">
            <v>351199.58218062029</v>
          </cell>
          <cell r="G314">
            <v>0.291334628818117</v>
          </cell>
          <cell r="H314">
            <v>102316.59991566879</v>
          </cell>
          <cell r="I314">
            <v>352952.07153952448</v>
          </cell>
          <cell r="J314">
            <v>0.29243836535526579</v>
          </cell>
          <cell r="K314">
            <v>103216.72684977336</v>
          </cell>
          <cell r="L314">
            <v>324516.87506145675</v>
          </cell>
          <cell r="M314">
            <v>0.29710084981571433</v>
          </cell>
          <cell r="N314">
            <v>96414.239360298787</v>
          </cell>
          <cell r="O314">
            <v>334861.89960914245</v>
          </cell>
          <cell r="P314">
            <v>0.31406833975084814</v>
          </cell>
          <cell r="Q314">
            <v>105169.52085605855</v>
          </cell>
          <cell r="R314">
            <v>413182.11680654972</v>
          </cell>
          <cell r="S314">
            <v>0.30304782038565498</v>
          </cell>
          <cell r="T314">
            <v>125213.939920556</v>
          </cell>
          <cell r="U314">
            <v>348377.16086306609</v>
          </cell>
          <cell r="V314">
            <v>0.30229334396507296</v>
          </cell>
          <cell r="W314">
            <v>105312.09691835439</v>
          </cell>
          <cell r="X314">
            <v>370293.51072674349</v>
          </cell>
          <cell r="Y314">
            <v>0.30309544741801731</v>
          </cell>
          <cell r="Z314">
            <v>112234.27730971071</v>
          </cell>
          <cell r="AA314">
            <v>408302.99475434382</v>
          </cell>
          <cell r="AB314">
            <v>0.3037649820990927</v>
          </cell>
          <cell r="AC314">
            <v>124028.1518925592</v>
          </cell>
          <cell r="AD314">
            <v>359271.34002867818</v>
          </cell>
          <cell r="AE314">
            <v>0.29650118611200943</v>
          </cell>
          <cell r="AF314">
            <v>106524.37845455414</v>
          </cell>
          <cell r="AG314">
            <v>442303.89944468671</v>
          </cell>
          <cell r="AH314">
            <v>0.29386378677991892</v>
          </cell>
          <cell r="AI314">
            <v>129977.09879834011</v>
          </cell>
          <cell r="AJ314">
            <v>489332.31713500648</v>
          </cell>
          <cell r="AK314">
            <v>0.29534299080281479</v>
          </cell>
          <cell r="AL314">
            <v>144520.87003912427</v>
          </cell>
          <cell r="AM314">
            <v>306052.78926364193</v>
          </cell>
          <cell r="AN314">
            <v>0.29524696731732714</v>
          </cell>
          <cell r="AO314">
            <v>90361.15786909929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  <cell r="B317" t="str">
            <v>DEPENSES</v>
          </cell>
        </row>
        <row r="318">
          <cell r="A318" t="str">
            <v>PiècesSalaires cadres</v>
          </cell>
          <cell r="B318" t="str">
            <v>Salaires cadres</v>
          </cell>
          <cell r="E318">
            <v>110586.87940728868</v>
          </cell>
          <cell r="H318">
            <v>8924.8553069292284</v>
          </cell>
          <cell r="K318">
            <v>8537.2313375805697</v>
          </cell>
          <cell r="N318">
            <v>9700.1032456265475</v>
          </cell>
          <cell r="Q318">
            <v>8924.8553069292284</v>
          </cell>
          <cell r="T318">
            <v>9312.4792762778889</v>
          </cell>
          <cell r="W318">
            <v>9312.4792762778889</v>
          </cell>
          <cell r="Z318">
            <v>9312.4792762778889</v>
          </cell>
          <cell r="AC318">
            <v>9312.4792762778889</v>
          </cell>
          <cell r="AF318">
            <v>9312.4792762778889</v>
          </cell>
          <cell r="AI318">
            <v>8924.8553069292284</v>
          </cell>
          <cell r="AL318">
            <v>9312.4792762778889</v>
          </cell>
          <cell r="AO318">
            <v>9700.1032456265475</v>
          </cell>
        </row>
        <row r="319">
          <cell r="A319" t="str">
            <v>PiècesSalaires commis</v>
          </cell>
          <cell r="B319" t="str">
            <v>Salaires commis</v>
          </cell>
          <cell r="E319">
            <v>52882.082847999998</v>
          </cell>
          <cell r="H319">
            <v>4254.8802291494258</v>
          </cell>
          <cell r="K319">
            <v>4052.2668849042147</v>
          </cell>
          <cell r="N319">
            <v>4660.1069176398478</v>
          </cell>
          <cell r="Q319">
            <v>4254.8802291494258</v>
          </cell>
          <cell r="T319">
            <v>4457.4935733946359</v>
          </cell>
          <cell r="W319">
            <v>4457.4935733946359</v>
          </cell>
          <cell r="Z319">
            <v>4457.4935733946359</v>
          </cell>
          <cell r="AC319">
            <v>4457.4935733946359</v>
          </cell>
          <cell r="AF319">
            <v>4457.4935733946359</v>
          </cell>
          <cell r="AI319">
            <v>4254.8802291494258</v>
          </cell>
          <cell r="AL319">
            <v>4457.4935733946359</v>
          </cell>
          <cell r="AO319">
            <v>4660.1069176398478</v>
          </cell>
        </row>
        <row r="320">
          <cell r="A320" t="str">
            <v>PiècesSalaires autres</v>
          </cell>
          <cell r="B320" t="str">
            <v>Salaires autres</v>
          </cell>
          <cell r="E320">
            <v>196540.96539519998</v>
          </cell>
          <cell r="H320">
            <v>15813.640893866666</v>
          </cell>
          <cell r="K320">
            <v>15060.610375111111</v>
          </cell>
          <cell r="N320">
            <v>17319.701931377778</v>
          </cell>
          <cell r="Q320">
            <v>15813.640893866666</v>
          </cell>
          <cell r="T320">
            <v>16566.671412622221</v>
          </cell>
          <cell r="W320">
            <v>16566.671412622221</v>
          </cell>
          <cell r="Z320">
            <v>16566.671412622221</v>
          </cell>
          <cell r="AC320">
            <v>16566.671412622221</v>
          </cell>
          <cell r="AF320">
            <v>16566.671412622221</v>
          </cell>
          <cell r="AI320">
            <v>15813.640893866666</v>
          </cell>
          <cell r="AL320">
            <v>16566.671412622221</v>
          </cell>
          <cell r="AO320">
            <v>17319.701931377778</v>
          </cell>
        </row>
        <row r="321">
          <cell r="A321" t="str">
            <v>PiècesSalaires spécialistes</v>
          </cell>
          <cell r="B321" t="str">
            <v>Salaires spécialistes</v>
          </cell>
          <cell r="E321">
            <v>0</v>
          </cell>
        </row>
        <row r="322">
          <cell r="A322" t="str">
            <v>Pièces[...]</v>
          </cell>
          <cell r="B322" t="str">
            <v>[...]</v>
          </cell>
          <cell r="E322">
            <v>0</v>
          </cell>
        </row>
        <row r="323">
          <cell r="A323" t="str">
            <v>Pièces[...]</v>
          </cell>
          <cell r="B323" t="str">
            <v>[...]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PiècesSalaires en absences</v>
          </cell>
          <cell r="B325" t="str">
            <v>Salaires en absences</v>
          </cell>
          <cell r="E325">
            <v>43201.191318058627</v>
          </cell>
          <cell r="H325">
            <v>3479.2051715934381</v>
          </cell>
          <cell r="K325">
            <v>3318.0130317115072</v>
          </cell>
          <cell r="N325">
            <v>3801.5894513573007</v>
          </cell>
          <cell r="Q325">
            <v>3479.2051715934381</v>
          </cell>
          <cell r="T325">
            <v>3640.3973114753694</v>
          </cell>
          <cell r="W325">
            <v>3640.3973114753694</v>
          </cell>
          <cell r="Z325">
            <v>3640.3973114753694</v>
          </cell>
          <cell r="AC325">
            <v>3640.3973114753694</v>
          </cell>
          <cell r="AF325">
            <v>3640.3973114753694</v>
          </cell>
          <cell r="AI325">
            <v>3479.2051715934381</v>
          </cell>
          <cell r="AL325">
            <v>3640.3973114753694</v>
          </cell>
          <cell r="AO325">
            <v>3801.5894513573007</v>
          </cell>
        </row>
        <row r="326">
          <cell r="A326" t="str">
            <v>PiècesDéduction à la source</v>
          </cell>
          <cell r="B326" t="str">
            <v>Déduction à la source</v>
          </cell>
          <cell r="E326">
            <v>43201.191318058627</v>
          </cell>
          <cell r="H326">
            <v>3479.2051715934381</v>
          </cell>
          <cell r="K326">
            <v>3318.0130317115072</v>
          </cell>
          <cell r="N326">
            <v>3801.5894513573007</v>
          </cell>
          <cell r="Q326">
            <v>3479.2051715934381</v>
          </cell>
          <cell r="T326">
            <v>3640.3973114753694</v>
          </cell>
          <cell r="W326">
            <v>3640.3973114753694</v>
          </cell>
          <cell r="Z326">
            <v>3640.3973114753694</v>
          </cell>
          <cell r="AC326">
            <v>3640.3973114753694</v>
          </cell>
          <cell r="AF326">
            <v>3640.3973114753694</v>
          </cell>
          <cell r="AI326">
            <v>3479.2051715934381</v>
          </cell>
          <cell r="AL326">
            <v>3640.3973114753694</v>
          </cell>
          <cell r="AO326">
            <v>3801.5894513573007</v>
          </cell>
        </row>
        <row r="327">
          <cell r="A327" t="str">
            <v>PiècesBénéfices marginaux</v>
          </cell>
          <cell r="B327" t="str">
            <v>Bénéfices marginaux</v>
          </cell>
          <cell r="E327">
            <v>30960.853777942026</v>
          </cell>
          <cell r="H327">
            <v>2493.4303729752969</v>
          </cell>
          <cell r="K327">
            <v>2377.9093393932467</v>
          </cell>
          <cell r="N327">
            <v>2724.4724401393987</v>
          </cell>
          <cell r="Q327">
            <v>2493.4303729752969</v>
          </cell>
          <cell r="T327">
            <v>2608.951406557348</v>
          </cell>
          <cell r="W327">
            <v>2608.951406557348</v>
          </cell>
          <cell r="Z327">
            <v>2608.951406557348</v>
          </cell>
          <cell r="AC327">
            <v>2608.951406557348</v>
          </cell>
          <cell r="AF327">
            <v>2608.951406557348</v>
          </cell>
          <cell r="AI327">
            <v>2493.4303729752969</v>
          </cell>
          <cell r="AL327">
            <v>2608.951406557348</v>
          </cell>
          <cell r="AO327">
            <v>2724.4724401393987</v>
          </cell>
        </row>
        <row r="328">
          <cell r="A328" t="str">
            <v>PiècesCsst</v>
          </cell>
          <cell r="B328" t="str">
            <v>Csst</v>
          </cell>
          <cell r="E328">
            <v>7200.1985530097736</v>
          </cell>
          <cell r="H328">
            <v>579.86752859890635</v>
          </cell>
          <cell r="K328">
            <v>553.00217195191794</v>
          </cell>
          <cell r="N328">
            <v>633.59824189288349</v>
          </cell>
          <cell r="Q328">
            <v>579.86752859890635</v>
          </cell>
          <cell r="T328">
            <v>606.73288524589498</v>
          </cell>
          <cell r="W328">
            <v>606.73288524589498</v>
          </cell>
          <cell r="Z328">
            <v>606.73288524589498</v>
          </cell>
          <cell r="AC328">
            <v>606.73288524589498</v>
          </cell>
          <cell r="AF328">
            <v>606.73288524589498</v>
          </cell>
          <cell r="AI328">
            <v>579.86752859890635</v>
          </cell>
          <cell r="AL328">
            <v>606.73288524589498</v>
          </cell>
          <cell r="AO328">
            <v>633.59824189288349</v>
          </cell>
        </row>
        <row r="329">
          <cell r="A329" t="str">
            <v>Pièces[...]</v>
          </cell>
          <cell r="B329" t="str">
            <v>[...]</v>
          </cell>
          <cell r="E329">
            <v>0</v>
          </cell>
        </row>
        <row r="330">
          <cell r="A330" t="str">
            <v>PiècesTOTAL PERSONNEL</v>
          </cell>
          <cell r="B330" t="str">
            <v>TOTAL PERSONNEL</v>
          </cell>
          <cell r="C330" t="str">
            <v>% brut</v>
          </cell>
          <cell r="D330">
            <v>0.36020018126932968</v>
          </cell>
          <cell r="E330">
            <v>484573.36261755775</v>
          </cell>
          <cell r="F330" t="str">
            <v>% brut</v>
          </cell>
          <cell r="G330">
            <v>0.38141498746900881</v>
          </cell>
          <cell r="H330">
            <v>39025.084674706399</v>
          </cell>
          <cell r="I330" t="str">
            <v>% brut</v>
          </cell>
          <cell r="J330">
            <v>0.36057185020536037</v>
          </cell>
          <cell r="K330">
            <v>37217.046172364076</v>
          </cell>
          <cell r="L330" t="str">
            <v>% brut</v>
          </cell>
          <cell r="M330">
            <v>0.44227037377789785</v>
          </cell>
          <cell r="N330">
            <v>42641.161679391058</v>
          </cell>
          <cell r="O330" t="str">
            <v>% brut</v>
          </cell>
          <cell r="P330">
            <v>0.37106838898808453</v>
          </cell>
          <cell r="Q330">
            <v>39025.084674706399</v>
          </cell>
          <cell r="R330" t="str">
            <v>% brut</v>
          </cell>
          <cell r="S330">
            <v>0.32610684723247235</v>
          </cell>
          <cell r="T330">
            <v>40833.123177048728</v>
          </cell>
          <cell r="U330" t="str">
            <v>% brut</v>
          </cell>
          <cell r="V330">
            <v>0.38773440442179724</v>
          </cell>
          <cell r="W330">
            <v>40833.123177048728</v>
          </cell>
          <cell r="X330" t="str">
            <v>% brut</v>
          </cell>
          <cell r="Y330">
            <v>0.36382043129631103</v>
          </cell>
          <cell r="Z330">
            <v>40833.123177048728</v>
          </cell>
          <cell r="AA330" t="str">
            <v>% brut</v>
          </cell>
          <cell r="AB330">
            <v>0.32922463613277803</v>
          </cell>
          <cell r="AC330">
            <v>40833.123177048728</v>
          </cell>
          <cell r="AD330" t="str">
            <v>% brut</v>
          </cell>
          <cell r="AE330">
            <v>0.3833218627458983</v>
          </cell>
          <cell r="AF330">
            <v>40833.123177048728</v>
          </cell>
          <cell r="AG330" t="str">
            <v>% brut</v>
          </cell>
          <cell r="AH330">
            <v>0.30024585127303038</v>
          </cell>
          <cell r="AI330">
            <v>39025.084674706399</v>
          </cell>
          <cell r="AJ330" t="str">
            <v>% brut</v>
          </cell>
          <cell r="AK330">
            <v>0.28254136005404967</v>
          </cell>
          <cell r="AL330">
            <v>40833.123177048728</v>
          </cell>
          <cell r="AM330" t="str">
            <v>% brut</v>
          </cell>
          <cell r="AN330">
            <v>0.4718970261665163</v>
          </cell>
          <cell r="AO330">
            <v>42641.161679391058</v>
          </cell>
        </row>
        <row r="331">
          <cell r="A331" t="str">
            <v>PiècesPublicité 2</v>
          </cell>
          <cell r="B331" t="str">
            <v>Publicité 2</v>
          </cell>
          <cell r="E331">
            <v>45703.699999999983</v>
          </cell>
          <cell r="H331">
            <v>3808.6416666666664</v>
          </cell>
          <cell r="K331">
            <v>3808.6416666666664</v>
          </cell>
          <cell r="N331">
            <v>3808.6416666666664</v>
          </cell>
          <cell r="Q331">
            <v>3808.6416666666664</v>
          </cell>
          <cell r="T331">
            <v>3808.6416666666664</v>
          </cell>
          <cell r="W331">
            <v>3808.6416666666664</v>
          </cell>
          <cell r="Z331">
            <v>3808.6416666666664</v>
          </cell>
          <cell r="AC331">
            <v>3808.6416666666664</v>
          </cell>
          <cell r="AF331">
            <v>3808.6416666666664</v>
          </cell>
          <cell r="AI331">
            <v>3808.6416666666664</v>
          </cell>
          <cell r="AL331">
            <v>3808.6416666666664</v>
          </cell>
          <cell r="AO331">
            <v>3808.6416666666664</v>
          </cell>
        </row>
        <row r="332">
          <cell r="A332" t="str">
            <v>PiècesService gratuit 2</v>
          </cell>
          <cell r="B332" t="str">
            <v>Service gratuit 2</v>
          </cell>
          <cell r="E332">
            <v>24527.999999999996</v>
          </cell>
          <cell r="H332">
            <v>1652.6753978584377</v>
          </cell>
          <cell r="K332">
            <v>1727.5096033468692</v>
          </cell>
          <cell r="N332">
            <v>1728.4969010161922</v>
          </cell>
          <cell r="Q332">
            <v>2830.7432547726557</v>
          </cell>
          <cell r="T332">
            <v>2316.8335249374268</v>
          </cell>
          <cell r="W332">
            <v>1782.5831259687641</v>
          </cell>
          <cell r="Z332">
            <v>1772.5775029718116</v>
          </cell>
          <cell r="AC332">
            <v>2243.542254752278</v>
          </cell>
          <cell r="AF332">
            <v>1660.9170138477077</v>
          </cell>
          <cell r="AI332">
            <v>2095.5907420365202</v>
          </cell>
          <cell r="AL332">
            <v>3101.0421346892153</v>
          </cell>
          <cell r="AO332">
            <v>1615.4885438021217</v>
          </cell>
        </row>
        <row r="333">
          <cell r="A333" t="str">
            <v>PiècesFrais véhicules de cie</v>
          </cell>
          <cell r="B333" t="str">
            <v>Frais véhicules de cie</v>
          </cell>
          <cell r="E333">
            <v>3426</v>
          </cell>
          <cell r="H333">
            <v>285.5</v>
          </cell>
          <cell r="K333">
            <v>285.5</v>
          </cell>
          <cell r="N333">
            <v>285.5</v>
          </cell>
          <cell r="Q333">
            <v>285.5</v>
          </cell>
          <cell r="T333">
            <v>285.5</v>
          </cell>
          <cell r="W333">
            <v>285.5</v>
          </cell>
          <cell r="Z333">
            <v>285.5</v>
          </cell>
          <cell r="AC333">
            <v>285.5</v>
          </cell>
          <cell r="AF333">
            <v>285.5</v>
          </cell>
          <cell r="AI333">
            <v>285.5</v>
          </cell>
          <cell r="AL333">
            <v>285.5</v>
          </cell>
          <cell r="AO333">
            <v>285.5</v>
          </cell>
        </row>
        <row r="334">
          <cell r="A334" t="str">
            <v>PiècesInformatique</v>
          </cell>
          <cell r="B334" t="str">
            <v>Informatique</v>
          </cell>
          <cell r="E334">
            <v>51369.340000000018</v>
          </cell>
          <cell r="H334">
            <v>4280.7783333333336</v>
          </cell>
          <cell r="K334">
            <v>4280.7783333333336</v>
          </cell>
          <cell r="N334">
            <v>4280.7783333333336</v>
          </cell>
          <cell r="Q334">
            <v>4280.7783333333336</v>
          </cell>
          <cell r="T334">
            <v>4280.7783333333336</v>
          </cell>
          <cell r="W334">
            <v>4280.7783333333336</v>
          </cell>
          <cell r="Z334">
            <v>4280.7783333333336</v>
          </cell>
          <cell r="AC334">
            <v>4280.7783333333336</v>
          </cell>
          <cell r="AF334">
            <v>4280.7783333333336</v>
          </cell>
          <cell r="AI334">
            <v>4280.7783333333336</v>
          </cell>
          <cell r="AL334">
            <v>4280.7783333333336</v>
          </cell>
          <cell r="AO334">
            <v>4280.7783333333336</v>
          </cell>
        </row>
        <row r="335">
          <cell r="A335" t="str">
            <v>PiècesFrais de déplacement</v>
          </cell>
          <cell r="B335" t="str">
            <v>Frais de déplacement</v>
          </cell>
          <cell r="E335">
            <v>14967.157499999996</v>
          </cell>
          <cell r="H335">
            <v>1247.2631249999999</v>
          </cell>
          <cell r="K335">
            <v>1247.2631249999999</v>
          </cell>
          <cell r="N335">
            <v>1247.2631249999999</v>
          </cell>
          <cell r="Q335">
            <v>1247.2631249999999</v>
          </cell>
          <cell r="T335">
            <v>1247.2631249999999</v>
          </cell>
          <cell r="W335">
            <v>1247.2631249999999</v>
          </cell>
          <cell r="Z335">
            <v>1247.2631249999999</v>
          </cell>
          <cell r="AC335">
            <v>1247.2631249999999</v>
          </cell>
          <cell r="AF335">
            <v>1247.2631249999999</v>
          </cell>
          <cell r="AI335">
            <v>1247.2631249999999</v>
          </cell>
          <cell r="AL335">
            <v>1247.2631249999999</v>
          </cell>
          <cell r="AO335">
            <v>1247.2631249999999</v>
          </cell>
        </row>
        <row r="336">
          <cell r="A336" t="str">
            <v>PiècesServices extérieurs</v>
          </cell>
          <cell r="B336" t="str">
            <v>Services extérieurs</v>
          </cell>
          <cell r="E336">
            <v>91411.229099999997</v>
          </cell>
          <cell r="H336">
            <v>7272.824908333333</v>
          </cell>
          <cell r="K336">
            <v>7060.8431083333326</v>
          </cell>
          <cell r="N336">
            <v>7738.2632083333328</v>
          </cell>
          <cell r="Q336">
            <v>7507.6174083333326</v>
          </cell>
          <cell r="T336">
            <v>9198.8635083333338</v>
          </cell>
          <cell r="W336">
            <v>7507.8482083333329</v>
          </cell>
          <cell r="Z336">
            <v>7507.8482083333329</v>
          </cell>
          <cell r="AC336">
            <v>7120.7510083333327</v>
          </cell>
          <cell r="AF336">
            <v>7332.7328083333323</v>
          </cell>
          <cell r="AI336">
            <v>7867.0648083333326</v>
          </cell>
          <cell r="AL336">
            <v>8314.0699083333329</v>
          </cell>
          <cell r="AO336">
            <v>6982.5020083333329</v>
          </cell>
        </row>
        <row r="337">
          <cell r="A337" t="str">
            <v>PiècesFournitures autres</v>
          </cell>
          <cell r="B337" t="str">
            <v>Fournitures autres</v>
          </cell>
          <cell r="E337">
            <v>1494</v>
          </cell>
          <cell r="H337">
            <v>126</v>
          </cell>
          <cell r="K337">
            <v>120</v>
          </cell>
          <cell r="N337">
            <v>132</v>
          </cell>
          <cell r="Q337">
            <v>126</v>
          </cell>
          <cell r="T337">
            <v>120</v>
          </cell>
          <cell r="W337">
            <v>126</v>
          </cell>
          <cell r="Z337">
            <v>132</v>
          </cell>
          <cell r="AC337">
            <v>126</v>
          </cell>
          <cell r="AF337">
            <v>126</v>
          </cell>
          <cell r="AI337">
            <v>126</v>
          </cell>
          <cell r="AL337">
            <v>126</v>
          </cell>
          <cell r="AO337">
            <v>108</v>
          </cell>
        </row>
        <row r="338">
          <cell r="A338" t="str">
            <v>PiècesUniformes</v>
          </cell>
          <cell r="B338" t="str">
            <v>Uniformes</v>
          </cell>
          <cell r="E338">
            <v>2040</v>
          </cell>
          <cell r="H338">
            <v>170</v>
          </cell>
          <cell r="K338">
            <v>170</v>
          </cell>
          <cell r="N338">
            <v>170</v>
          </cell>
          <cell r="Q338">
            <v>170</v>
          </cell>
          <cell r="T338">
            <v>170</v>
          </cell>
          <cell r="W338">
            <v>170</v>
          </cell>
          <cell r="Z338">
            <v>170</v>
          </cell>
          <cell r="AC338">
            <v>170</v>
          </cell>
          <cell r="AF338">
            <v>170</v>
          </cell>
          <cell r="AI338">
            <v>170</v>
          </cell>
          <cell r="AL338">
            <v>170</v>
          </cell>
          <cell r="AO338">
            <v>170</v>
          </cell>
        </row>
        <row r="339">
          <cell r="A339" t="str">
            <v>PiècesPapeterie</v>
          </cell>
          <cell r="B339" t="str">
            <v>Papeterie</v>
          </cell>
          <cell r="E339">
            <v>6540</v>
          </cell>
          <cell r="H339">
            <v>545</v>
          </cell>
          <cell r="K339">
            <v>545</v>
          </cell>
          <cell r="N339">
            <v>545</v>
          </cell>
          <cell r="Q339">
            <v>545</v>
          </cell>
          <cell r="T339">
            <v>545</v>
          </cell>
          <cell r="W339">
            <v>545</v>
          </cell>
          <cell r="Z339">
            <v>545</v>
          </cell>
          <cell r="AC339">
            <v>545</v>
          </cell>
          <cell r="AF339">
            <v>545</v>
          </cell>
          <cell r="AI339">
            <v>545</v>
          </cell>
          <cell r="AL339">
            <v>545</v>
          </cell>
          <cell r="AO339">
            <v>545</v>
          </cell>
        </row>
        <row r="340">
          <cell r="A340" t="str">
            <v>PiècesTéléphone</v>
          </cell>
          <cell r="B340" t="str">
            <v>Téléphone</v>
          </cell>
          <cell r="E340">
            <v>5427.2999999999993</v>
          </cell>
          <cell r="H340">
            <v>452.27499999999998</v>
          </cell>
          <cell r="K340">
            <v>452.27499999999998</v>
          </cell>
          <cell r="N340">
            <v>452.27499999999998</v>
          </cell>
          <cell r="Q340">
            <v>452.27499999999998</v>
          </cell>
          <cell r="T340">
            <v>452.27499999999998</v>
          </cell>
          <cell r="W340">
            <v>452.27499999999998</v>
          </cell>
          <cell r="Z340">
            <v>452.27499999999998</v>
          </cell>
          <cell r="AC340">
            <v>452.27499999999998</v>
          </cell>
          <cell r="AF340">
            <v>452.27499999999998</v>
          </cell>
          <cell r="AI340">
            <v>452.27499999999998</v>
          </cell>
          <cell r="AL340">
            <v>452.27499999999998</v>
          </cell>
          <cell r="AO340">
            <v>452.27499999999998</v>
          </cell>
        </row>
        <row r="341">
          <cell r="A341" t="str">
            <v>PiècesFrais postaux</v>
          </cell>
          <cell r="B341" t="str">
            <v>Frais postaux</v>
          </cell>
          <cell r="E341">
            <v>2595</v>
          </cell>
          <cell r="H341">
            <v>216.25</v>
          </cell>
          <cell r="K341">
            <v>216.25</v>
          </cell>
          <cell r="N341">
            <v>216.25</v>
          </cell>
          <cell r="Q341">
            <v>216.25</v>
          </cell>
          <cell r="T341">
            <v>216.25</v>
          </cell>
          <cell r="W341">
            <v>216.25</v>
          </cell>
          <cell r="Z341">
            <v>216.25</v>
          </cell>
          <cell r="AC341">
            <v>216.25</v>
          </cell>
          <cell r="AF341">
            <v>216.25</v>
          </cell>
          <cell r="AI341">
            <v>216.25</v>
          </cell>
          <cell r="AL341">
            <v>216.25</v>
          </cell>
          <cell r="AO341">
            <v>216.25</v>
          </cell>
        </row>
        <row r="342">
          <cell r="A342" t="str">
            <v>PiècesDivers</v>
          </cell>
          <cell r="B342" t="str">
            <v>Divers</v>
          </cell>
          <cell r="E342">
            <v>10773</v>
          </cell>
          <cell r="H342">
            <v>897.75</v>
          </cell>
          <cell r="K342">
            <v>897.75</v>
          </cell>
          <cell r="N342">
            <v>897.75</v>
          </cell>
          <cell r="Q342">
            <v>897.75</v>
          </cell>
          <cell r="T342">
            <v>897.75</v>
          </cell>
          <cell r="W342">
            <v>897.75</v>
          </cell>
          <cell r="Z342">
            <v>897.75</v>
          </cell>
          <cell r="AC342">
            <v>897.75</v>
          </cell>
          <cell r="AF342">
            <v>897.75</v>
          </cell>
          <cell r="AI342">
            <v>897.75</v>
          </cell>
          <cell r="AL342">
            <v>897.75</v>
          </cell>
          <cell r="AO342">
            <v>897.75</v>
          </cell>
        </row>
        <row r="343">
          <cell r="A343" t="str">
            <v>PiècesFormation</v>
          </cell>
          <cell r="B343" t="str">
            <v>Formation</v>
          </cell>
          <cell r="E343">
            <v>2965.7500000000005</v>
          </cell>
          <cell r="H343">
            <v>247.14583333333334</v>
          </cell>
          <cell r="K343">
            <v>247.14583333333334</v>
          </cell>
          <cell r="N343">
            <v>247.14583333333334</v>
          </cell>
          <cell r="Q343">
            <v>247.14583333333334</v>
          </cell>
          <cell r="T343">
            <v>247.14583333333334</v>
          </cell>
          <cell r="W343">
            <v>247.14583333333334</v>
          </cell>
          <cell r="Z343">
            <v>247.14583333333334</v>
          </cell>
          <cell r="AC343">
            <v>247.14583333333334</v>
          </cell>
          <cell r="AF343">
            <v>247.14583333333334</v>
          </cell>
          <cell r="AI343">
            <v>247.14583333333334</v>
          </cell>
          <cell r="AL343">
            <v>247.14583333333334</v>
          </cell>
          <cell r="AO343">
            <v>247.14583333333334</v>
          </cell>
        </row>
        <row r="344">
          <cell r="A344" t="str">
            <v>PiècesFrais bancaires</v>
          </cell>
          <cell r="B344" t="str">
            <v>Frais bancaires</v>
          </cell>
          <cell r="E344">
            <v>26517.5</v>
          </cell>
          <cell r="H344">
            <v>1630.9951819211053</v>
          </cell>
          <cell r="K344">
            <v>1406.8338933847535</v>
          </cell>
          <cell r="N344">
            <v>1627.5891855146688</v>
          </cell>
          <cell r="Q344">
            <v>3128.8953456979134</v>
          </cell>
          <cell r="T344">
            <v>2867.7010940528189</v>
          </cell>
          <cell r="W344">
            <v>1895.4593382359283</v>
          </cell>
          <cell r="Z344">
            <v>1787.0140289781664</v>
          </cell>
          <cell r="AC344">
            <v>1969.6719311009003</v>
          </cell>
          <cell r="AF344">
            <v>1491.6343899182989</v>
          </cell>
          <cell r="AI344">
            <v>2796.126826179277</v>
          </cell>
          <cell r="AL344">
            <v>4068.8513498448642</v>
          </cell>
          <cell r="AO344">
            <v>1846.7274351713049</v>
          </cell>
        </row>
        <row r="345">
          <cell r="A345" t="str">
            <v>Pièces[...]</v>
          </cell>
          <cell r="B345" t="str">
            <v>[...]</v>
          </cell>
          <cell r="E345">
            <v>0</v>
          </cell>
        </row>
        <row r="346">
          <cell r="A346" t="str">
            <v>Pièces[...]</v>
          </cell>
          <cell r="B346" t="str">
            <v>[...]</v>
          </cell>
          <cell r="E346">
            <v>0</v>
          </cell>
        </row>
        <row r="347">
          <cell r="A347" t="str">
            <v>Pièces[...]</v>
          </cell>
          <cell r="B347" t="str">
            <v>[...]</v>
          </cell>
          <cell r="E347">
            <v>0</v>
          </cell>
        </row>
        <row r="348">
          <cell r="A348" t="str">
            <v>PiècesTOTAL SEMI-FIXES</v>
          </cell>
          <cell r="B348" t="str">
            <v>TOTAL SEMI-FIXES</v>
          </cell>
          <cell r="C348" t="str">
            <v>% brut</v>
          </cell>
          <cell r="D348">
            <v>0.2153871503207809</v>
          </cell>
          <cell r="E348">
            <v>289757.97659999999</v>
          </cell>
          <cell r="F348" t="str">
            <v>% brut</v>
          </cell>
          <cell r="G348">
            <v>0.2231612413358699</v>
          </cell>
          <cell r="H348">
            <v>22833.099446446209</v>
          </cell>
          <cell r="I348" t="str">
            <v>% brut</v>
          </cell>
          <cell r="J348">
            <v>0.21765649085245739</v>
          </cell>
          <cell r="K348">
            <v>22465.790563398288</v>
          </cell>
          <cell r="L348" t="str">
            <v>% brut</v>
          </cell>
          <cell r="M348">
            <v>0.24246370046895407</v>
          </cell>
          <cell r="N348">
            <v>23376.953253197527</v>
          </cell>
          <cell r="O348" t="str">
            <v>% brut</v>
          </cell>
          <cell r="P348">
            <v>0.24478441812406715</v>
          </cell>
          <cell r="Q348">
            <v>25743.859967137236</v>
          </cell>
          <cell r="R348" t="str">
            <v>% brut</v>
          </cell>
          <cell r="S348">
            <v>0.21286768951258919</v>
          </cell>
          <cell r="T348">
            <v>26654.002085656914</v>
          </cell>
          <cell r="U348" t="str">
            <v>% brut</v>
          </cell>
          <cell r="V348">
            <v>0.22279011924965458</v>
          </cell>
          <cell r="W348">
            <v>23462.494630871355</v>
          </cell>
          <cell r="X348" t="str">
            <v>% brut</v>
          </cell>
          <cell r="Y348">
            <v>0.20804734755124901</v>
          </cell>
          <cell r="Z348">
            <v>23350.043698616646</v>
          </cell>
          <cell r="AA348" t="str">
            <v>% brut</v>
          </cell>
          <cell r="AB348">
            <v>0.19036459700675676</v>
          </cell>
          <cell r="AC348">
            <v>23610.569152519845</v>
          </cell>
          <cell r="AD348" t="str">
            <v>% brut</v>
          </cell>
          <cell r="AE348">
            <v>0.21367773744057506</v>
          </cell>
          <cell r="AF348">
            <v>22761.88817043267</v>
          </cell>
          <cell r="AG348" t="str">
            <v>% brut</v>
          </cell>
          <cell r="AH348">
            <v>0.19261382633047489</v>
          </cell>
          <cell r="AI348">
            <v>25035.38633488246</v>
          </cell>
          <cell r="AJ348" t="str">
            <v>% brut</v>
          </cell>
          <cell r="AK348">
            <v>0.19208690996452957</v>
          </cell>
          <cell r="AL348">
            <v>27760.567351200745</v>
          </cell>
          <cell r="AM348" t="str">
            <v>% brut</v>
          </cell>
          <cell r="AN348">
            <v>0.25125089674624373</v>
          </cell>
          <cell r="AO348">
            <v>22703.321945640095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B350" t="str">
            <v>TOTAL DES DÉPENSES</v>
          </cell>
          <cell r="C350" t="str">
            <v>% brut</v>
          </cell>
          <cell r="D350">
            <v>0.57558733159011066</v>
          </cell>
          <cell r="E350">
            <v>774331.3392175578</v>
          </cell>
          <cell r="F350" t="str">
            <v>% brut</v>
          </cell>
          <cell r="G350">
            <v>0.60457622880487871</v>
          </cell>
          <cell r="H350">
            <v>61858.184121152604</v>
          </cell>
          <cell r="I350" t="str">
            <v>% brut</v>
          </cell>
          <cell r="J350">
            <v>0.57822834105781773</v>
          </cell>
          <cell r="K350">
            <v>59682.836735762365</v>
          </cell>
          <cell r="L350" t="str">
            <v>% brut</v>
          </cell>
          <cell r="M350">
            <v>0.68473407424685206</v>
          </cell>
          <cell r="N350">
            <v>66018.114932588593</v>
          </cell>
          <cell r="O350" t="str">
            <v>% brut</v>
          </cell>
          <cell r="P350">
            <v>0.61585280711215162</v>
          </cell>
          <cell r="Q350">
            <v>64768.944641843635</v>
          </cell>
          <cell r="R350" t="str">
            <v>% brut</v>
          </cell>
          <cell r="S350">
            <v>0.53897453674506157</v>
          </cell>
          <cell r="T350">
            <v>67487.125262705638</v>
          </cell>
          <cell r="U350" t="str">
            <v>% brut</v>
          </cell>
          <cell r="V350">
            <v>0.61052452367145182</v>
          </cell>
          <cell r="W350">
            <v>64295.617807920084</v>
          </cell>
          <cell r="X350" t="str">
            <v>% brut</v>
          </cell>
          <cell r="Y350">
            <v>0.57186777884756002</v>
          </cell>
          <cell r="Z350">
            <v>64183.166875665374</v>
          </cell>
          <cell r="AA350" t="str">
            <v>% brut</v>
          </cell>
          <cell r="AB350">
            <v>0.51958923313953476</v>
          </cell>
          <cell r="AC350">
            <v>64443.69232956857</v>
          </cell>
          <cell r="AD350" t="str">
            <v>% brut</v>
          </cell>
          <cell r="AE350">
            <v>0.59699960018647336</v>
          </cell>
          <cell r="AF350">
            <v>63595.011347481399</v>
          </cell>
          <cell r="AG350" t="str">
            <v>% brut</v>
          </cell>
          <cell r="AH350">
            <v>0.49285967760350524</v>
          </cell>
          <cell r="AI350">
            <v>64060.471009588859</v>
          </cell>
          <cell r="AJ350" t="str">
            <v>% brut</v>
          </cell>
          <cell r="AK350">
            <v>0.47462827001857921</v>
          </cell>
          <cell r="AL350">
            <v>68593.69052824947</v>
          </cell>
          <cell r="AM350" t="str">
            <v>% brut</v>
          </cell>
          <cell r="AN350">
            <v>0.72314792291275998</v>
          </cell>
          <cell r="AO350">
            <v>65344.483625031149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B352" t="str">
            <v>PROFIT DÉPARTEMENTAL</v>
          </cell>
          <cell r="E352">
            <v>570957.71896653972</v>
          </cell>
          <cell r="H352">
            <v>40458.415794516186</v>
          </cell>
          <cell r="K352">
            <v>43533.890114010996</v>
          </cell>
          <cell r="N352">
            <v>30396.124427710194</v>
          </cell>
          <cell r="Q352">
            <v>40400.576214214911</v>
          </cell>
          <cell r="T352">
            <v>57726.814657850366</v>
          </cell>
          <cell r="W352">
            <v>41016.479110434309</v>
          </cell>
          <cell r="Z352">
            <v>48051.110434045338</v>
          </cell>
          <cell r="AC352">
            <v>59584.459562990625</v>
          </cell>
          <cell r="AF352">
            <v>42929.367107072743</v>
          </cell>
          <cell r="AI352">
            <v>65916.627788751255</v>
          </cell>
          <cell r="AL352">
            <v>75927.179510874805</v>
          </cell>
          <cell r="AO352">
            <v>25016.674244068141</v>
          </cell>
        </row>
        <row r="355">
          <cell r="B355" t="str">
            <v>Budget 2021</v>
          </cell>
          <cell r="C355" t="str">
            <v>Boutique</v>
          </cell>
        </row>
        <row r="357">
          <cell r="B357" t="str">
            <v>Mois</v>
          </cell>
          <cell r="C357">
            <v>2021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B359" t="str">
            <v>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B361" t="str">
            <v>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  <cell r="B363" t="str">
            <v>DEPENSES</v>
          </cell>
        </row>
        <row r="364">
          <cell r="A364" t="str">
            <v>BoutiqueSalaires cadres</v>
          </cell>
          <cell r="B364" t="str">
            <v>Salaires cadres</v>
          </cell>
          <cell r="E364">
            <v>0</v>
          </cell>
        </row>
        <row r="365">
          <cell r="A365" t="str">
            <v>BoutiqueSalaires commis</v>
          </cell>
          <cell r="B365" t="str">
            <v>Salaires commis</v>
          </cell>
          <cell r="E365">
            <v>0</v>
          </cell>
        </row>
        <row r="366">
          <cell r="A366" t="str">
            <v>BoutiqueSalaires autres</v>
          </cell>
          <cell r="B366" t="str">
            <v>Salaires autres</v>
          </cell>
          <cell r="E366">
            <v>0</v>
          </cell>
        </row>
        <row r="367">
          <cell r="A367" t="str">
            <v>BoutiqueSalaires spécialistes</v>
          </cell>
          <cell r="B367" t="str">
            <v>Salaires spécialistes</v>
          </cell>
          <cell r="E367">
            <v>0</v>
          </cell>
        </row>
        <row r="368">
          <cell r="A368" t="str">
            <v>Boutique[...]</v>
          </cell>
          <cell r="B368" t="str">
            <v>[...]</v>
          </cell>
          <cell r="E368">
            <v>0</v>
          </cell>
        </row>
        <row r="369">
          <cell r="A369" t="str">
            <v>Boutique[...]</v>
          </cell>
          <cell r="B369" t="str">
            <v>[...]</v>
          </cell>
          <cell r="E369">
            <v>0</v>
          </cell>
        </row>
        <row r="370">
          <cell r="A370" t="str">
            <v>Boutique[...]</v>
          </cell>
          <cell r="B370" t="str">
            <v>[...]</v>
          </cell>
          <cell r="E370">
            <v>0</v>
          </cell>
        </row>
        <row r="371">
          <cell r="A371" t="str">
            <v>BoutiqueSalaires en absences</v>
          </cell>
          <cell r="B371" t="str">
            <v>Salaires en absences</v>
          </cell>
          <cell r="E371">
            <v>0</v>
          </cell>
        </row>
        <row r="372">
          <cell r="A372" t="str">
            <v>BoutiqueDéduction à la source</v>
          </cell>
          <cell r="B372" t="str">
            <v>Déduction à la source</v>
          </cell>
          <cell r="E372">
            <v>0</v>
          </cell>
        </row>
        <row r="373">
          <cell r="A373" t="str">
            <v>BoutiqueBénéfices marginaux</v>
          </cell>
          <cell r="B373" t="str">
            <v>Bénéfices marginaux</v>
          </cell>
          <cell r="E373">
            <v>0</v>
          </cell>
        </row>
        <row r="374">
          <cell r="A374" t="str">
            <v>BoutiqueCsst</v>
          </cell>
          <cell r="B374" t="str">
            <v>Csst</v>
          </cell>
          <cell r="E374">
            <v>0</v>
          </cell>
        </row>
        <row r="375">
          <cell r="A375" t="str">
            <v>Boutique[...]</v>
          </cell>
          <cell r="B375" t="str">
            <v>[...]</v>
          </cell>
          <cell r="E375">
            <v>0</v>
          </cell>
        </row>
        <row r="376">
          <cell r="A376" t="str">
            <v>BoutiqueTOTAL PERSONNEL</v>
          </cell>
          <cell r="B376" t="str">
            <v>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B377" t="str">
            <v>Publicité 2</v>
          </cell>
          <cell r="E377">
            <v>0</v>
          </cell>
        </row>
        <row r="378">
          <cell r="A378" t="str">
            <v>BoutiqueService gratuit 2</v>
          </cell>
          <cell r="B378" t="str">
            <v>Service gratuit 2</v>
          </cell>
          <cell r="E378">
            <v>0</v>
          </cell>
        </row>
        <row r="379">
          <cell r="A379" t="str">
            <v>BoutiqueFrais véhicules de cie</v>
          </cell>
          <cell r="B379" t="str">
            <v>Frais véhicules de cie</v>
          </cell>
          <cell r="E379">
            <v>0</v>
          </cell>
        </row>
        <row r="380">
          <cell r="A380" t="str">
            <v>BoutiqueInformatique</v>
          </cell>
          <cell r="B380" t="str">
            <v>Informatique</v>
          </cell>
          <cell r="E380">
            <v>0</v>
          </cell>
        </row>
        <row r="381">
          <cell r="A381" t="str">
            <v>BoutiqueFrais de déplacement</v>
          </cell>
          <cell r="B381" t="str">
            <v>Frais de déplacement</v>
          </cell>
          <cell r="E381">
            <v>0</v>
          </cell>
        </row>
        <row r="382">
          <cell r="A382" t="str">
            <v>BoutiqueServices extérieurs</v>
          </cell>
          <cell r="B382" t="str">
            <v>Services extérieurs</v>
          </cell>
          <cell r="E382">
            <v>0</v>
          </cell>
        </row>
        <row r="383">
          <cell r="A383" t="str">
            <v>BoutiqueFournitures autres</v>
          </cell>
          <cell r="B383" t="str">
            <v>Fournitures autres</v>
          </cell>
          <cell r="E383">
            <v>0</v>
          </cell>
        </row>
        <row r="384">
          <cell r="A384" t="str">
            <v>BoutiqueUniformes</v>
          </cell>
          <cell r="B384" t="str">
            <v>Uniformes</v>
          </cell>
          <cell r="E384">
            <v>0</v>
          </cell>
        </row>
        <row r="385">
          <cell r="A385" t="str">
            <v>BoutiquePapeterie</v>
          </cell>
          <cell r="B385" t="str">
            <v>Papeterie</v>
          </cell>
          <cell r="E385">
            <v>0</v>
          </cell>
        </row>
        <row r="386">
          <cell r="A386" t="str">
            <v>BoutiqueTéléphone</v>
          </cell>
          <cell r="B386" t="str">
            <v>Téléphone</v>
          </cell>
          <cell r="E386">
            <v>0</v>
          </cell>
        </row>
        <row r="387">
          <cell r="A387" t="str">
            <v>BoutiqueFrais postaux</v>
          </cell>
          <cell r="B387" t="str">
            <v>Frais postaux</v>
          </cell>
          <cell r="E387">
            <v>0</v>
          </cell>
        </row>
        <row r="388">
          <cell r="A388" t="str">
            <v>BoutiqueDivers</v>
          </cell>
          <cell r="B388" t="str">
            <v>Divers</v>
          </cell>
          <cell r="E388">
            <v>0</v>
          </cell>
        </row>
        <row r="389">
          <cell r="A389" t="str">
            <v>BoutiqueFormation</v>
          </cell>
          <cell r="B389" t="str">
            <v>Formation</v>
          </cell>
          <cell r="E389">
            <v>0</v>
          </cell>
        </row>
        <row r="390">
          <cell r="A390" t="str">
            <v>BoutiqueFrais bancaires</v>
          </cell>
          <cell r="B390" t="str">
            <v>Frais bancaires</v>
          </cell>
          <cell r="E390">
            <v>0</v>
          </cell>
        </row>
        <row r="391">
          <cell r="A391" t="str">
            <v>Boutique[...]</v>
          </cell>
          <cell r="B391" t="str">
            <v>[...]</v>
          </cell>
          <cell r="E391">
            <v>0</v>
          </cell>
        </row>
        <row r="392">
          <cell r="A392" t="str">
            <v>Boutique[...]</v>
          </cell>
          <cell r="B392" t="str">
            <v>[...]</v>
          </cell>
          <cell r="E392">
            <v>0</v>
          </cell>
        </row>
        <row r="393">
          <cell r="A393" t="str">
            <v>Boutique[...]</v>
          </cell>
          <cell r="B393" t="str">
            <v>[...]</v>
          </cell>
          <cell r="E393">
            <v>0</v>
          </cell>
        </row>
        <row r="394">
          <cell r="A394" t="str">
            <v>BoutiqueTOTAL SEMI-FIXES</v>
          </cell>
          <cell r="B394" t="str">
            <v>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B396" t="str">
            <v>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B398" t="str">
            <v>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B401" t="str">
            <v>Budget 2021</v>
          </cell>
          <cell r="C401" t="str">
            <v>TOTAL  DES  REVENUS  ET  DÉPENSES</v>
          </cell>
        </row>
        <row r="403">
          <cell r="B403" t="str">
            <v>Mois</v>
          </cell>
          <cell r="C403">
            <v>2021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B405" t="str">
            <v>Ventes nettes</v>
          </cell>
          <cell r="E405">
            <v>30117652.361918017</v>
          </cell>
          <cell r="H405">
            <v>3142112.5184201845</v>
          </cell>
          <cell r="K405">
            <v>1871330.684261441</v>
          </cell>
          <cell r="N405">
            <v>2073370.7942468133</v>
          </cell>
          <cell r="Q405">
            <v>2470120.3212222802</v>
          </cell>
          <cell r="T405">
            <v>3070578.4158225493</v>
          </cell>
          <cell r="W405">
            <v>2497685.4862042968</v>
          </cell>
          <cell r="Z405">
            <v>2556311.2097828956</v>
          </cell>
          <cell r="AC405">
            <v>2664975.7924504215</v>
          </cell>
          <cell r="AF405">
            <v>2396490.2737884186</v>
          </cell>
          <cell r="AI405">
            <v>3094315.6808709064</v>
          </cell>
          <cell r="AL405">
            <v>2702219.2067021132</v>
          </cell>
          <cell r="AO405">
            <v>1578141.9781456995</v>
          </cell>
        </row>
        <row r="406">
          <cell r="A406" t="str">
            <v>Profit brut</v>
          </cell>
          <cell r="B406" t="str">
            <v>Profit brut</v>
          </cell>
          <cell r="E406">
            <v>6409689.7560462104</v>
          </cell>
          <cell r="H406">
            <v>436087.54440335213</v>
          </cell>
          <cell r="K406">
            <v>412111.16434611491</v>
          </cell>
          <cell r="N406">
            <v>473086.52530044882</v>
          </cell>
          <cell r="Q406">
            <v>574246.67272441753</v>
          </cell>
          <cell r="T406">
            <v>677748.24056670244</v>
          </cell>
          <cell r="W406">
            <v>526121.23533606844</v>
          </cell>
          <cell r="Z406">
            <v>541778.88628652471</v>
          </cell>
          <cell r="AC406">
            <v>571692.64661406144</v>
          </cell>
          <cell r="AF406">
            <v>514390.26114581869</v>
          </cell>
          <cell r="AI406">
            <v>658666.37929565902</v>
          </cell>
          <cell r="AL406">
            <v>650606.4466700668</v>
          </cell>
          <cell r="AO406">
            <v>373153.7533569755</v>
          </cell>
        </row>
        <row r="407">
          <cell r="A407" t="str">
            <v>DÉPENSES</v>
          </cell>
          <cell r="B407" t="str">
            <v>DÉPENSES</v>
          </cell>
        </row>
        <row r="408">
          <cell r="A408" t="str">
            <v>Comm. vendeurs</v>
          </cell>
          <cell r="B408" t="str">
            <v>Comm. vendeurs</v>
          </cell>
          <cell r="C408">
            <v>0.34812127889722178</v>
          </cell>
          <cell r="D408">
            <v>394.03872588510313</v>
          </cell>
          <cell r="E408">
            <v>468512.04507738759</v>
          </cell>
          <cell r="G408">
            <v>456.11129234208704</v>
          </cell>
          <cell r="H408">
            <v>34506.994087163024</v>
          </cell>
          <cell r="J408">
            <v>477.2534335426426</v>
          </cell>
          <cell r="K408">
            <v>30445.173484575535</v>
          </cell>
          <cell r="M408">
            <v>452.80294477850862</v>
          </cell>
          <cell r="N408">
            <v>37113.507144412062</v>
          </cell>
          <cell r="P408">
            <v>425.69385735300864</v>
          </cell>
          <cell r="Q408">
            <v>40734.191053869705</v>
          </cell>
          <cell r="S408">
            <v>395.82995977745099</v>
          </cell>
          <cell r="T408">
            <v>48745.562816749392</v>
          </cell>
          <cell r="V408">
            <v>424.2504446165907</v>
          </cell>
          <cell r="W408">
            <v>40220.503050962827</v>
          </cell>
          <cell r="Y408">
            <v>427.42441289987647</v>
          </cell>
          <cell r="Z408">
            <v>40677.672039713987</v>
          </cell>
          <cell r="AB408">
            <v>418.2163713500853</v>
          </cell>
          <cell r="AC408">
            <v>41703.976110795105</v>
          </cell>
          <cell r="AE408">
            <v>423.55003033919439</v>
          </cell>
          <cell r="AF408">
            <v>41680.703972187861</v>
          </cell>
          <cell r="AH408">
            <v>396.87069813380037</v>
          </cell>
          <cell r="AI408">
            <v>49753.075453797763</v>
          </cell>
          <cell r="AK408">
            <v>433.90776200818794</v>
          </cell>
          <cell r="AL408">
            <v>37370.360821779926</v>
          </cell>
          <cell r="AN408">
            <v>509.5351354727398</v>
          </cell>
          <cell r="AO408">
            <v>25560.325041380347</v>
          </cell>
        </row>
        <row r="409">
          <cell r="A409" t="str">
            <v>Comm. F&amp;I</v>
          </cell>
          <cell r="B409" t="str">
            <v>Comm. F&amp;I</v>
          </cell>
          <cell r="C409">
            <v>0.29999999999999988</v>
          </cell>
          <cell r="D409">
            <v>362.82161060142704</v>
          </cell>
          <cell r="E409">
            <v>395475.5555555555</v>
          </cell>
          <cell r="G409">
            <v>344.22484213127683</v>
          </cell>
          <cell r="H409">
            <v>26042.250633798994</v>
          </cell>
          <cell r="J409">
            <v>375.49396967266023</v>
          </cell>
          <cell r="K409">
            <v>23953.686334400438</v>
          </cell>
          <cell r="M409">
            <v>350.01315813268997</v>
          </cell>
          <cell r="N409">
            <v>28688.45265869475</v>
          </cell>
          <cell r="P409">
            <v>358.44743114823154</v>
          </cell>
          <cell r="Q409">
            <v>34299.452272934417</v>
          </cell>
          <cell r="S409">
            <v>356.04867802944312</v>
          </cell>
          <cell r="T409">
            <v>43846.588091671518</v>
          </cell>
          <cell r="V409">
            <v>369.49825965435014</v>
          </cell>
          <cell r="W409">
            <v>35029.794472422989</v>
          </cell>
          <cell r="Y409">
            <v>370.69098729715341</v>
          </cell>
          <cell r="Z409">
            <v>35278.392984266873</v>
          </cell>
          <cell r="AB409">
            <v>369.17047188359857</v>
          </cell>
          <cell r="AC409">
            <v>36813.184741055476</v>
          </cell>
          <cell r="AE409">
            <v>353.11418581275245</v>
          </cell>
          <cell r="AF409">
            <v>34749.254616874234</v>
          </cell>
          <cell r="AH409">
            <v>357.36825814417273</v>
          </cell>
          <cell r="AI409">
            <v>44800.913738017822</v>
          </cell>
          <cell r="AK409">
            <v>381.59675555713682</v>
          </cell>
          <cell r="AL409">
            <v>32865.068782341026</v>
          </cell>
          <cell r="AN409">
            <v>380.92083687132947</v>
          </cell>
          <cell r="AO409">
            <v>19108.516229077009</v>
          </cell>
        </row>
        <row r="410">
          <cell r="A410" t="str">
            <v>Frais de livraison</v>
          </cell>
          <cell r="B410" t="str">
            <v>Frais de livraison</v>
          </cell>
          <cell r="D410">
            <v>160.5211009174312</v>
          </cell>
          <cell r="E410">
            <v>174968</v>
          </cell>
          <cell r="G410">
            <v>173.57097440486746</v>
          </cell>
          <cell r="H410">
            <v>13131.471831659408</v>
          </cell>
          <cell r="J410">
            <v>151.62855149776189</v>
          </cell>
          <cell r="K410">
            <v>9672.7592325467995</v>
          </cell>
          <cell r="M410">
            <v>169.50915088724997</v>
          </cell>
          <cell r="N410">
            <v>13893.63553184155</v>
          </cell>
          <cell r="P410">
            <v>163.5905851973032</v>
          </cell>
          <cell r="Q410">
            <v>15653.808569089519</v>
          </cell>
          <cell r="S410">
            <v>165.27385747001162</v>
          </cell>
          <cell r="T410">
            <v>20353.101129082042</v>
          </cell>
          <cell r="V410">
            <v>155.83590920788714</v>
          </cell>
          <cell r="W410">
            <v>14773.817544044792</v>
          </cell>
          <cell r="Y410">
            <v>154.998938802597</v>
          </cell>
          <cell r="Z410">
            <v>14751.136829876572</v>
          </cell>
          <cell r="AB410">
            <v>156.06592707071658</v>
          </cell>
          <cell r="AC410">
            <v>15562.685107843346</v>
          </cell>
          <cell r="AE410">
            <v>167.33307287827708</v>
          </cell>
          <cell r="AF410">
            <v>16466.910106960731</v>
          </cell>
          <cell r="AH410">
            <v>164.34787113096576</v>
          </cell>
          <cell r="AI410">
            <v>20603.214274824724</v>
          </cell>
          <cell r="AK410">
            <v>147.34605565225181</v>
          </cell>
          <cell r="AL410">
            <v>12690.197658383464</v>
          </cell>
          <cell r="AN410">
            <v>147.8203667322515</v>
          </cell>
          <cell r="AO410">
            <v>7415.2621838470568</v>
          </cell>
        </row>
        <row r="411">
          <cell r="A411" t="str">
            <v>Service gratuit 1</v>
          </cell>
          <cell r="B411" t="str">
            <v>Service gratuit 1</v>
          </cell>
          <cell r="D411">
            <v>40.92110091743119</v>
          </cell>
          <cell r="E411">
            <v>44604</v>
          </cell>
          <cell r="G411">
            <v>33.070810983891086</v>
          </cell>
          <cell r="H411">
            <v>2501.9645385646932</v>
          </cell>
          <cell r="J411">
            <v>46.270508423944278</v>
          </cell>
          <cell r="K411">
            <v>2951.7098404712233</v>
          </cell>
          <cell r="M411">
            <v>35.514244041143918</v>
          </cell>
          <cell r="N411">
            <v>2910.8868772797505</v>
          </cell>
          <cell r="P411">
            <v>39.074620063295917</v>
          </cell>
          <cell r="Q411">
            <v>3739.0087066625533</v>
          </cell>
          <cell r="S411">
            <v>38.062029758066345</v>
          </cell>
          <cell r="T411">
            <v>4687.2527373823632</v>
          </cell>
          <cell r="V411">
            <v>43.739527728200578</v>
          </cell>
          <cell r="W411">
            <v>4146.6681550083831</v>
          </cell>
          <cell r="Y411">
            <v>44.243016160762487</v>
          </cell>
          <cell r="Z411">
            <v>4210.5758284256917</v>
          </cell>
          <cell r="AB411">
            <v>43.601158040950928</v>
          </cell>
          <cell r="AC411">
            <v>4347.8490511331547</v>
          </cell>
          <cell r="AE411">
            <v>36.823286868638313</v>
          </cell>
          <cell r="AF411">
            <v>3623.7053696478915</v>
          </cell>
          <cell r="AH411">
            <v>38.619066670570199</v>
          </cell>
          <cell r="AI411">
            <v>4841.4189988103926</v>
          </cell>
          <cell r="AK411">
            <v>48.846689262693531</v>
          </cell>
          <cell r="AL411">
            <v>4206.9272839184068</v>
          </cell>
          <cell r="AN411">
            <v>48.56136239724362</v>
          </cell>
          <cell r="AO411">
            <v>2436.0326126954965</v>
          </cell>
        </row>
        <row r="412">
          <cell r="A412" t="str">
            <v>Entretien stock</v>
          </cell>
          <cell r="B412" t="str">
            <v>Entretien stock</v>
          </cell>
          <cell r="D412">
            <v>45.721100917431194</v>
          </cell>
          <cell r="E412">
            <v>49836</v>
          </cell>
          <cell r="G412">
            <v>43.849286804193831</v>
          </cell>
          <cell r="H412">
            <v>3317.407628100972</v>
          </cell>
          <cell r="J412">
            <v>46.996607497814729</v>
          </cell>
          <cell r="K412">
            <v>2998.0294910327325</v>
          </cell>
          <cell r="M412">
            <v>44.431896175317277</v>
          </cell>
          <cell r="N412">
            <v>3641.8126585926752</v>
          </cell>
          <cell r="P412">
            <v>45.280828143832579</v>
          </cell>
          <cell r="Q412">
            <v>4332.8741367267949</v>
          </cell>
          <cell r="S412">
            <v>45.03938727473065</v>
          </cell>
          <cell r="T412">
            <v>5546.4985087603118</v>
          </cell>
          <cell r="V412">
            <v>46.393123368345393</v>
          </cell>
          <cell r="W412">
            <v>4398.2387847974005</v>
          </cell>
          <cell r="Y412">
            <v>46.513174571791346</v>
          </cell>
          <cell r="Z412">
            <v>4426.6251614422918</v>
          </cell>
          <cell r="AB412">
            <v>46.360130659078493</v>
          </cell>
          <cell r="AC412">
            <v>4622.9701033896526</v>
          </cell>
          <cell r="AE412">
            <v>44.744022843259486</v>
          </cell>
          <cell r="AF412">
            <v>4403.1690168011082</v>
          </cell>
          <cell r="AH412">
            <v>45.172206516216761</v>
          </cell>
          <cell r="AI412">
            <v>5662.9431444146667</v>
          </cell>
          <cell r="AK412">
            <v>47.610869097455804</v>
          </cell>
          <cell r="AL412">
            <v>4100.4921160568692</v>
          </cell>
          <cell r="AN412">
            <v>47.542836087445174</v>
          </cell>
          <cell r="AO412">
            <v>2384.9392498845255</v>
          </cell>
        </row>
        <row r="413">
          <cell r="A413" t="str">
            <v>Publicité 1</v>
          </cell>
          <cell r="B413" t="str">
            <v>Publicité 1</v>
          </cell>
          <cell r="D413">
            <v>139.50550458715594</v>
          </cell>
          <cell r="E413">
            <v>152060.99999999997</v>
          </cell>
          <cell r="G413">
            <v>153.23823239807243</v>
          </cell>
          <cell r="H413">
            <v>11593.202948638496</v>
          </cell>
          <cell r="J413">
            <v>130.14763909957006</v>
          </cell>
          <cell r="K413">
            <v>8302.4388563991306</v>
          </cell>
          <cell r="M413">
            <v>148.96386783529545</v>
          </cell>
          <cell r="N413">
            <v>12209.663468219773</v>
          </cell>
          <cell r="P413">
            <v>142.73560426405712</v>
          </cell>
          <cell r="Q413">
            <v>13658.217692956216</v>
          </cell>
          <cell r="S413">
            <v>144.50695629862071</v>
          </cell>
          <cell r="T413">
            <v>17795.704296036842</v>
          </cell>
          <cell r="V413">
            <v>134.57515315109993</v>
          </cell>
          <cell r="W413">
            <v>12758.219647334074</v>
          </cell>
          <cell r="Y413">
            <v>133.69438700630104</v>
          </cell>
          <cell r="Z413">
            <v>12723.598053971813</v>
          </cell>
          <cell r="AB413">
            <v>134.81720704571632</v>
          </cell>
          <cell r="AC413">
            <v>13443.791221774522</v>
          </cell>
          <cell r="AE413">
            <v>146.67392326063609</v>
          </cell>
          <cell r="AF413">
            <v>14433.884872986739</v>
          </cell>
          <cell r="AH413">
            <v>143.53251632700056</v>
          </cell>
          <cell r="AI413">
            <v>17993.729817975</v>
          </cell>
          <cell r="AK413">
            <v>125.64105519633218</v>
          </cell>
          <cell r="AL413">
            <v>10820.851751961747</v>
          </cell>
          <cell r="AN413">
            <v>126.14018531936431</v>
          </cell>
          <cell r="AO413">
            <v>6327.6973717456221</v>
          </cell>
        </row>
        <row r="414">
          <cell r="A414" t="str">
            <v>Intérêt de gros</v>
          </cell>
          <cell r="B414" t="str">
            <v>Intérêt de gros</v>
          </cell>
          <cell r="D414">
            <v>175.29739161328627</v>
          </cell>
          <cell r="E414">
            <v>191074.15685848202</v>
          </cell>
          <cell r="G414">
            <v>197.5665300473496</v>
          </cell>
          <cell r="H414">
            <v>14946.850031180735</v>
          </cell>
          <cell r="J414">
            <v>237.01502745777583</v>
          </cell>
          <cell r="K414">
            <v>15119.773106375509</v>
          </cell>
          <cell r="M414">
            <v>194.75319368656079</v>
          </cell>
          <cell r="N414">
            <v>15962.736392579887</v>
          </cell>
          <cell r="P414">
            <v>176.61268649918139</v>
          </cell>
          <cell r="Q414">
            <v>16899.879549892226</v>
          </cell>
          <cell r="S414">
            <v>136.35495432098273</v>
          </cell>
          <cell r="T414">
            <v>16791.803720378964</v>
          </cell>
          <cell r="V414">
            <v>168.84403684973969</v>
          </cell>
          <cell r="W414">
            <v>16007.035903967248</v>
          </cell>
          <cell r="Y414">
            <v>169.39272086157467</v>
          </cell>
          <cell r="Z414">
            <v>16120.982651349028</v>
          </cell>
          <cell r="AB414">
            <v>163.8889795761709</v>
          </cell>
          <cell r="AC414">
            <v>16342.789420230149</v>
          </cell>
          <cell r="AE414">
            <v>173.22567218257592</v>
          </cell>
          <cell r="AF414">
            <v>17046.788916159512</v>
          </cell>
          <cell r="AH414">
            <v>131.97830558178427</v>
          </cell>
          <cell r="AI414">
            <v>16545.254227010555</v>
          </cell>
          <cell r="AK414">
            <v>170.29827029164238</v>
          </cell>
          <cell r="AL414">
            <v>14666.960043926545</v>
          </cell>
          <cell r="AN414">
            <v>291.50985403432441</v>
          </cell>
          <cell r="AO414">
            <v>14623.302895431645</v>
          </cell>
        </row>
        <row r="415">
          <cell r="A415" t="str">
            <v>[...]</v>
          </cell>
          <cell r="B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B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B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B418" t="str">
            <v>TOTAL VARIABLES</v>
          </cell>
          <cell r="C418">
            <v>0.23035916147090038</v>
          </cell>
          <cell r="D418">
            <v>1318.8265354392659</v>
          </cell>
          <cell r="E418">
            <v>1476530.7574914251</v>
          </cell>
          <cell r="F418">
            <v>0.2431625095924001</v>
          </cell>
          <cell r="H418">
            <v>106040.14169910632</v>
          </cell>
          <cell r="I418">
            <v>0.22674360325584875</v>
          </cell>
          <cell r="K418">
            <v>93443.57034580136</v>
          </cell>
          <cell r="L418">
            <v>0.24185997404799031</v>
          </cell>
          <cell r="N418">
            <v>114420.69473162046</v>
          </cell>
          <cell r="O418">
            <v>0.22519491731420307</v>
          </cell>
          <cell r="Q418">
            <v>129317.43198213144</v>
          </cell>
          <cell r="R418">
            <v>0.23278040702568878</v>
          </cell>
          <cell r="T418">
            <v>157766.51130006142</v>
          </cell>
          <cell r="U418">
            <v>0.24202459244436483</v>
          </cell>
          <cell r="W418">
            <v>127334.27755853772</v>
          </cell>
          <cell r="X418">
            <v>0.23660756591620358</v>
          </cell>
          <cell r="Z418">
            <v>128188.98354904626</v>
          </cell>
          <cell r="AA418">
            <v>0.23235780019730989</v>
          </cell>
          <cell r="AC418">
            <v>132837.24575622138</v>
          </cell>
          <cell r="AD418">
            <v>0.2574007069587273</v>
          </cell>
          <cell r="AF418">
            <v>132404.41687161807</v>
          </cell>
          <cell r="AG418">
            <v>0.24321956409276638</v>
          </cell>
          <cell r="AI418">
            <v>160200.54965485091</v>
          </cell>
          <cell r="AJ418">
            <v>0.17940316923659236</v>
          </cell>
          <cell r="AL418">
            <v>116720.85845836799</v>
          </cell>
          <cell r="AM418">
            <v>0.20864342079813175</v>
          </cell>
          <cell r="AO418">
            <v>77856.075584061706</v>
          </cell>
        </row>
        <row r="419">
          <cell r="A419" t="str">
            <v>Salaires propriétaire</v>
          </cell>
          <cell r="B419" t="str">
            <v>Salaires propriétaire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Salaires cadres</v>
          </cell>
          <cell r="B420" t="str">
            <v>Salaires cadres</v>
          </cell>
          <cell r="E420">
            <v>640297.24116728886</v>
          </cell>
          <cell r="H420">
            <v>51976.551080722333</v>
          </cell>
          <cell r="K420">
            <v>50134.481280875589</v>
          </cell>
          <cell r="N420">
            <v>55660.690680415813</v>
          </cell>
          <cell r="Q420">
            <v>51976.551080722333</v>
          </cell>
          <cell r="T420">
            <v>53818.620880569077</v>
          </cell>
          <cell r="W420">
            <v>53818.620880569077</v>
          </cell>
          <cell r="Z420">
            <v>53818.620880569077</v>
          </cell>
          <cell r="AC420">
            <v>53818.620880569077</v>
          </cell>
          <cell r="AF420">
            <v>53818.620880569077</v>
          </cell>
          <cell r="AI420">
            <v>51976.551080722333</v>
          </cell>
          <cell r="AL420">
            <v>53818.620880569077</v>
          </cell>
          <cell r="AO420">
            <v>55660.690680415813</v>
          </cell>
        </row>
        <row r="421">
          <cell r="A421" t="str">
            <v>Salaires commis</v>
          </cell>
          <cell r="B421" t="str">
            <v>Salaires commis</v>
          </cell>
          <cell r="E421">
            <v>313618.80464000005</v>
          </cell>
          <cell r="H421">
            <v>25233.696925057473</v>
          </cell>
          <cell r="K421">
            <v>24032.09230957854</v>
          </cell>
          <cell r="N421">
            <v>27636.906156015328</v>
          </cell>
          <cell r="Q421">
            <v>25233.696925057473</v>
          </cell>
          <cell r="T421">
            <v>26435.301540536399</v>
          </cell>
          <cell r="W421">
            <v>26435.301540536399</v>
          </cell>
          <cell r="Z421">
            <v>26435.301540536399</v>
          </cell>
          <cell r="AC421">
            <v>26435.301540536399</v>
          </cell>
          <cell r="AF421">
            <v>26435.301540536399</v>
          </cell>
          <cell r="AI421">
            <v>25233.696925057473</v>
          </cell>
          <cell r="AL421">
            <v>26435.301540536399</v>
          </cell>
          <cell r="AO421">
            <v>27636.906156015328</v>
          </cell>
        </row>
        <row r="422">
          <cell r="A422" t="str">
            <v>Salaires autres</v>
          </cell>
          <cell r="B422" t="str">
            <v>Salaires autres</v>
          </cell>
          <cell r="E422">
            <v>542710.2658559999</v>
          </cell>
          <cell r="H422">
            <v>43666.343229793099</v>
          </cell>
          <cell r="K422">
            <v>41586.993552183907</v>
          </cell>
          <cell r="N422">
            <v>47825.042585011499</v>
          </cell>
          <cell r="Q422">
            <v>43666.343229793099</v>
          </cell>
          <cell r="T422">
            <v>45745.692907402299</v>
          </cell>
          <cell r="W422">
            <v>45745.692907402299</v>
          </cell>
          <cell r="Z422">
            <v>45745.692907402299</v>
          </cell>
          <cell r="AC422">
            <v>45745.692907402299</v>
          </cell>
          <cell r="AF422">
            <v>45745.692907402299</v>
          </cell>
          <cell r="AI422">
            <v>43666.343229793099</v>
          </cell>
          <cell r="AL422">
            <v>45745.692907402299</v>
          </cell>
          <cell r="AO422">
            <v>47825.042585011499</v>
          </cell>
        </row>
        <row r="423">
          <cell r="A423" t="str">
            <v>Salaires spécialistes</v>
          </cell>
          <cell r="B423" t="str">
            <v>Salaires spécialistes</v>
          </cell>
          <cell r="E423">
            <v>414307.39319999999</v>
          </cell>
          <cell r="H423">
            <v>33973.008648275863</v>
          </cell>
          <cell r="K423">
            <v>33236.19871264368</v>
          </cell>
          <cell r="N423">
            <v>35446.628519540238</v>
          </cell>
          <cell r="Q423">
            <v>33973.008648275863</v>
          </cell>
          <cell r="T423">
            <v>34709.818583908047</v>
          </cell>
          <cell r="W423">
            <v>34709.818583908047</v>
          </cell>
          <cell r="Z423">
            <v>34709.818583908047</v>
          </cell>
          <cell r="AC423">
            <v>34709.818583908047</v>
          </cell>
          <cell r="AF423">
            <v>34709.818583908047</v>
          </cell>
          <cell r="AI423">
            <v>33973.008648275863</v>
          </cell>
          <cell r="AL423">
            <v>34709.818583908047</v>
          </cell>
          <cell r="AO423">
            <v>35446.628519540238</v>
          </cell>
        </row>
        <row r="424">
          <cell r="A424" t="str">
            <v>[...]</v>
          </cell>
          <cell r="B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B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B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B427" t="str">
            <v>Salaires en absences</v>
          </cell>
          <cell r="E427">
            <v>440888.4318595478</v>
          </cell>
          <cell r="H427">
            <v>34947.682152577298</v>
          </cell>
          <cell r="K427">
            <v>33073.13108091092</v>
          </cell>
          <cell r="N427">
            <v>37417.692929290759</v>
          </cell>
          <cell r="Q427">
            <v>36685.809985278342</v>
          </cell>
          <cell r="T427">
            <v>39062.686178500408</v>
          </cell>
          <cell r="W427">
            <v>37414.988572296192</v>
          </cell>
          <cell r="Z427">
            <v>37933.0054723676</v>
          </cell>
          <cell r="AC427">
            <v>37807.012171711969</v>
          </cell>
          <cell r="AF427">
            <v>37556.547900177349</v>
          </cell>
          <cell r="AI427">
            <v>39028.251489079717</v>
          </cell>
          <cell r="AL427">
            <v>36813.20442198441</v>
          </cell>
          <cell r="AO427">
            <v>33148.419505372825</v>
          </cell>
        </row>
        <row r="428">
          <cell r="A428" t="str">
            <v>Déduction à la source</v>
          </cell>
          <cell r="B428" t="str">
            <v>Déduction à la source</v>
          </cell>
          <cell r="E428">
            <v>440888.4318595478</v>
          </cell>
          <cell r="H428">
            <v>34947.682152577298</v>
          </cell>
          <cell r="K428">
            <v>33073.13108091092</v>
          </cell>
          <cell r="N428">
            <v>37417.692929290759</v>
          </cell>
          <cell r="Q428">
            <v>36685.809985278342</v>
          </cell>
          <cell r="T428">
            <v>39062.686178500408</v>
          </cell>
          <cell r="W428">
            <v>37414.988572296192</v>
          </cell>
          <cell r="Z428">
            <v>37933.0054723676</v>
          </cell>
          <cell r="AC428">
            <v>37807.012171711969</v>
          </cell>
          <cell r="AF428">
            <v>37556.547900177349</v>
          </cell>
          <cell r="AI428">
            <v>39028.251489079717</v>
          </cell>
          <cell r="AL428">
            <v>36813.20442198441</v>
          </cell>
          <cell r="AO428">
            <v>33148.419505372825</v>
          </cell>
        </row>
        <row r="429">
          <cell r="A429" t="str">
            <v>Bénéfices marginaux</v>
          </cell>
          <cell r="B429" t="str">
            <v>Bénéfices marginaux</v>
          </cell>
          <cell r="E429">
            <v>315970.04283267586</v>
          </cell>
          <cell r="H429">
            <v>25045.838876013724</v>
          </cell>
          <cell r="K429">
            <v>23702.410607986159</v>
          </cell>
          <cell r="N429">
            <v>26816.013265991711</v>
          </cell>
          <cell r="Q429">
            <v>26291.497156116147</v>
          </cell>
          <cell r="T429">
            <v>27994.925094591956</v>
          </cell>
          <cell r="W429">
            <v>26814.075143478938</v>
          </cell>
          <cell r="Z429">
            <v>27185.320588530114</v>
          </cell>
          <cell r="AC429">
            <v>27095.02538972691</v>
          </cell>
          <cell r="AF429">
            <v>26915.5259951271</v>
          </cell>
          <cell r="AI429">
            <v>27970.246900507133</v>
          </cell>
          <cell r="AL429">
            <v>26382.796502422163</v>
          </cell>
          <cell r="AO429">
            <v>23756.367312183855</v>
          </cell>
        </row>
        <row r="430">
          <cell r="A430" t="str">
            <v>Csst</v>
          </cell>
          <cell r="B430" t="str">
            <v>Csst</v>
          </cell>
          <cell r="E430">
            <v>73481.405309924623</v>
          </cell>
          <cell r="H430">
            <v>5824.6136920962153</v>
          </cell>
          <cell r="K430">
            <v>5512.1885134851536</v>
          </cell>
          <cell r="N430">
            <v>6236.2821548817947</v>
          </cell>
          <cell r="Q430">
            <v>6114.3016642130569</v>
          </cell>
          <cell r="T430">
            <v>6510.4476964167343</v>
          </cell>
          <cell r="W430">
            <v>6235.831428716032</v>
          </cell>
          <cell r="Z430">
            <v>6322.1675787279346</v>
          </cell>
          <cell r="AC430">
            <v>6301.1686952853279</v>
          </cell>
          <cell r="AF430">
            <v>6259.4246500295585</v>
          </cell>
          <cell r="AI430">
            <v>6504.7085815132868</v>
          </cell>
          <cell r="AL430">
            <v>6135.5340703307356</v>
          </cell>
          <cell r="AO430">
            <v>5524.7365842288045</v>
          </cell>
        </row>
        <row r="431">
          <cell r="A431" t="str">
            <v>[...]</v>
          </cell>
          <cell r="B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B432" t="str">
            <v>TOTAL PERSONNEL</v>
          </cell>
          <cell r="C432">
            <v>0.49646116081098568</v>
          </cell>
          <cell r="E432">
            <v>3182162.0167249851</v>
          </cell>
          <cell r="F432">
            <v>0.58615619739115032</v>
          </cell>
          <cell r="H432">
            <v>255615.4167571133</v>
          </cell>
          <cell r="I432">
            <v>0.59292406583131285</v>
          </cell>
          <cell r="K432">
            <v>244350.62713857484</v>
          </cell>
          <cell r="L432">
            <v>0.58014112544451613</v>
          </cell>
          <cell r="N432">
            <v>274456.94922043791</v>
          </cell>
          <cell r="O432">
            <v>0.45385899658457451</v>
          </cell>
          <cell r="Q432">
            <v>260627.01867473469</v>
          </cell>
          <cell r="R432">
            <v>0.40330636466406861</v>
          </cell>
          <cell r="T432">
            <v>273340.17906042538</v>
          </cell>
          <cell r="U432">
            <v>0.51050841439167038</v>
          </cell>
          <cell r="W432">
            <v>268589.31762920314</v>
          </cell>
          <cell r="X432">
            <v>0.49851136664925927</v>
          </cell>
          <cell r="Z432">
            <v>270082.93302440905</v>
          </cell>
          <cell r="AA432">
            <v>0.47179136191152465</v>
          </cell>
          <cell r="AC432">
            <v>269719.65234085202</v>
          </cell>
          <cell r="AD432">
            <v>0.52294434921595867</v>
          </cell>
          <cell r="AF432">
            <v>268997.48035792721</v>
          </cell>
          <cell r="AG432">
            <v>0.40594307945389735</v>
          </cell>
          <cell r="AI432">
            <v>267381.0583440286</v>
          </cell>
          <cell r="AJ432">
            <v>0.41016220281085486</v>
          </cell>
          <cell r="AL432">
            <v>266854.17332913756</v>
          </cell>
          <cell r="AM432">
            <v>0.70251795269324135</v>
          </cell>
          <cell r="AO432">
            <v>262147.21084814117</v>
          </cell>
        </row>
        <row r="433">
          <cell r="A433" t="str">
            <v>Publicité 2</v>
          </cell>
          <cell r="B433" t="str">
            <v>Publicité 2</v>
          </cell>
          <cell r="E433">
            <v>130581.99999999996</v>
          </cell>
          <cell r="H433">
            <v>10881.833333333332</v>
          </cell>
          <cell r="K433">
            <v>10881.833333333332</v>
          </cell>
          <cell r="N433">
            <v>10881.833333333332</v>
          </cell>
          <cell r="Q433">
            <v>10881.833333333332</v>
          </cell>
          <cell r="T433">
            <v>10881.833333333332</v>
          </cell>
          <cell r="W433">
            <v>10881.833333333332</v>
          </cell>
          <cell r="Z433">
            <v>10881.833333333332</v>
          </cell>
          <cell r="AC433">
            <v>10881.833333333332</v>
          </cell>
          <cell r="AF433">
            <v>10881.833333333332</v>
          </cell>
          <cell r="AI433">
            <v>10881.833333333332</v>
          </cell>
          <cell r="AL433">
            <v>10881.833333333332</v>
          </cell>
          <cell r="AO433">
            <v>10881.833333333332</v>
          </cell>
        </row>
        <row r="434">
          <cell r="A434" t="str">
            <v>Service gratuit 2</v>
          </cell>
          <cell r="B434" t="str">
            <v>Service gratuit 2</v>
          </cell>
          <cell r="E434">
            <v>69461</v>
          </cell>
          <cell r="H434">
            <v>4410.3140789863637</v>
          </cell>
          <cell r="K434">
            <v>4313.6270872097948</v>
          </cell>
          <cell r="N434">
            <v>5093.9266179776569</v>
          </cell>
          <cell r="Q434">
            <v>7916.2334333176977</v>
          </cell>
          <cell r="T434">
            <v>7325.5878886441906</v>
          </cell>
          <cell r="W434">
            <v>5083.1928547194548</v>
          </cell>
          <cell r="Z434">
            <v>5179.8550445119354</v>
          </cell>
          <cell r="AC434">
            <v>5610.7561688627393</v>
          </cell>
          <cell r="AF434">
            <v>4179.058045142312</v>
          </cell>
          <cell r="AI434">
            <v>6201.391673512564</v>
          </cell>
          <cell r="AL434">
            <v>9794.4333370412642</v>
          </cell>
          <cell r="AO434">
            <v>4352.6237700740267</v>
          </cell>
        </row>
        <row r="435">
          <cell r="A435" t="str">
            <v>Frais véhicules de cie</v>
          </cell>
          <cell r="B435" t="str">
            <v>Frais véhicules de cie</v>
          </cell>
          <cell r="E435">
            <v>343049.25000000006</v>
          </cell>
          <cell r="H435">
            <v>26652.437500000004</v>
          </cell>
          <cell r="K435">
            <v>26652.437500000004</v>
          </cell>
          <cell r="N435">
            <v>26652.437500000004</v>
          </cell>
          <cell r="Q435">
            <v>30952.437500000004</v>
          </cell>
          <cell r="T435">
            <v>30952.437500000004</v>
          </cell>
          <cell r="W435">
            <v>26652.437500000004</v>
          </cell>
          <cell r="Z435">
            <v>26652.437500000004</v>
          </cell>
          <cell r="AC435">
            <v>26652.437500000004</v>
          </cell>
          <cell r="AF435">
            <v>26652.437500000004</v>
          </cell>
          <cell r="AI435">
            <v>32672.437500000004</v>
          </cell>
          <cell r="AL435">
            <v>30952.437500000004</v>
          </cell>
          <cell r="AO435">
            <v>30952.437500000004</v>
          </cell>
        </row>
        <row r="436">
          <cell r="A436" t="str">
            <v>Informatique</v>
          </cell>
          <cell r="B436" t="str">
            <v>Informatique</v>
          </cell>
          <cell r="E436">
            <v>233797.36000000007</v>
          </cell>
          <cell r="H436">
            <v>19483.113333333335</v>
          </cell>
          <cell r="K436">
            <v>19483.113333333335</v>
          </cell>
          <cell r="N436">
            <v>19483.113333333335</v>
          </cell>
          <cell r="Q436">
            <v>19483.113333333335</v>
          </cell>
          <cell r="T436">
            <v>19483.113333333335</v>
          </cell>
          <cell r="W436">
            <v>19483.113333333335</v>
          </cell>
          <cell r="Z436">
            <v>19483.113333333335</v>
          </cell>
          <cell r="AC436">
            <v>19483.113333333335</v>
          </cell>
          <cell r="AF436">
            <v>19483.113333333335</v>
          </cell>
          <cell r="AI436">
            <v>19483.113333333335</v>
          </cell>
          <cell r="AL436">
            <v>19483.113333333335</v>
          </cell>
          <cell r="AO436">
            <v>19483.113333333335</v>
          </cell>
        </row>
        <row r="437">
          <cell r="A437" t="str">
            <v>Frais de déplacement</v>
          </cell>
          <cell r="B437" t="str">
            <v>Frais de déplacement</v>
          </cell>
          <cell r="E437">
            <v>59868.629999999983</v>
          </cell>
          <cell r="H437">
            <v>4989.0524999999998</v>
          </cell>
          <cell r="K437">
            <v>4989.0524999999998</v>
          </cell>
          <cell r="N437">
            <v>4989.0524999999998</v>
          </cell>
          <cell r="Q437">
            <v>4989.0524999999998</v>
          </cell>
          <cell r="T437">
            <v>4989.0524999999998</v>
          </cell>
          <cell r="W437">
            <v>4989.0524999999998</v>
          </cell>
          <cell r="Z437">
            <v>4989.0524999999998</v>
          </cell>
          <cell r="AC437">
            <v>4989.0524999999998</v>
          </cell>
          <cell r="AF437">
            <v>4989.0524999999998</v>
          </cell>
          <cell r="AI437">
            <v>4989.0524999999998</v>
          </cell>
          <cell r="AL437">
            <v>4989.0524999999998</v>
          </cell>
          <cell r="AO437">
            <v>4989.0524999999998</v>
          </cell>
        </row>
        <row r="438">
          <cell r="A438" t="str">
            <v>Services extérieurs</v>
          </cell>
          <cell r="B438" t="str">
            <v>Services extérieurs</v>
          </cell>
          <cell r="E438">
            <v>296188.26659999997</v>
          </cell>
          <cell r="H438">
            <v>23987.578033333331</v>
          </cell>
          <cell r="K438">
            <v>23775.59623333333</v>
          </cell>
          <cell r="N438">
            <v>24453.016333333333</v>
          </cell>
          <cell r="Q438">
            <v>25272.370533333331</v>
          </cell>
          <cell r="T438">
            <v>26963.616633333331</v>
          </cell>
          <cell r="W438">
            <v>24222.601333333332</v>
          </cell>
          <cell r="Z438">
            <v>24222.601333333332</v>
          </cell>
          <cell r="AC438">
            <v>23835.504133333332</v>
          </cell>
          <cell r="AF438">
            <v>24047.48593333333</v>
          </cell>
          <cell r="AI438">
            <v>25631.817933333332</v>
          </cell>
          <cell r="AL438">
            <v>26078.823033333334</v>
          </cell>
          <cell r="AO438">
            <v>23697.255133333332</v>
          </cell>
        </row>
        <row r="439">
          <cell r="A439" t="str">
            <v>Fournitures autres</v>
          </cell>
          <cell r="B439" t="str">
            <v>Fournitures autres</v>
          </cell>
          <cell r="E439">
            <v>12624</v>
          </cell>
          <cell r="H439">
            <v>997.68078981366978</v>
          </cell>
          <cell r="K439">
            <v>911.0471334825437</v>
          </cell>
          <cell r="N439">
            <v>1055.9918945244963</v>
          </cell>
          <cell r="Q439">
            <v>1081.48976835963</v>
          </cell>
          <cell r="T439">
            <v>1167.5250043170377</v>
          </cell>
          <cell r="W439">
            <v>1075.8272153679354</v>
          </cell>
          <cell r="Z439">
            <v>1109.1814527032375</v>
          </cell>
          <cell r="AC439">
            <v>1096.82161779648</v>
          </cell>
          <cell r="AF439">
            <v>1094.0645289423428</v>
          </cell>
          <cell r="AI439">
            <v>1208.7204223834849</v>
          </cell>
          <cell r="AL439">
            <v>1036.9958587064084</v>
          </cell>
          <cell r="AO439">
            <v>788.65431360273351</v>
          </cell>
        </row>
        <row r="440">
          <cell r="A440" t="str">
            <v>Uniformes</v>
          </cell>
          <cell r="B440" t="str">
            <v>Uniformes</v>
          </cell>
          <cell r="E440">
            <v>18180</v>
          </cell>
          <cell r="H440">
            <v>1515</v>
          </cell>
          <cell r="K440">
            <v>1515</v>
          </cell>
          <cell r="N440">
            <v>1515</v>
          </cell>
          <cell r="Q440">
            <v>1515</v>
          </cell>
          <cell r="T440">
            <v>1515</v>
          </cell>
          <cell r="W440">
            <v>1515</v>
          </cell>
          <cell r="Z440">
            <v>1515</v>
          </cell>
          <cell r="AC440">
            <v>1515</v>
          </cell>
          <cell r="AF440">
            <v>1515</v>
          </cell>
          <cell r="AI440">
            <v>1515</v>
          </cell>
          <cell r="AL440">
            <v>1515</v>
          </cell>
          <cell r="AO440">
            <v>1515</v>
          </cell>
        </row>
        <row r="441">
          <cell r="A441" t="str">
            <v>Papeterie</v>
          </cell>
          <cell r="B441" t="str">
            <v>Papeterie</v>
          </cell>
          <cell r="E441">
            <v>26160</v>
          </cell>
          <cell r="H441">
            <v>2180</v>
          </cell>
          <cell r="K441">
            <v>2180</v>
          </cell>
          <cell r="N441">
            <v>2180</v>
          </cell>
          <cell r="Q441">
            <v>2180</v>
          </cell>
          <cell r="T441">
            <v>2180</v>
          </cell>
          <cell r="W441">
            <v>2180</v>
          </cell>
          <cell r="Z441">
            <v>2180</v>
          </cell>
          <cell r="AC441">
            <v>2180</v>
          </cell>
          <cell r="AF441">
            <v>2180</v>
          </cell>
          <cell r="AI441">
            <v>2180</v>
          </cell>
          <cell r="AL441">
            <v>2180</v>
          </cell>
          <cell r="AO441">
            <v>2180</v>
          </cell>
        </row>
        <row r="442">
          <cell r="A442" t="str">
            <v>Téléphone</v>
          </cell>
          <cell r="B442" t="str">
            <v>Téléphone</v>
          </cell>
          <cell r="E442">
            <v>23389.199999999997</v>
          </cell>
          <cell r="H442">
            <v>1949.1</v>
          </cell>
          <cell r="K442">
            <v>1949.1</v>
          </cell>
          <cell r="N442">
            <v>1949.1</v>
          </cell>
          <cell r="Q442">
            <v>1949.1</v>
          </cell>
          <cell r="T442">
            <v>1949.1</v>
          </cell>
          <cell r="W442">
            <v>1949.1</v>
          </cell>
          <cell r="Z442">
            <v>1949.1</v>
          </cell>
          <cell r="AC442">
            <v>1949.1</v>
          </cell>
          <cell r="AF442">
            <v>1949.1</v>
          </cell>
          <cell r="AI442">
            <v>1949.1</v>
          </cell>
          <cell r="AL442">
            <v>1949.1</v>
          </cell>
          <cell r="AO442">
            <v>1949.1</v>
          </cell>
        </row>
        <row r="443">
          <cell r="A443" t="str">
            <v>Frais postaux</v>
          </cell>
          <cell r="B443" t="str">
            <v>Frais postaux</v>
          </cell>
          <cell r="E443">
            <v>10380</v>
          </cell>
          <cell r="H443">
            <v>865</v>
          </cell>
          <cell r="K443">
            <v>865</v>
          </cell>
          <cell r="N443">
            <v>865</v>
          </cell>
          <cell r="Q443">
            <v>865</v>
          </cell>
          <cell r="T443">
            <v>865</v>
          </cell>
          <cell r="W443">
            <v>865</v>
          </cell>
          <cell r="Z443">
            <v>865</v>
          </cell>
          <cell r="AC443">
            <v>865</v>
          </cell>
          <cell r="AF443">
            <v>865</v>
          </cell>
          <cell r="AI443">
            <v>865</v>
          </cell>
          <cell r="AL443">
            <v>865</v>
          </cell>
          <cell r="AO443">
            <v>865</v>
          </cell>
        </row>
        <row r="444">
          <cell r="A444" t="str">
            <v>Divers</v>
          </cell>
          <cell r="B444" t="str">
            <v>Divers</v>
          </cell>
          <cell r="E444">
            <v>46692</v>
          </cell>
          <cell r="H444">
            <v>3891</v>
          </cell>
          <cell r="K444">
            <v>3891</v>
          </cell>
          <cell r="N444">
            <v>3891</v>
          </cell>
          <cell r="Q444">
            <v>3891</v>
          </cell>
          <cell r="T444">
            <v>3891</v>
          </cell>
          <cell r="W444">
            <v>3891</v>
          </cell>
          <cell r="Z444">
            <v>3891</v>
          </cell>
          <cell r="AC444">
            <v>3891</v>
          </cell>
          <cell r="AF444">
            <v>3891</v>
          </cell>
          <cell r="AI444">
            <v>3891</v>
          </cell>
          <cell r="AL444">
            <v>3891</v>
          </cell>
          <cell r="AO444">
            <v>3891</v>
          </cell>
        </row>
        <row r="445">
          <cell r="A445" t="str">
            <v>Formation</v>
          </cell>
          <cell r="B445" t="str">
            <v>Formation</v>
          </cell>
          <cell r="E445">
            <v>38263</v>
          </cell>
          <cell r="H445">
            <v>3188.5833333333335</v>
          </cell>
          <cell r="K445">
            <v>3188.5833333333335</v>
          </cell>
          <cell r="N445">
            <v>3188.5833333333335</v>
          </cell>
          <cell r="Q445">
            <v>3188.5833333333335</v>
          </cell>
          <cell r="T445">
            <v>3188.5833333333335</v>
          </cell>
          <cell r="W445">
            <v>3188.5833333333335</v>
          </cell>
          <cell r="Z445">
            <v>3188.5833333333335</v>
          </cell>
          <cell r="AC445">
            <v>3188.5833333333335</v>
          </cell>
          <cell r="AF445">
            <v>3188.5833333333335</v>
          </cell>
          <cell r="AI445">
            <v>3188.5833333333335</v>
          </cell>
          <cell r="AL445">
            <v>3188.5833333333335</v>
          </cell>
          <cell r="AO445">
            <v>3188.5833333333335</v>
          </cell>
        </row>
        <row r="446">
          <cell r="A446" t="str">
            <v>Frais bancaires</v>
          </cell>
          <cell r="B446" t="str">
            <v>Frais bancaires</v>
          </cell>
          <cell r="E446">
            <v>106070</v>
          </cell>
          <cell r="H446">
            <v>6523.9807276844222</v>
          </cell>
          <cell r="K446">
            <v>5627.3355735390151</v>
          </cell>
          <cell r="N446">
            <v>6510.3567420586751</v>
          </cell>
          <cell r="Q446">
            <v>12515.581382791654</v>
          </cell>
          <cell r="T446">
            <v>11470.804376211276</v>
          </cell>
          <cell r="W446">
            <v>7581.8373529437131</v>
          </cell>
          <cell r="Z446">
            <v>7148.0561159126655</v>
          </cell>
          <cell r="AC446">
            <v>7878.6877244036023</v>
          </cell>
          <cell r="AF446">
            <v>5966.5375596731956</v>
          </cell>
          <cell r="AI446">
            <v>11184.507304717108</v>
          </cell>
          <cell r="AL446">
            <v>16275.405399379457</v>
          </cell>
          <cell r="AO446">
            <v>7386.9097406852206</v>
          </cell>
        </row>
        <row r="447">
          <cell r="A447" t="str">
            <v>[...]</v>
          </cell>
          <cell r="B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B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B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B450" t="str">
            <v>TOTAL SEMI-FIXES</v>
          </cell>
          <cell r="C450">
            <v>0.22071344486923411</v>
          </cell>
          <cell r="E450">
            <v>1414704.7065999999</v>
          </cell>
          <cell r="F450">
            <v>0.25571625482307764</v>
          </cell>
          <cell r="H450">
            <v>111514.67362981779</v>
          </cell>
          <cell r="I450">
            <v>0.26745872367338547</v>
          </cell>
          <cell r="K450">
            <v>110222.7260275647</v>
          </cell>
          <cell r="L450">
            <v>0.23824058720825977</v>
          </cell>
          <cell r="N450">
            <v>112708.41158789417</v>
          </cell>
          <cell r="O450">
            <v>0.22060344645409338</v>
          </cell>
          <cell r="Q450">
            <v>126680.79511780234</v>
          </cell>
          <cell r="R450">
            <v>0.18712354575271561</v>
          </cell>
          <cell r="T450">
            <v>126822.65390250584</v>
          </cell>
          <cell r="U450">
            <v>0.21584108591212264</v>
          </cell>
          <cell r="W450">
            <v>113558.57875636444</v>
          </cell>
          <cell r="X450">
            <v>0.2090425020486408</v>
          </cell>
          <cell r="Z450">
            <v>113254.81394646117</v>
          </cell>
          <cell r="AA450">
            <v>0.19943739056235707</v>
          </cell>
          <cell r="AC450">
            <v>114016.88964439616</v>
          </cell>
          <cell r="AD450">
            <v>0.21556058588686697</v>
          </cell>
          <cell r="AF450">
            <v>110882.26606709117</v>
          </cell>
          <cell r="AG450">
            <v>0.19105507930815357</v>
          </cell>
          <cell r="AI450">
            <v>125841.55733394649</v>
          </cell>
          <cell r="AJ450">
            <v>0.20454881489354179</v>
          </cell>
          <cell r="AL450">
            <v>133080.77762846046</v>
          </cell>
          <cell r="AM450">
            <v>0.31118690864837484</v>
          </cell>
          <cell r="AO450">
            <v>116120.56295769534</v>
          </cell>
        </row>
        <row r="451">
          <cell r="A451" t="str">
            <v>Loyer</v>
          </cell>
          <cell r="B451" t="str">
            <v>Loyer</v>
          </cell>
          <cell r="E451">
            <v>312000</v>
          </cell>
          <cell r="H451">
            <v>26000</v>
          </cell>
          <cell r="K451">
            <v>26000</v>
          </cell>
          <cell r="N451">
            <v>26000</v>
          </cell>
          <cell r="Q451">
            <v>26000</v>
          </cell>
          <cell r="T451">
            <v>26000</v>
          </cell>
          <cell r="W451">
            <v>26000</v>
          </cell>
          <cell r="Z451">
            <v>26000</v>
          </cell>
          <cell r="AC451">
            <v>26000</v>
          </cell>
          <cell r="AF451">
            <v>26000</v>
          </cell>
          <cell r="AI451">
            <v>26000</v>
          </cell>
          <cell r="AL451">
            <v>26000</v>
          </cell>
          <cell r="AO451">
            <v>26000</v>
          </cell>
        </row>
        <row r="452">
          <cell r="A452" t="str">
            <v>Taxes foncières</v>
          </cell>
          <cell r="B452" t="str">
            <v>Taxes foncières</v>
          </cell>
          <cell r="E452">
            <v>57720</v>
          </cell>
          <cell r="H452">
            <v>4810</v>
          </cell>
          <cell r="K452">
            <v>4810</v>
          </cell>
          <cell r="N452">
            <v>4810</v>
          </cell>
          <cell r="Q452">
            <v>4810</v>
          </cell>
          <cell r="T452">
            <v>4810</v>
          </cell>
          <cell r="W452">
            <v>4810</v>
          </cell>
          <cell r="Z452">
            <v>4810</v>
          </cell>
          <cell r="AC452">
            <v>4810</v>
          </cell>
          <cell r="AF452">
            <v>4810</v>
          </cell>
          <cell r="AI452">
            <v>4810</v>
          </cell>
          <cell r="AL452">
            <v>4810</v>
          </cell>
          <cell r="AO452">
            <v>4810</v>
          </cell>
        </row>
        <row r="453">
          <cell r="A453" t="str">
            <v>Taxes d`affaires</v>
          </cell>
          <cell r="B453" t="str">
            <v>Taxes d`affaires</v>
          </cell>
          <cell r="E453">
            <v>38400</v>
          </cell>
          <cell r="H453">
            <v>3200</v>
          </cell>
          <cell r="K453">
            <v>3200</v>
          </cell>
          <cell r="N453">
            <v>3200</v>
          </cell>
          <cell r="Q453">
            <v>3200</v>
          </cell>
          <cell r="T453">
            <v>3200</v>
          </cell>
          <cell r="W453">
            <v>3200</v>
          </cell>
          <cell r="Z453">
            <v>3200</v>
          </cell>
          <cell r="AC453">
            <v>3200</v>
          </cell>
          <cell r="AF453">
            <v>3200</v>
          </cell>
          <cell r="AI453">
            <v>3200</v>
          </cell>
          <cell r="AL453">
            <v>3200</v>
          </cell>
          <cell r="AO453">
            <v>3200</v>
          </cell>
        </row>
        <row r="454">
          <cell r="A454" t="str">
            <v>Taxe sur le capital</v>
          </cell>
          <cell r="B454" t="str">
            <v>Taxe sur le capital</v>
          </cell>
          <cell r="E454">
            <v>0</v>
          </cell>
        </row>
        <row r="455">
          <cell r="A455" t="str">
            <v>Assurances</v>
          </cell>
          <cell r="B455" t="str">
            <v>Assurances</v>
          </cell>
          <cell r="E455">
            <v>44497.000000000022</v>
          </cell>
          <cell r="H455">
            <v>3708.0833333333339</v>
          </cell>
          <cell r="K455">
            <v>3708.0833333333339</v>
          </cell>
          <cell r="N455">
            <v>3708.0833333333339</v>
          </cell>
          <cell r="Q455">
            <v>3708.0833333333339</v>
          </cell>
          <cell r="T455">
            <v>3708.0833333333339</v>
          </cell>
          <cell r="W455">
            <v>3708.0833333333339</v>
          </cell>
          <cell r="Z455">
            <v>3708.0833333333339</v>
          </cell>
          <cell r="AC455">
            <v>3708.0833333333339</v>
          </cell>
          <cell r="AF455">
            <v>3708.0833333333339</v>
          </cell>
          <cell r="AI455">
            <v>3708.0833333333339</v>
          </cell>
          <cell r="AL455">
            <v>3708.0833333333339</v>
          </cell>
          <cell r="AO455">
            <v>3708.0833333333339</v>
          </cell>
        </row>
        <row r="456">
          <cell r="A456" t="str">
            <v>Chauffage, éclairage</v>
          </cell>
          <cell r="B456" t="str">
            <v>Chauffage, éclairage</v>
          </cell>
          <cell r="E456">
            <v>45720</v>
          </cell>
          <cell r="H456">
            <v>3810</v>
          </cell>
          <cell r="K456">
            <v>3810</v>
          </cell>
          <cell r="N456">
            <v>3810</v>
          </cell>
          <cell r="Q456">
            <v>3810</v>
          </cell>
          <cell r="T456">
            <v>3810</v>
          </cell>
          <cell r="W456">
            <v>3810</v>
          </cell>
          <cell r="Z456">
            <v>3810</v>
          </cell>
          <cell r="AC456">
            <v>3810</v>
          </cell>
          <cell r="AF456">
            <v>3810</v>
          </cell>
          <cell r="AI456">
            <v>3810</v>
          </cell>
          <cell r="AL456">
            <v>3810</v>
          </cell>
          <cell r="AO456">
            <v>3810</v>
          </cell>
        </row>
        <row r="457">
          <cell r="A457" t="str">
            <v>Honoraires</v>
          </cell>
          <cell r="B457" t="str">
            <v>Honoraires</v>
          </cell>
          <cell r="E457">
            <v>74606.000000000029</v>
          </cell>
          <cell r="H457">
            <v>6217.1666666666679</v>
          </cell>
          <cell r="K457">
            <v>6217.1666666666679</v>
          </cell>
          <cell r="N457">
            <v>6217.1666666666679</v>
          </cell>
          <cell r="Q457">
            <v>6217.1666666666679</v>
          </cell>
          <cell r="T457">
            <v>6217.1666666666679</v>
          </cell>
          <cell r="W457">
            <v>6217.1666666666679</v>
          </cell>
          <cell r="Z457">
            <v>6217.1666666666679</v>
          </cell>
          <cell r="AC457">
            <v>6217.1666666666679</v>
          </cell>
          <cell r="AF457">
            <v>6217.1666666666679</v>
          </cell>
          <cell r="AI457">
            <v>6217.1666666666679</v>
          </cell>
          <cell r="AL457">
            <v>6217.1666666666679</v>
          </cell>
          <cell r="AO457">
            <v>6217.1666666666679</v>
          </cell>
        </row>
        <row r="458">
          <cell r="A458" t="str">
            <v>Réparation équipement</v>
          </cell>
          <cell r="B458" t="str">
            <v>Réparation équipement</v>
          </cell>
          <cell r="E458">
            <v>12000</v>
          </cell>
          <cell r="H458">
            <v>1000</v>
          </cell>
          <cell r="K458">
            <v>1000</v>
          </cell>
          <cell r="N458">
            <v>1000</v>
          </cell>
          <cell r="Q458">
            <v>1000</v>
          </cell>
          <cell r="T458">
            <v>1000</v>
          </cell>
          <cell r="W458">
            <v>1000</v>
          </cell>
          <cell r="Z458">
            <v>1000</v>
          </cell>
          <cell r="AC458">
            <v>1000</v>
          </cell>
          <cell r="AF458">
            <v>1000</v>
          </cell>
          <cell r="AI458">
            <v>1000</v>
          </cell>
          <cell r="AL458">
            <v>1000</v>
          </cell>
          <cell r="AO458">
            <v>1000</v>
          </cell>
        </row>
        <row r="459">
          <cell r="A459" t="str">
            <v>Location équipement</v>
          </cell>
          <cell r="B459" t="str">
            <v>Location équipement</v>
          </cell>
          <cell r="E459">
            <v>10800</v>
          </cell>
          <cell r="H459">
            <v>900</v>
          </cell>
          <cell r="K459">
            <v>900</v>
          </cell>
          <cell r="N459">
            <v>900</v>
          </cell>
          <cell r="Q459">
            <v>900</v>
          </cell>
          <cell r="T459">
            <v>900</v>
          </cell>
          <cell r="W459">
            <v>900</v>
          </cell>
          <cell r="Z459">
            <v>900</v>
          </cell>
          <cell r="AC459">
            <v>900</v>
          </cell>
          <cell r="AF459">
            <v>900</v>
          </cell>
          <cell r="AI459">
            <v>900</v>
          </cell>
          <cell r="AL459">
            <v>900</v>
          </cell>
          <cell r="AO459">
            <v>900</v>
          </cell>
        </row>
        <row r="460">
          <cell r="A460" t="str">
            <v>Dons</v>
          </cell>
          <cell r="B460" t="str">
            <v>Dons</v>
          </cell>
          <cell r="E460">
            <v>0</v>
          </cell>
        </row>
        <row r="461">
          <cell r="A461" t="str">
            <v>[...]</v>
          </cell>
          <cell r="B461" t="str">
            <v>[...]</v>
          </cell>
          <cell r="E461">
            <v>0</v>
          </cell>
        </row>
        <row r="462">
          <cell r="A462" t="str">
            <v>[...]</v>
          </cell>
          <cell r="B462" t="str">
            <v>[...]</v>
          </cell>
          <cell r="E462">
            <v>0</v>
          </cell>
        </row>
        <row r="463">
          <cell r="A463" t="str">
            <v>[...]</v>
          </cell>
          <cell r="B463" t="str">
            <v>[...]</v>
          </cell>
          <cell r="E463">
            <v>0</v>
          </cell>
        </row>
        <row r="464">
          <cell r="A464" t="str">
            <v>TOTAL DÉPENSES FIXES</v>
          </cell>
          <cell r="B464" t="str">
            <v>TOTAL DÉPENSES FIXES</v>
          </cell>
          <cell r="C464">
            <v>9.294412407995882E-2</v>
          </cell>
          <cell r="E464">
            <v>595743</v>
          </cell>
          <cell r="F464">
            <v>0.11384239388887803</v>
          </cell>
          <cell r="H464">
            <v>49645.25</v>
          </cell>
          <cell r="I464">
            <v>0.1204656759997529</v>
          </cell>
          <cell r="K464">
            <v>49645.25</v>
          </cell>
          <cell r="L464">
            <v>0.10493904887371541</v>
          </cell>
          <cell r="N464">
            <v>49645.25</v>
          </cell>
          <cell r="O464">
            <v>8.6452830043344253E-2</v>
          </cell>
          <cell r="Q464">
            <v>49645.25</v>
          </cell>
          <cell r="R464">
            <v>7.3250282374010864E-2</v>
          </cell>
          <cell r="T464">
            <v>49645.25</v>
          </cell>
          <cell r="U464">
            <v>9.436085576034256E-2</v>
          </cell>
          <cell r="W464">
            <v>49645.25</v>
          </cell>
          <cell r="X464">
            <v>9.1633785030420425E-2</v>
          </cell>
          <cell r="Z464">
            <v>49645.25</v>
          </cell>
          <cell r="AA464">
            <v>8.6839056430114525E-2</v>
          </cell>
          <cell r="AC464">
            <v>49645.25</v>
          </cell>
          <cell r="AD464">
            <v>9.6512810894618842E-2</v>
          </cell>
          <cell r="AF464">
            <v>49645.25</v>
          </cell>
          <cell r="AG464">
            <v>7.5372376001774752E-2</v>
          </cell>
          <cell r="AI464">
            <v>49645.25</v>
          </cell>
          <cell r="AJ464">
            <v>7.6306114478413581E-2</v>
          </cell>
          <cell r="AL464">
            <v>49645.25</v>
          </cell>
          <cell r="AM464">
            <v>0.13304234394905615</v>
          </cell>
          <cell r="AO464">
            <v>49645.25</v>
          </cell>
        </row>
        <row r="465">
          <cell r="A465">
            <v>0</v>
          </cell>
        </row>
        <row r="466">
          <cell r="A466" t="str">
            <v>TOTAL DES DÉPENSES</v>
          </cell>
          <cell r="B466" t="str">
            <v>TOTAL DES DÉPENSES</v>
          </cell>
          <cell r="C466">
            <v>1.040477891231079</v>
          </cell>
          <cell r="E466">
            <v>6669140.4808164099</v>
          </cell>
          <cell r="F466">
            <v>1.1988773556955061</v>
          </cell>
          <cell r="H466">
            <v>522815.4820860374</v>
          </cell>
          <cell r="I466">
            <v>1.2075920687602999</v>
          </cell>
          <cell r="K466">
            <v>497662.17351194087</v>
          </cell>
          <cell r="L466">
            <v>1.1651807355744817</v>
          </cell>
          <cell r="N466">
            <v>551231.30553995259</v>
          </cell>
          <cell r="O466">
            <v>0.98611019039621517</v>
          </cell>
          <cell r="Q466">
            <v>566270.49577466841</v>
          </cell>
          <cell r="R466">
            <v>0.89646059981648374</v>
          </cell>
          <cell r="T466">
            <v>607574.59426299261</v>
          </cell>
          <cell r="U466">
            <v>1.0627349485085003</v>
          </cell>
          <cell r="W466">
            <v>559127.42394410528</v>
          </cell>
          <cell r="X466">
            <v>1.0357952196445241</v>
          </cell>
          <cell r="Z466">
            <v>561171.98051991651</v>
          </cell>
          <cell r="AA466">
            <v>0.99042560910130617</v>
          </cell>
          <cell r="AC466">
            <v>566219.03774146957</v>
          </cell>
          <cell r="AD466">
            <v>1.0924184529561718</v>
          </cell>
          <cell r="AF466">
            <v>561929.41329663643</v>
          </cell>
          <cell r="AG466">
            <v>0.91559009885659204</v>
          </cell>
          <cell r="AI466">
            <v>603068.41533282597</v>
          </cell>
          <cell r="AJ466">
            <v>0.87042030141940263</v>
          </cell>
          <cell r="AL466">
            <v>566301.05941596604</v>
          </cell>
          <cell r="AM466">
            <v>1.3553906260888042</v>
          </cell>
          <cell r="AO466">
            <v>505769.09938989824</v>
          </cell>
        </row>
        <row r="467">
          <cell r="A467" t="str">
            <v>Revenus autres</v>
          </cell>
          <cell r="B467" t="str">
            <v>Revenus autres</v>
          </cell>
          <cell r="E467">
            <v>0</v>
          </cell>
        </row>
        <row r="468">
          <cell r="A468" t="str">
            <v>Holdbacks</v>
          </cell>
          <cell r="B468" t="str">
            <v>Holdbacks</v>
          </cell>
          <cell r="E468">
            <v>739261.69357707503</v>
          </cell>
          <cell r="H468">
            <v>36963.084678853753</v>
          </cell>
          <cell r="K468">
            <v>36963.084678853753</v>
          </cell>
          <cell r="N468">
            <v>73926.169357707506</v>
          </cell>
          <cell r="Q468">
            <v>73926.169357707506</v>
          </cell>
          <cell r="T468">
            <v>81318.786293478261</v>
          </cell>
          <cell r="W468">
            <v>59140.935486166003</v>
          </cell>
          <cell r="Z468">
            <v>51748.318550395255</v>
          </cell>
          <cell r="AC468">
            <v>73926.169357707506</v>
          </cell>
          <cell r="AF468">
            <v>73926.169357707506</v>
          </cell>
          <cell r="AI468">
            <v>81318.786293478261</v>
          </cell>
          <cell r="AL468">
            <v>73926.169357707506</v>
          </cell>
          <cell r="AO468">
            <v>22177.85080731225</v>
          </cell>
        </row>
        <row r="469">
          <cell r="A469" t="str">
            <v>Programme neuf 1</v>
          </cell>
          <cell r="B469" t="str">
            <v>Programme neuf 1</v>
          </cell>
          <cell r="E469">
            <v>84157.371389625943</v>
          </cell>
          <cell r="H469">
            <v>19827.767250000001</v>
          </cell>
          <cell r="K469">
            <v>1201.2880890289925</v>
          </cell>
          <cell r="N469">
            <v>758.49607159347272</v>
          </cell>
          <cell r="Q469">
            <v>7158.5199510629927</v>
          </cell>
          <cell r="T469">
            <v>9354.2258593001643</v>
          </cell>
          <cell r="W469">
            <v>6590.4401189808532</v>
          </cell>
          <cell r="Z469">
            <v>6561.4807420660518</v>
          </cell>
          <cell r="AC469">
            <v>6947.771060843972</v>
          </cell>
          <cell r="AF469">
            <v>7613.3408501427211</v>
          </cell>
          <cell r="AI469">
            <v>9443.285860908014</v>
          </cell>
          <cell r="AL469">
            <v>5488.0002772516173</v>
          </cell>
          <cell r="AO469">
            <v>3212.7552584470782</v>
          </cell>
        </row>
        <row r="470">
          <cell r="A470" t="str">
            <v>Programme neuf 2</v>
          </cell>
          <cell r="B470" t="str">
            <v>Programme neuf 2</v>
          </cell>
          <cell r="E470">
            <v>0</v>
          </cell>
          <cell r="H470">
            <v>0</v>
          </cell>
          <cell r="K470">
            <v>0</v>
          </cell>
          <cell r="N470">
            <v>0</v>
          </cell>
          <cell r="Q470">
            <v>0</v>
          </cell>
          <cell r="T470">
            <v>0</v>
          </cell>
          <cell r="W470">
            <v>0</v>
          </cell>
          <cell r="Z470">
            <v>0</v>
          </cell>
          <cell r="AC470">
            <v>0</v>
          </cell>
          <cell r="AF470">
            <v>0</v>
          </cell>
          <cell r="AI470">
            <v>0</v>
          </cell>
          <cell r="AL470">
            <v>0</v>
          </cell>
          <cell r="AO470">
            <v>0</v>
          </cell>
        </row>
        <row r="471">
          <cell r="A471" t="str">
            <v>Programme neuf 3</v>
          </cell>
          <cell r="B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Programme used 1</v>
          </cell>
          <cell r="B472" t="str">
            <v>Programme used 1</v>
          </cell>
          <cell r="E472">
            <v>34000</v>
          </cell>
          <cell r="H472">
            <v>0</v>
          </cell>
          <cell r="K472">
            <v>0</v>
          </cell>
          <cell r="N472">
            <v>8500</v>
          </cell>
          <cell r="Q472">
            <v>0</v>
          </cell>
          <cell r="T472">
            <v>0</v>
          </cell>
          <cell r="W472">
            <v>8500</v>
          </cell>
          <cell r="Z472">
            <v>0</v>
          </cell>
          <cell r="AC472">
            <v>0</v>
          </cell>
          <cell r="AF472">
            <v>8500</v>
          </cell>
          <cell r="AI472">
            <v>0</v>
          </cell>
          <cell r="AL472">
            <v>0</v>
          </cell>
          <cell r="AO472">
            <v>8500</v>
          </cell>
        </row>
        <row r="473">
          <cell r="A473" t="str">
            <v>Programme used 2</v>
          </cell>
          <cell r="B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B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B475" t="str">
            <v>[...]</v>
          </cell>
          <cell r="E475">
            <v>0</v>
          </cell>
        </row>
        <row r="476">
          <cell r="A476" t="str">
            <v>[...]</v>
          </cell>
          <cell r="B476" t="str">
            <v>[...]</v>
          </cell>
          <cell r="E476">
            <v>0</v>
          </cell>
        </row>
        <row r="477">
          <cell r="A477" t="str">
            <v>[...]</v>
          </cell>
          <cell r="B477" t="str">
            <v>[...]</v>
          </cell>
          <cell r="E477">
            <v>0</v>
          </cell>
        </row>
        <row r="478">
          <cell r="A478" t="str">
            <v>Frais administration</v>
          </cell>
          <cell r="B478" t="str">
            <v>Frais administration</v>
          </cell>
          <cell r="E478">
            <v>365612.4</v>
          </cell>
          <cell r="H478">
            <v>25574.084020118418</v>
          </cell>
          <cell r="K478">
            <v>21283.976156716744</v>
          </cell>
          <cell r="N478">
            <v>27640.163517536083</v>
          </cell>
          <cell r="Q478">
            <v>32155.184060439962</v>
          </cell>
          <cell r="T478">
            <v>41423.900963995366</v>
          </cell>
          <cell r="W478">
            <v>31710.532086767125</v>
          </cell>
          <cell r="Z478">
            <v>31816.87357352172</v>
          </cell>
          <cell r="AC478">
            <v>33359.117537468592</v>
          </cell>
          <cell r="AF478">
            <v>33142.617135197477</v>
          </cell>
          <cell r="AI478">
            <v>42145.971167663149</v>
          </cell>
          <cell r="AL478">
            <v>28661.299804920716</v>
          </cell>
          <cell r="AO478">
            <v>16698.679975654657</v>
          </cell>
        </row>
        <row r="479">
          <cell r="A479" t="str">
            <v>TOTAL AUTRES REVENUS</v>
          </cell>
          <cell r="B479" t="str">
            <v>TOTAL AUTRES REVENUS</v>
          </cell>
          <cell r="C479">
            <v>0.19080977574819824</v>
          </cell>
          <cell r="E479">
            <v>1223031.4649667009</v>
          </cell>
          <cell r="F479">
            <v>0.18887247986333233</v>
          </cell>
          <cell r="H479">
            <v>82364.935948972168</v>
          </cell>
          <cell r="I479">
            <v>0.14425318716838087</v>
          </cell>
          <cell r="K479">
            <v>59448.348924599486</v>
          </cell>
          <cell r="L479">
            <v>0.23425911121956855</v>
          </cell>
          <cell r="N479">
            <v>110824.82894683706</v>
          </cell>
          <cell r="O479">
            <v>0.19719726512643559</v>
          </cell>
          <cell r="Q479">
            <v>113239.87336921046</v>
          </cell>
          <cell r="R479">
            <v>0.19490557881245155</v>
          </cell>
          <cell r="T479">
            <v>132096.91311677379</v>
          </cell>
          <cell r="U479">
            <v>0.20136405941539667</v>
          </cell>
          <cell r="W479">
            <v>105941.90769191398</v>
          </cell>
          <cell r="X479">
            <v>0.16635323957294029</v>
          </cell>
          <cell r="Z479">
            <v>90126.672865983026</v>
          </cell>
          <cell r="AA479">
            <v>0.19981551036659839</v>
          </cell>
          <cell r="AC479">
            <v>114233.05795602006</v>
          </cell>
          <cell r="AD479">
            <v>0.23947212194230907</v>
          </cell>
          <cell r="AF479">
            <v>123182.1273430477</v>
          </cell>
          <cell r="AG479">
            <v>0.20178355461861264</v>
          </cell>
          <cell r="AI479">
            <v>132908.04332204943</v>
          </cell>
          <cell r="AJ479">
            <v>0.16611496856975763</v>
          </cell>
          <cell r="AL479">
            <v>108075.46943987985</v>
          </cell>
          <cell r="AM479">
            <v>0.13557222883677664</v>
          </cell>
          <cell r="AO479">
            <v>50589.286041413987</v>
          </cell>
        </row>
        <row r="480">
          <cell r="A480">
            <v>0</v>
          </cell>
        </row>
        <row r="481">
          <cell r="A481" t="str">
            <v>BAIIA OPÉRATIONNEL</v>
          </cell>
          <cell r="B481" t="str">
            <v>BAIIA OPÉRATIONNEL</v>
          </cell>
          <cell r="C481" t="str">
            <v>%vte</v>
          </cell>
          <cell r="D481">
            <v>3.1993886130875594E-2</v>
          </cell>
          <cell r="E481">
            <v>963580.74019650137</v>
          </cell>
          <cell r="F481" t="str">
            <v>%vte</v>
          </cell>
          <cell r="G481">
            <v>-1.3885568095144993E-3</v>
          </cell>
          <cell r="H481">
            <v>-4363.0017337130994</v>
          </cell>
          <cell r="I481" t="str">
            <v>%vte</v>
          </cell>
          <cell r="J481">
            <v>-1.3948715991651912E-2</v>
          </cell>
          <cell r="K481">
            <v>-26102.660241226477</v>
          </cell>
          <cell r="L481" t="str">
            <v>%vte</v>
          </cell>
          <cell r="M481">
            <v>1.5761796586512094E-2</v>
          </cell>
          <cell r="N481">
            <v>32680.048707333292</v>
          </cell>
          <cell r="O481" t="str">
            <v>%vte</v>
          </cell>
          <cell r="P481">
            <v>4.9072933523731634E-2</v>
          </cell>
          <cell r="Q481">
            <v>121216.05031895958</v>
          </cell>
          <cell r="R481" t="str">
            <v>%vte</v>
          </cell>
          <cell r="S481">
            <v>6.5873764492772033E-2</v>
          </cell>
          <cell r="T481">
            <v>202270.55942048362</v>
          </cell>
          <cell r="U481" t="str">
            <v>%vte</v>
          </cell>
          <cell r="V481">
            <v>2.9201322378950397E-2</v>
          </cell>
          <cell r="W481">
            <v>72935.719083877135</v>
          </cell>
          <cell r="X481" t="str">
            <v>%vte</v>
          </cell>
          <cell r="Y481">
            <v>2.7670175040463298E-2</v>
          </cell>
          <cell r="Z481">
            <v>70733.57863259122</v>
          </cell>
          <cell r="AA481" t="str">
            <v>%vte</v>
          </cell>
          <cell r="AB481">
            <v>4.4918481874292267E-2</v>
          </cell>
          <cell r="AC481">
            <v>119706.66682861192</v>
          </cell>
          <cell r="AD481" t="str">
            <v>%vte</v>
          </cell>
          <cell r="AE481">
            <v>3.1564065174632262E-2</v>
          </cell>
          <cell r="AF481">
            <v>75642.975192229962</v>
          </cell>
          <cell r="AG481" t="str">
            <v>%vte</v>
          </cell>
          <cell r="AH481">
            <v>6.092009566128908E-2</v>
          </cell>
          <cell r="AI481">
            <v>188506.00728488248</v>
          </cell>
          <cell r="AJ481" t="str">
            <v>%vte</v>
          </cell>
          <cell r="AK481">
            <v>7.1193653059985915E-2</v>
          </cell>
          <cell r="AL481">
            <v>192380.8566939806</v>
          </cell>
          <cell r="AM481" t="str">
            <v>%vte</v>
          </cell>
          <cell r="AN481">
            <v>-5.1976350117679856E-2</v>
          </cell>
          <cell r="AO481">
            <v>-82026.059991508751</v>
          </cell>
        </row>
        <row r="483">
          <cell r="B483" t="str">
            <v>Budget 2021</v>
          </cell>
          <cell r="C483" t="str">
            <v>CALCUL DU PROFIT NET</v>
          </cell>
        </row>
        <row r="487">
          <cell r="B487" t="str">
            <v>BAIIA OPÉRATIONNEL</v>
          </cell>
          <cell r="C487" t="str">
            <v>%vte</v>
          </cell>
          <cell r="D487">
            <v>3.1993886130875594E-2</v>
          </cell>
          <cell r="E487">
            <v>963580.74019650137</v>
          </cell>
          <cell r="F487" t="str">
            <v>%vte</v>
          </cell>
          <cell r="G487">
            <v>-1.3885568095144993E-3</v>
          </cell>
          <cell r="H487">
            <v>-4363.0017337130994</v>
          </cell>
          <cell r="I487" t="str">
            <v>%vte</v>
          </cell>
          <cell r="J487">
            <v>-1.3948715991651912E-2</v>
          </cell>
          <cell r="K487">
            <v>-26102.660241226477</v>
          </cell>
          <cell r="L487" t="str">
            <v>%vte</v>
          </cell>
          <cell r="M487">
            <v>1.5761796586512094E-2</v>
          </cell>
          <cell r="N487">
            <v>32680.048707333292</v>
          </cell>
          <cell r="O487" t="str">
            <v>%vte</v>
          </cell>
          <cell r="P487">
            <v>4.9072933523731634E-2</v>
          </cell>
          <cell r="Q487">
            <v>121216.05031895958</v>
          </cell>
          <cell r="R487" t="str">
            <v>%vte</v>
          </cell>
          <cell r="S487">
            <v>6.5873764492772033E-2</v>
          </cell>
          <cell r="T487">
            <v>202270.55942048362</v>
          </cell>
          <cell r="U487" t="str">
            <v>%vte</v>
          </cell>
          <cell r="V487">
            <v>2.9201322378950397E-2</v>
          </cell>
          <cell r="W487">
            <v>72935.719083877135</v>
          </cell>
          <cell r="X487" t="str">
            <v>%vte</v>
          </cell>
          <cell r="Y487">
            <v>2.7670175040463298E-2</v>
          </cell>
          <cell r="Z487">
            <v>70733.57863259122</v>
          </cell>
          <cell r="AA487" t="str">
            <v>%vte</v>
          </cell>
          <cell r="AB487">
            <v>4.4918481874292267E-2</v>
          </cell>
          <cell r="AC487">
            <v>119706.66682861192</v>
          </cell>
          <cell r="AD487" t="str">
            <v>%vte</v>
          </cell>
          <cell r="AE487">
            <v>3.1564065174632262E-2</v>
          </cell>
          <cell r="AF487">
            <v>75642.975192229962</v>
          </cell>
          <cell r="AG487" t="str">
            <v>%vte</v>
          </cell>
          <cell r="AH487">
            <v>6.092009566128908E-2</v>
          </cell>
          <cell r="AI487">
            <v>188506.00728488248</v>
          </cell>
          <cell r="AJ487" t="str">
            <v>%vte</v>
          </cell>
          <cell r="AK487">
            <v>7.1193653059985915E-2</v>
          </cell>
          <cell r="AL487">
            <v>192380.8566939806</v>
          </cell>
          <cell r="AM487" t="str">
            <v>%vte</v>
          </cell>
          <cell r="AN487">
            <v>-5.1976350117679856E-2</v>
          </cell>
          <cell r="AO487">
            <v>-82026.059991508751</v>
          </cell>
        </row>
        <row r="489">
          <cell r="A489" t="str">
            <v>Amortissement</v>
          </cell>
          <cell r="B489" t="str">
            <v>Amortissement</v>
          </cell>
          <cell r="E489">
            <v>110004</v>
          </cell>
          <cell r="H489">
            <v>9167</v>
          </cell>
          <cell r="K489">
            <v>9167</v>
          </cell>
          <cell r="N489">
            <v>9167</v>
          </cell>
          <cell r="Q489">
            <v>9167</v>
          </cell>
          <cell r="T489">
            <v>9167</v>
          </cell>
          <cell r="W489">
            <v>9167</v>
          </cell>
          <cell r="Z489">
            <v>9167</v>
          </cell>
          <cell r="AC489">
            <v>9167</v>
          </cell>
          <cell r="AF489">
            <v>9167</v>
          </cell>
          <cell r="AI489">
            <v>9167</v>
          </cell>
          <cell r="AL489">
            <v>9167</v>
          </cell>
          <cell r="AO489">
            <v>9167</v>
          </cell>
        </row>
        <row r="490">
          <cell r="A490" t="str">
            <v>Intérêts sur marge</v>
          </cell>
          <cell r="B490" t="str">
            <v>Intérêts sur marge</v>
          </cell>
          <cell r="E490">
            <v>5475</v>
          </cell>
          <cell r="H490">
            <v>456.25</v>
          </cell>
          <cell r="K490">
            <v>456.25</v>
          </cell>
          <cell r="N490">
            <v>456.25</v>
          </cell>
          <cell r="Q490">
            <v>456.25</v>
          </cell>
          <cell r="T490">
            <v>456.25</v>
          </cell>
          <cell r="W490">
            <v>456.25</v>
          </cell>
          <cell r="Z490">
            <v>456.25</v>
          </cell>
          <cell r="AC490">
            <v>456.25</v>
          </cell>
          <cell r="AF490">
            <v>456.25</v>
          </cell>
          <cell r="AI490">
            <v>456.25</v>
          </cell>
          <cell r="AL490">
            <v>456.25</v>
          </cell>
          <cell r="AO490">
            <v>456.25</v>
          </cell>
        </row>
        <row r="491">
          <cell r="A491" t="str">
            <v>Intérêts sur prêt</v>
          </cell>
          <cell r="B491" t="str">
            <v>Intérêts sur prêt</v>
          </cell>
          <cell r="E491">
            <v>6842.9621701559172</v>
          </cell>
          <cell r="H491">
            <v>594.88319947675336</v>
          </cell>
          <cell r="K491">
            <v>572.34312279002734</v>
          </cell>
          <cell r="N491">
            <v>587.16228670116425</v>
          </cell>
          <cell r="Q491">
            <v>577.32435191616423</v>
          </cell>
          <cell r="T491">
            <v>579.44137392557525</v>
          </cell>
          <cell r="W491">
            <v>569.85250084301356</v>
          </cell>
          <cell r="Z491">
            <v>571.72046114998614</v>
          </cell>
          <cell r="AC491">
            <v>567.86000476219169</v>
          </cell>
          <cell r="AF491">
            <v>558.64472423328755</v>
          </cell>
          <cell r="AI491">
            <v>560.13909198660258</v>
          </cell>
          <cell r="AL491">
            <v>551.17287316013676</v>
          </cell>
          <cell r="AO491">
            <v>552.41817921101347</v>
          </cell>
        </row>
        <row r="492">
          <cell r="A492" t="str">
            <v>Intérêts sur avance</v>
          </cell>
          <cell r="B492" t="str">
            <v>Intérêts sur avance</v>
          </cell>
          <cell r="E492">
            <v>0</v>
          </cell>
        </row>
        <row r="493">
          <cell r="A493" t="str">
            <v>[...]</v>
          </cell>
          <cell r="B493" t="str">
            <v>[...]</v>
          </cell>
        </row>
        <row r="494">
          <cell r="A494" t="str">
            <v>[...]</v>
          </cell>
          <cell r="B494" t="str">
            <v>[...]</v>
          </cell>
        </row>
        <row r="495">
          <cell r="A495" t="str">
            <v>[...]</v>
          </cell>
          <cell r="B495" t="str">
            <v>[...]</v>
          </cell>
        </row>
        <row r="496">
          <cell r="B496" t="str">
            <v>Profit Net</v>
          </cell>
          <cell r="C496" t="str">
            <v>%vte</v>
          </cell>
          <cell r="D496">
            <v>2.7932415445835586E-2</v>
          </cell>
          <cell r="E496">
            <v>841258.77802634542</v>
          </cell>
          <cell r="F496" t="str">
            <v>%vte</v>
          </cell>
          <cell r="G496">
            <v>-4.6405514913008487E-3</v>
          </cell>
          <cell r="H496">
            <v>-14581.134933189853</v>
          </cell>
          <cell r="I496" t="str">
            <v>%vte</v>
          </cell>
          <cell r="J496">
            <v>-1.9397027831210042E-2</v>
          </cell>
          <cell r="K496">
            <v>-36298.253364016506</v>
          </cell>
          <cell r="L496" t="str">
            <v>%vte</v>
          </cell>
          <cell r="M496">
            <v>1.0837249411914572E-2</v>
          </cell>
          <cell r="N496">
            <v>22469.636420632127</v>
          </cell>
          <cell r="O496" t="str">
            <v>%vte</v>
          </cell>
          <cell r="P496">
            <v>4.4943347501432661E-2</v>
          </cell>
          <cell r="Q496">
            <v>111015.47596704341</v>
          </cell>
          <cell r="R496" t="str">
            <v>%vte</v>
          </cell>
          <cell r="S496">
            <v>6.2551038285438718E-2</v>
          </cell>
          <cell r="T496">
            <v>192067.86804655805</v>
          </cell>
          <cell r="U496" t="str">
            <v>%vte</v>
          </cell>
          <cell r="V496">
            <v>2.5120303148489419E-2</v>
          </cell>
          <cell r="W496">
            <v>62742.61658303412</v>
          </cell>
          <cell r="X496" t="str">
            <v>%vte</v>
          </cell>
          <cell r="Y496">
            <v>2.3682018034331079E-2</v>
          </cell>
          <cell r="Z496">
            <v>60538.608171441236</v>
          </cell>
          <cell r="AA496" t="str">
            <v>%vte</v>
          </cell>
          <cell r="AB496">
            <v>4.1094390851164599E-2</v>
          </cell>
          <cell r="AC496">
            <v>109515.55682384974</v>
          </cell>
          <cell r="AD496" t="str">
            <v>%vte</v>
          </cell>
          <cell r="AE496">
            <v>2.7315395845322801E-2</v>
          </cell>
          <cell r="AF496">
            <v>65461.080467996675</v>
          </cell>
          <cell r="AG496" t="str">
            <v>%vte</v>
          </cell>
          <cell r="AH496">
            <v>5.7629096893794078E-2</v>
          </cell>
          <cell r="AI496">
            <v>178322.61819289587</v>
          </cell>
          <cell r="AJ496" t="str">
            <v>%vte</v>
          </cell>
          <cell r="AK496">
            <v>6.742844302523919E-2</v>
          </cell>
          <cell r="AL496">
            <v>182206.43382082047</v>
          </cell>
          <cell r="AM496" t="str">
            <v>%vte</v>
          </cell>
          <cell r="AN496">
            <v>-5.8424228901797444E-2</v>
          </cell>
          <cell r="AO496">
            <v>-92201.728170719769</v>
          </cell>
        </row>
      </sheetData>
      <sheetData sheetId="5">
        <row r="456">
          <cell r="V456" t="str">
            <v>Assurances</v>
          </cell>
        </row>
      </sheetData>
      <sheetData sheetId="6"/>
      <sheetData sheetId="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C73">
            <v>1818345.06</v>
          </cell>
          <cell r="O73">
            <v>935872.28</v>
          </cell>
          <cell r="U73" t="str">
            <v>Bilan</v>
          </cell>
          <cell r="V73" t="str">
            <v>Encaisse</v>
          </cell>
          <cell r="W73" t="str">
            <v>$</v>
          </cell>
          <cell r="X73">
            <v>0</v>
          </cell>
        </row>
        <row r="74">
          <cell r="C74">
            <v>0</v>
          </cell>
          <cell r="O74">
            <v>-109.15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50.2</v>
          </cell>
          <cell r="O75">
            <v>0</v>
          </cell>
          <cell r="U75" t="str">
            <v>Bilan</v>
          </cell>
          <cell r="V75" t="str">
            <v>Encaisse</v>
          </cell>
          <cell r="W75" t="str">
            <v>$</v>
          </cell>
          <cell r="X75">
            <v>0</v>
          </cell>
        </row>
        <row r="76">
          <cell r="C76">
            <v>2887367.8</v>
          </cell>
          <cell r="O76">
            <v>-1538001.33</v>
          </cell>
          <cell r="U76" t="str">
            <v>Bilan</v>
          </cell>
          <cell r="V76" t="str">
            <v>Recevables Contrats en Transit</v>
          </cell>
          <cell r="W76" t="str">
            <v>$</v>
          </cell>
          <cell r="X76">
            <v>0</v>
          </cell>
        </row>
        <row r="77">
          <cell r="C77">
            <v>84630.07</v>
          </cell>
          <cell r="O77">
            <v>-152975.1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355646.77</v>
          </cell>
          <cell r="O78">
            <v>51047.59</v>
          </cell>
          <cell r="U78" t="str">
            <v>Bilan</v>
          </cell>
          <cell r="V78" t="str">
            <v>Recevables Véhicules</v>
          </cell>
          <cell r="W78" t="str">
            <v>$</v>
          </cell>
          <cell r="X78">
            <v>0</v>
          </cell>
        </row>
        <row r="79">
          <cell r="C79">
            <v>44844.12</v>
          </cell>
          <cell r="O79">
            <v>21126.23</v>
          </cell>
          <cell r="U79" t="str">
            <v>Bilan</v>
          </cell>
          <cell r="V79" t="str">
            <v>Recevables Pièces et Service</v>
          </cell>
          <cell r="W79" t="str">
            <v>$</v>
          </cell>
          <cell r="X79">
            <v>0</v>
          </cell>
        </row>
        <row r="80">
          <cell r="C80">
            <v>24856.59</v>
          </cell>
          <cell r="O80">
            <v>28413.919999999998</v>
          </cell>
          <cell r="U80" t="str">
            <v>Bilan</v>
          </cell>
          <cell r="V80" t="str">
            <v>Recevables Carrosserie</v>
          </cell>
          <cell r="W80" t="str">
            <v>$</v>
          </cell>
          <cell r="X80">
            <v>0</v>
          </cell>
        </row>
        <row r="81">
          <cell r="C81">
            <v>77872</v>
          </cell>
          <cell r="O81">
            <v>-68659</v>
          </cell>
          <cell r="U81" t="str">
            <v>Bilan</v>
          </cell>
          <cell r="V81" t="str">
            <v>Recevables Manufacturier</v>
          </cell>
          <cell r="W81" t="str">
            <v>$</v>
          </cell>
          <cell r="X81">
            <v>0</v>
          </cell>
        </row>
        <row r="82">
          <cell r="C82">
            <v>55130.44</v>
          </cell>
          <cell r="O82">
            <v>83910.55</v>
          </cell>
          <cell r="U82" t="str">
            <v>Bilan</v>
          </cell>
          <cell r="V82" t="str">
            <v>Recevables Garantie Manufacturier</v>
          </cell>
          <cell r="W82" t="str">
            <v>$</v>
          </cell>
          <cell r="X82">
            <v>0</v>
          </cell>
        </row>
        <row r="83">
          <cell r="C83">
            <v>7061.74</v>
          </cell>
          <cell r="O83">
            <v>-5085.04</v>
          </cell>
          <cell r="U83" t="str">
            <v>Bilan</v>
          </cell>
          <cell r="V83" t="str">
            <v>recevables Autres</v>
          </cell>
          <cell r="W83" t="str">
            <v>$</v>
          </cell>
          <cell r="X83">
            <v>0</v>
          </cell>
        </row>
        <row r="84">
          <cell r="C84">
            <v>79200.740000000005</v>
          </cell>
          <cell r="O84">
            <v>2411.46</v>
          </cell>
          <cell r="U84" t="str">
            <v>Bilan</v>
          </cell>
          <cell r="V84" t="str">
            <v>Recevables Manufacturier</v>
          </cell>
          <cell r="W84" t="str">
            <v>$</v>
          </cell>
          <cell r="X84">
            <v>0</v>
          </cell>
        </row>
        <row r="85">
          <cell r="C85">
            <v>90703.88</v>
          </cell>
          <cell r="O85">
            <v>-74817.039999999994</v>
          </cell>
          <cell r="U85" t="str">
            <v>Bilan</v>
          </cell>
          <cell r="V85" t="str">
            <v>Taxes de Vente à Payer</v>
          </cell>
          <cell r="W85" t="str">
            <v>$</v>
          </cell>
          <cell r="X85">
            <v>0</v>
          </cell>
        </row>
        <row r="86">
          <cell r="C86">
            <v>-44850.53</v>
          </cell>
          <cell r="O86">
            <v>0</v>
          </cell>
          <cell r="U86" t="str">
            <v>Bilan</v>
          </cell>
          <cell r="V86" t="str">
            <v>Recevables Pièces et Service</v>
          </cell>
          <cell r="W86" t="str">
            <v>$</v>
          </cell>
          <cell r="X86">
            <v>0</v>
          </cell>
        </row>
        <row r="87">
          <cell r="C87">
            <v>5376016.7699999996</v>
          </cell>
          <cell r="O87">
            <v>-717900.01</v>
          </cell>
          <cell r="U87" t="str">
            <v>Bilan</v>
          </cell>
          <cell r="V87" t="str">
            <v>Inventaire Véhicules Neufs</v>
          </cell>
          <cell r="W87" t="str">
            <v>$</v>
          </cell>
          <cell r="X87">
            <v>0</v>
          </cell>
        </row>
        <row r="88">
          <cell r="O88">
            <v>-20</v>
          </cell>
          <cell r="U88" t="str">
            <v>Bilan</v>
          </cell>
          <cell r="V88">
            <v>0</v>
          </cell>
          <cell r="W88" t="str">
            <v>NB</v>
          </cell>
          <cell r="X88">
            <v>0</v>
          </cell>
        </row>
        <row r="89">
          <cell r="C89">
            <v>-137764.35999999999</v>
          </cell>
          <cell r="O89">
            <v>1909.43</v>
          </cell>
          <cell r="U89" t="str">
            <v>Bilan</v>
          </cell>
          <cell r="V89" t="str">
            <v>Inventaire Véhicules Neufs</v>
          </cell>
          <cell r="W89" t="str">
            <v>$</v>
          </cell>
          <cell r="X89">
            <v>0</v>
          </cell>
        </row>
        <row r="90">
          <cell r="C90">
            <v>-54174.71</v>
          </cell>
          <cell r="O90">
            <v>138.53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2239038.12</v>
          </cell>
          <cell r="O91">
            <v>-263053.09000000003</v>
          </cell>
          <cell r="U91" t="str">
            <v>Bilan</v>
          </cell>
          <cell r="V91" t="str">
            <v>Inventaire Véhicules Usagés</v>
          </cell>
          <cell r="W91" t="str">
            <v>$</v>
          </cell>
          <cell r="X91">
            <v>0</v>
          </cell>
        </row>
        <row r="92">
          <cell r="O92">
            <v>-6</v>
          </cell>
          <cell r="U92" t="str">
            <v>Bilan</v>
          </cell>
          <cell r="V92">
            <v>0</v>
          </cell>
          <cell r="W92" t="str">
            <v>NB</v>
          </cell>
          <cell r="X92">
            <v>0</v>
          </cell>
        </row>
        <row r="93">
          <cell r="O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C94">
            <v>-10925.19</v>
          </cell>
          <cell r="O94">
            <v>-3457.64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-51063.18</v>
          </cell>
          <cell r="O95">
            <v>-3551.52</v>
          </cell>
          <cell r="U95" t="str">
            <v>Bilan</v>
          </cell>
          <cell r="V95" t="str">
            <v>Inventaire Véhicules Neufs</v>
          </cell>
          <cell r="W95" t="str">
            <v>$</v>
          </cell>
          <cell r="X95">
            <v>0</v>
          </cell>
        </row>
        <row r="96">
          <cell r="C96">
            <v>57556.21</v>
          </cell>
          <cell r="O96">
            <v>-73699.839999999997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565.35</v>
          </cell>
          <cell r="O97">
            <v>-281.38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286869.11</v>
          </cell>
          <cell r="O98">
            <v>30975.24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41284.61</v>
          </cell>
          <cell r="O99">
            <v>9012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5256.73</v>
          </cell>
          <cell r="O100">
            <v>-1422.08</v>
          </cell>
          <cell r="U100" t="str">
            <v>Bilan</v>
          </cell>
          <cell r="V100" t="str">
            <v>Travaux en Cours</v>
          </cell>
          <cell r="W100" t="str">
            <v>$</v>
          </cell>
          <cell r="X100">
            <v>0</v>
          </cell>
        </row>
        <row r="101">
          <cell r="C101">
            <v>17382.87</v>
          </cell>
          <cell r="O101">
            <v>-23505.66</v>
          </cell>
          <cell r="U101" t="str">
            <v>Bilan</v>
          </cell>
          <cell r="V101" t="str">
            <v>Sous-Traitance</v>
          </cell>
          <cell r="W101" t="str">
            <v>$</v>
          </cell>
          <cell r="X101">
            <v>0</v>
          </cell>
        </row>
        <row r="102">
          <cell r="C102">
            <v>18473.189999999999</v>
          </cell>
          <cell r="O102">
            <v>-11079.39</v>
          </cell>
          <cell r="U102" t="str">
            <v>Bilan</v>
          </cell>
          <cell r="V102" t="str">
            <v>Inventaire Pièces, Pneus, Huile</v>
          </cell>
          <cell r="W102" t="str">
            <v>$</v>
          </cell>
          <cell r="X102">
            <v>0</v>
          </cell>
        </row>
        <row r="103">
          <cell r="C103">
            <v>55.02</v>
          </cell>
          <cell r="O103">
            <v>0</v>
          </cell>
          <cell r="U103" t="str">
            <v>Bilan</v>
          </cell>
          <cell r="V103" t="str">
            <v>Inventaire Pièces, Pneus, Huile</v>
          </cell>
          <cell r="W103" t="str">
            <v>$</v>
          </cell>
          <cell r="X103">
            <v>0</v>
          </cell>
        </row>
        <row r="104">
          <cell r="C104">
            <v>-563.01</v>
          </cell>
          <cell r="O104">
            <v>-921.53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-1185</v>
          </cell>
          <cell r="O105">
            <v>-555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0</v>
          </cell>
          <cell r="O106">
            <v>-1594.8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3421.95</v>
          </cell>
          <cell r="O107">
            <v>556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10013.780000000001</v>
          </cell>
          <cell r="O108">
            <v>-970.94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0</v>
          </cell>
          <cell r="O109">
            <v>-85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1769.3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-130</v>
          </cell>
          <cell r="O111">
            <v>99.81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-431.25</v>
          </cell>
          <cell r="O112">
            <v>0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0</v>
          </cell>
          <cell r="O113">
            <v>537.86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-3525.13</v>
          </cell>
          <cell r="O114">
            <v>0</v>
          </cell>
          <cell r="U114" t="str">
            <v>Bilan</v>
          </cell>
          <cell r="V114" t="str">
            <v>Autres Courus</v>
          </cell>
          <cell r="W114" t="str">
            <v>$</v>
          </cell>
          <cell r="X114">
            <v>0</v>
          </cell>
        </row>
        <row r="115">
          <cell r="C115">
            <v>21851.61</v>
          </cell>
          <cell r="O115">
            <v>4092.95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6251.03</v>
          </cell>
          <cell r="O116">
            <v>14670.72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446.5</v>
          </cell>
          <cell r="O117">
            <v>-310.7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87161.98</v>
          </cell>
          <cell r="O118">
            <v>13247.13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43.59</v>
          </cell>
          <cell r="O119">
            <v>22.85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96990.28</v>
          </cell>
          <cell r="O120">
            <v>0</v>
          </cell>
          <cell r="U120" t="str">
            <v>Bilan</v>
          </cell>
          <cell r="V120" t="str">
            <v>Améliorations Locatives</v>
          </cell>
          <cell r="W120" t="str">
            <v>$</v>
          </cell>
          <cell r="X120">
            <v>0</v>
          </cell>
        </row>
        <row r="121">
          <cell r="C121">
            <v>-95415.97</v>
          </cell>
          <cell r="O121">
            <v>-225</v>
          </cell>
          <cell r="U121" t="str">
            <v>Bilan</v>
          </cell>
          <cell r="V121" t="str">
            <v>Améliorations Locatives</v>
          </cell>
          <cell r="W121" t="str">
            <v>$</v>
          </cell>
          <cell r="X121">
            <v>0</v>
          </cell>
        </row>
        <row r="122">
          <cell r="C122">
            <v>942882.53</v>
          </cell>
          <cell r="O122">
            <v>0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-766802.84</v>
          </cell>
          <cell r="O123">
            <v>-2612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47461.59</v>
          </cell>
          <cell r="O124">
            <v>0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-47341.48</v>
          </cell>
          <cell r="O125">
            <v>-8.5</v>
          </cell>
          <cell r="U125" t="str">
            <v>Bilan</v>
          </cell>
          <cell r="V125" t="str">
            <v>Équipements Service</v>
          </cell>
          <cell r="W125" t="str">
            <v>$</v>
          </cell>
          <cell r="X125">
            <v>0</v>
          </cell>
        </row>
        <row r="126">
          <cell r="C126">
            <v>155280.23000000001</v>
          </cell>
          <cell r="O126">
            <v>0</v>
          </cell>
          <cell r="U126" t="str">
            <v>Bilan</v>
          </cell>
          <cell r="V126" t="str">
            <v>Équipements Téléphonique</v>
          </cell>
          <cell r="W126" t="str">
            <v>$</v>
          </cell>
          <cell r="X126">
            <v>0</v>
          </cell>
        </row>
        <row r="127">
          <cell r="C127">
            <v>-155280.23000000001</v>
          </cell>
          <cell r="O127">
            <v>0</v>
          </cell>
          <cell r="U127" t="str">
            <v>Bilan</v>
          </cell>
          <cell r="V127" t="str">
            <v>Équipements Téléphonique</v>
          </cell>
          <cell r="W127" t="str">
            <v>$</v>
          </cell>
          <cell r="X127">
            <v>0</v>
          </cell>
        </row>
        <row r="128">
          <cell r="C128">
            <v>433206.49</v>
          </cell>
          <cell r="O128">
            <v>0</v>
          </cell>
          <cell r="U128" t="str">
            <v>Bilan</v>
          </cell>
          <cell r="V128" t="str">
            <v>Mobilier</v>
          </cell>
          <cell r="W128" t="str">
            <v>$</v>
          </cell>
          <cell r="X128">
            <v>0</v>
          </cell>
        </row>
        <row r="129">
          <cell r="C129">
            <v>-398951.54</v>
          </cell>
          <cell r="O129">
            <v>-497</v>
          </cell>
          <cell r="U129" t="str">
            <v>Bilan</v>
          </cell>
          <cell r="V129" t="str">
            <v>Mobilier</v>
          </cell>
          <cell r="W129" t="str">
            <v>$</v>
          </cell>
          <cell r="X129">
            <v>0</v>
          </cell>
        </row>
        <row r="130">
          <cell r="C130">
            <v>3987.88</v>
          </cell>
          <cell r="O130">
            <v>0</v>
          </cell>
          <cell r="U130" t="str">
            <v>Bilan</v>
          </cell>
          <cell r="V130" t="str">
            <v>Équipements Service</v>
          </cell>
          <cell r="W130" t="str">
            <v>$</v>
          </cell>
          <cell r="X130">
            <v>0</v>
          </cell>
        </row>
        <row r="131">
          <cell r="C131">
            <v>-3987.88</v>
          </cell>
          <cell r="O131">
            <v>0</v>
          </cell>
          <cell r="U131" t="str">
            <v>Bilan</v>
          </cell>
          <cell r="V131" t="str">
            <v>Équipements Service</v>
          </cell>
          <cell r="W131" t="str">
            <v>$</v>
          </cell>
          <cell r="X131">
            <v>0</v>
          </cell>
        </row>
        <row r="132">
          <cell r="C132">
            <v>271520.27</v>
          </cell>
          <cell r="O132">
            <v>0</v>
          </cell>
          <cell r="U132" t="str">
            <v>Bilan</v>
          </cell>
          <cell r="V132" t="str">
            <v>Équipements Informatique</v>
          </cell>
          <cell r="W132" t="str">
            <v>$</v>
          </cell>
          <cell r="X132">
            <v>0</v>
          </cell>
        </row>
        <row r="133">
          <cell r="C133">
            <v>-249709.65</v>
          </cell>
          <cell r="O133">
            <v>-972</v>
          </cell>
          <cell r="U133" t="str">
            <v>Bilan</v>
          </cell>
          <cell r="V133" t="str">
            <v>Équipements Informatique</v>
          </cell>
          <cell r="W133" t="str">
            <v>$</v>
          </cell>
          <cell r="X133">
            <v>0</v>
          </cell>
        </row>
        <row r="134">
          <cell r="C134">
            <v>119393.66</v>
          </cell>
          <cell r="O134">
            <v>0</v>
          </cell>
          <cell r="U134" t="str">
            <v>Bilan</v>
          </cell>
          <cell r="V134" t="str">
            <v>Enseigne</v>
          </cell>
          <cell r="W134" t="str">
            <v>$</v>
          </cell>
          <cell r="X134">
            <v>0</v>
          </cell>
        </row>
        <row r="135">
          <cell r="C135">
            <v>-119393.65</v>
          </cell>
          <cell r="O135">
            <v>0</v>
          </cell>
          <cell r="U135" t="str">
            <v>Bilan</v>
          </cell>
          <cell r="V135" t="str">
            <v>Enseigne</v>
          </cell>
          <cell r="W135" t="str">
            <v>$</v>
          </cell>
          <cell r="X135">
            <v>0</v>
          </cell>
        </row>
        <row r="136">
          <cell r="C136">
            <v>1623600</v>
          </cell>
          <cell r="O136">
            <v>0</v>
          </cell>
          <cell r="U136" t="str">
            <v>Bilan</v>
          </cell>
          <cell r="V136" t="str">
            <v>Avances à Recevoir Long Terme</v>
          </cell>
          <cell r="W136" t="str">
            <v>$</v>
          </cell>
          <cell r="X136">
            <v>0</v>
          </cell>
        </row>
        <row r="137">
          <cell r="C137">
            <v>14617.05</v>
          </cell>
          <cell r="O137">
            <v>661.66</v>
          </cell>
          <cell r="U137" t="str">
            <v>Bilan</v>
          </cell>
          <cell r="V137" t="str">
            <v>Recevables Autres</v>
          </cell>
          <cell r="W137" t="str">
            <v>$</v>
          </cell>
          <cell r="X137">
            <v>0</v>
          </cell>
        </row>
        <row r="138">
          <cell r="C138">
            <v>-7393425.54</v>
          </cell>
          <cell r="O138">
            <v>1791078.95</v>
          </cell>
          <cell r="U138" t="str">
            <v>Bilan</v>
          </cell>
          <cell r="V138" t="str">
            <v>Effet à Payer Véhicules Neufs</v>
          </cell>
          <cell r="W138" t="str">
            <v>$</v>
          </cell>
          <cell r="X138">
            <v>0</v>
          </cell>
        </row>
        <row r="139">
          <cell r="C139">
            <v>-350859.64</v>
          </cell>
          <cell r="O139">
            <v>-105484.16</v>
          </cell>
          <cell r="U139" t="str">
            <v>Bilan</v>
          </cell>
          <cell r="V139" t="str">
            <v>Effet à Payer Véhicules Usagés</v>
          </cell>
          <cell r="W139" t="str">
            <v>$</v>
          </cell>
          <cell r="X139">
            <v>0</v>
          </cell>
        </row>
        <row r="140">
          <cell r="C140">
            <v>-15810</v>
          </cell>
          <cell r="O140">
            <v>0</v>
          </cell>
          <cell r="U140" t="str">
            <v>Bilan</v>
          </cell>
          <cell r="V140" t="str">
            <v>Portion Court Terme de la Dette Long Terme</v>
          </cell>
          <cell r="W140" t="str">
            <v>$</v>
          </cell>
          <cell r="X140">
            <v>0</v>
          </cell>
        </row>
        <row r="141">
          <cell r="C141">
            <v>-396.66</v>
          </cell>
          <cell r="O141">
            <v>100.19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-76660.210000000006</v>
          </cell>
          <cell r="O142">
            <v>-3387.74</v>
          </cell>
          <cell r="U142" t="str">
            <v>Bilan</v>
          </cell>
          <cell r="V142" t="str">
            <v>Taxes de Vente à Payer</v>
          </cell>
          <cell r="W142" t="str">
            <v>$</v>
          </cell>
          <cell r="X142">
            <v>0</v>
          </cell>
        </row>
        <row r="143">
          <cell r="C143">
            <v>53152</v>
          </cell>
          <cell r="O143">
            <v>-1978.55</v>
          </cell>
          <cell r="U143" t="str">
            <v>Bilan</v>
          </cell>
          <cell r="V143" t="str">
            <v>Taxes de Vente à Payer</v>
          </cell>
          <cell r="W143" t="str">
            <v>$</v>
          </cell>
          <cell r="X143">
            <v>0</v>
          </cell>
        </row>
        <row r="144">
          <cell r="C144">
            <v>-336757.6</v>
          </cell>
          <cell r="O144">
            <v>54021.1</v>
          </cell>
          <cell r="U144" t="str">
            <v>Bilan</v>
          </cell>
          <cell r="V144" t="str">
            <v>Taxes de Vente à Payer</v>
          </cell>
          <cell r="W144" t="str">
            <v>$</v>
          </cell>
          <cell r="X144">
            <v>0</v>
          </cell>
        </row>
        <row r="145">
          <cell r="C145">
            <v>336123.74</v>
          </cell>
          <cell r="O145">
            <v>-92226.08</v>
          </cell>
          <cell r="U145" t="str">
            <v>Bilan</v>
          </cell>
          <cell r="V145" t="str">
            <v>Taxes de Vente à Payer</v>
          </cell>
          <cell r="W145" t="str">
            <v>$</v>
          </cell>
          <cell r="X145">
            <v>0</v>
          </cell>
        </row>
        <row r="146">
          <cell r="C146">
            <v>-1971</v>
          </cell>
          <cell r="O146">
            <v>522</v>
          </cell>
          <cell r="U146" t="str">
            <v>Bilan</v>
          </cell>
          <cell r="V146" t="str">
            <v>Taxes de Vente à Payer</v>
          </cell>
          <cell r="W146" t="str">
            <v>$</v>
          </cell>
          <cell r="X146">
            <v>0</v>
          </cell>
        </row>
        <row r="147">
          <cell r="C147">
            <v>-542167.69999999995</v>
          </cell>
          <cell r="O147">
            <v>379620.99</v>
          </cell>
          <cell r="U147" t="str">
            <v>Bilan</v>
          </cell>
          <cell r="V147" t="str">
            <v>Autres Comptes à Payer</v>
          </cell>
          <cell r="W147" t="str">
            <v>$</v>
          </cell>
          <cell r="X147">
            <v>0</v>
          </cell>
        </row>
        <row r="148">
          <cell r="C148">
            <v>-2792.5</v>
          </cell>
          <cell r="O148">
            <v>-1094.79</v>
          </cell>
          <cell r="U148" t="str">
            <v>Bilan</v>
          </cell>
          <cell r="V148" t="str">
            <v>Autres Comptes à Payer</v>
          </cell>
          <cell r="W148" t="str">
            <v>$</v>
          </cell>
          <cell r="X148">
            <v>0</v>
          </cell>
        </row>
        <row r="149">
          <cell r="C149">
            <v>-91924.55</v>
          </cell>
          <cell r="O149">
            <v>28190.03</v>
          </cell>
          <cell r="U149" t="str">
            <v>Bilan</v>
          </cell>
          <cell r="V149" t="str">
            <v>Autres Comptes à Payer</v>
          </cell>
          <cell r="W149" t="str">
            <v>$</v>
          </cell>
          <cell r="X149">
            <v>0</v>
          </cell>
        </row>
        <row r="150">
          <cell r="C150">
            <v>-11724.36</v>
          </cell>
          <cell r="O150">
            <v>-5201.66</v>
          </cell>
          <cell r="U150" t="str">
            <v>Bilan</v>
          </cell>
          <cell r="V150" t="str">
            <v>Autres Comptes à Payer</v>
          </cell>
          <cell r="W150" t="str">
            <v>$</v>
          </cell>
          <cell r="X150">
            <v>0</v>
          </cell>
        </row>
        <row r="151">
          <cell r="C151">
            <v>-74486.36</v>
          </cell>
          <cell r="O151">
            <v>17018.63</v>
          </cell>
          <cell r="U151" t="str">
            <v>Bilan</v>
          </cell>
          <cell r="V151" t="str">
            <v>Comptes à Payer Fournisseurs</v>
          </cell>
          <cell r="W151" t="str">
            <v>$</v>
          </cell>
          <cell r="X151">
            <v>0</v>
          </cell>
        </row>
        <row r="152">
          <cell r="C152">
            <v>0</v>
          </cell>
          <cell r="O152">
            <v>-135364.9</v>
          </cell>
          <cell r="U152" t="str">
            <v>Bilan</v>
          </cell>
          <cell r="V152" t="str">
            <v>Autres Comptes à Payer</v>
          </cell>
          <cell r="W152" t="str">
            <v>$</v>
          </cell>
          <cell r="X152">
            <v>0</v>
          </cell>
        </row>
        <row r="153">
          <cell r="C153">
            <v>-6196.91</v>
          </cell>
          <cell r="O153">
            <v>6196.91</v>
          </cell>
          <cell r="U153" t="str">
            <v>Bilan</v>
          </cell>
          <cell r="V153" t="str">
            <v>Autres Courus</v>
          </cell>
          <cell r="W153" t="str">
            <v>$</v>
          </cell>
          <cell r="X153">
            <v>0</v>
          </cell>
        </row>
        <row r="154">
          <cell r="C154">
            <v>-125.35</v>
          </cell>
          <cell r="O154">
            <v>0</v>
          </cell>
          <cell r="U154" t="str">
            <v>Bilan</v>
          </cell>
          <cell r="V154" t="str">
            <v>Autres Courus</v>
          </cell>
          <cell r="W154" t="str">
            <v>$</v>
          </cell>
          <cell r="X154">
            <v>0</v>
          </cell>
        </row>
        <row r="155">
          <cell r="C155">
            <v>-18900</v>
          </cell>
          <cell r="O155">
            <v>10116.67</v>
          </cell>
          <cell r="U155" t="str">
            <v>Bilan</v>
          </cell>
          <cell r="V155" t="str">
            <v>Autres Courus</v>
          </cell>
          <cell r="W155" t="str">
            <v>$</v>
          </cell>
          <cell r="X155">
            <v>0</v>
          </cell>
        </row>
        <row r="156">
          <cell r="C156">
            <v>5817.98</v>
          </cell>
          <cell r="O156">
            <v>-305.02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237.12</v>
          </cell>
          <cell r="O157">
            <v>71.88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-28653.75</v>
          </cell>
          <cell r="O158">
            <v>-5157.62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-448.78</v>
          </cell>
          <cell r="O159">
            <v>-53.36</v>
          </cell>
          <cell r="U159" t="str">
            <v>Bilan</v>
          </cell>
          <cell r="V159" t="str">
            <v>DAS à Payer</v>
          </cell>
          <cell r="W159" t="str">
            <v>$</v>
          </cell>
          <cell r="X159">
            <v>0</v>
          </cell>
        </row>
        <row r="160">
          <cell r="C160">
            <v>-505.5</v>
          </cell>
          <cell r="O160">
            <v>-265</v>
          </cell>
          <cell r="U160" t="str">
            <v>Bilan</v>
          </cell>
          <cell r="V160" t="str">
            <v>DAS à Payer</v>
          </cell>
          <cell r="W160" t="str">
            <v>$</v>
          </cell>
          <cell r="X160">
            <v>0</v>
          </cell>
        </row>
        <row r="161">
          <cell r="C161">
            <v>-6950</v>
          </cell>
          <cell r="O161">
            <v>-150</v>
          </cell>
          <cell r="U161" t="str">
            <v>Bilan</v>
          </cell>
          <cell r="V161" t="str">
            <v>Dépôts de Client</v>
          </cell>
          <cell r="W161" t="str">
            <v>$</v>
          </cell>
          <cell r="X161">
            <v>0</v>
          </cell>
        </row>
        <row r="162">
          <cell r="C162">
            <v>-38665.94</v>
          </cell>
          <cell r="O162">
            <v>4956.59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-199035.24</v>
          </cell>
          <cell r="O163">
            <v>-33058.89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-19618.02</v>
          </cell>
          <cell r="O164">
            <v>604.83000000000004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-227011.77</v>
          </cell>
          <cell r="O165">
            <v>-2245.2399999999998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-5399.4</v>
          </cell>
          <cell r="O166">
            <v>5232.1400000000003</v>
          </cell>
          <cell r="U166" t="str">
            <v>Bilan</v>
          </cell>
          <cell r="V166" t="str">
            <v>Salaires à Payer</v>
          </cell>
          <cell r="W166" t="str">
            <v>$</v>
          </cell>
          <cell r="X166">
            <v>0</v>
          </cell>
        </row>
        <row r="167">
          <cell r="C167">
            <v>-21571.25</v>
          </cell>
          <cell r="O167">
            <v>1317.5</v>
          </cell>
          <cell r="U167" t="str">
            <v>Bilan</v>
          </cell>
          <cell r="V167" t="str">
            <v>Dette à Long Terme</v>
          </cell>
          <cell r="W167" t="str">
            <v>$</v>
          </cell>
          <cell r="X167">
            <v>0</v>
          </cell>
        </row>
        <row r="168">
          <cell r="C168">
            <v>-19122.599999999999</v>
          </cell>
          <cell r="O168">
            <v>0</v>
          </cell>
          <cell r="U168" t="str">
            <v>Bilan</v>
          </cell>
          <cell r="V168" t="str">
            <v>Autres Courus</v>
          </cell>
          <cell r="W168" t="str">
            <v>$</v>
          </cell>
          <cell r="X168">
            <v>0</v>
          </cell>
        </row>
        <row r="169">
          <cell r="C169">
            <v>-2350000</v>
          </cell>
          <cell r="O169">
            <v>0</v>
          </cell>
          <cell r="U169" t="str">
            <v>Bilan</v>
          </cell>
          <cell r="V169" t="str">
            <v>Capital Actions</v>
          </cell>
          <cell r="W169" t="str">
            <v>$</v>
          </cell>
          <cell r="X169">
            <v>0</v>
          </cell>
        </row>
        <row r="170">
          <cell r="C170">
            <v>-1723617</v>
          </cell>
          <cell r="O170">
            <v>0</v>
          </cell>
          <cell r="U170" t="str">
            <v>Bilan</v>
          </cell>
          <cell r="V170" t="str">
            <v>Apport</v>
          </cell>
          <cell r="W170" t="str">
            <v>$</v>
          </cell>
          <cell r="X170">
            <v>0</v>
          </cell>
        </row>
        <row r="171">
          <cell r="C171">
            <v>-347547.5</v>
          </cell>
          <cell r="O171">
            <v>0</v>
          </cell>
          <cell r="U171" t="str">
            <v>Bilan</v>
          </cell>
          <cell r="V171" t="str">
            <v>Capital Actions</v>
          </cell>
          <cell r="W171">
            <v>0</v>
          </cell>
          <cell r="X171">
            <v>0</v>
          </cell>
        </row>
        <row r="172">
          <cell r="C172">
            <v>-973229.33</v>
          </cell>
          <cell r="O172">
            <v>0</v>
          </cell>
          <cell r="U172" t="str">
            <v>Bilan</v>
          </cell>
          <cell r="V172" t="str">
            <v>Bénéfices non répartis</v>
          </cell>
          <cell r="W172" t="str">
            <v>$</v>
          </cell>
          <cell r="X172">
            <v>0</v>
          </cell>
        </row>
        <row r="173">
          <cell r="C173">
            <v>-1029268.69</v>
          </cell>
          <cell r="O173">
            <v>-261713.31</v>
          </cell>
          <cell r="U173" t="str">
            <v>Véhicules neufs</v>
          </cell>
          <cell r="V173" t="str">
            <v>Rachat bail</v>
          </cell>
          <cell r="W173" t="str">
            <v>$</v>
          </cell>
          <cell r="X173" t="str">
            <v>Oui</v>
          </cell>
        </row>
        <row r="174">
          <cell r="O174">
            <v>-14</v>
          </cell>
          <cell r="U174" t="str">
            <v>Véhicules neufs</v>
          </cell>
          <cell r="V174" t="str">
            <v>Rachat bail</v>
          </cell>
          <cell r="W174" t="str">
            <v>NB</v>
          </cell>
          <cell r="X174">
            <v>0</v>
          </cell>
        </row>
        <row r="175">
          <cell r="C175">
            <v>-48571.26</v>
          </cell>
          <cell r="O175">
            <v>-58583</v>
          </cell>
          <cell r="U175" t="str">
            <v>Véhicules neufs</v>
          </cell>
          <cell r="V175" t="str">
            <v>Autos détail</v>
          </cell>
          <cell r="W175" t="str">
            <v>$</v>
          </cell>
          <cell r="X175" t="str">
            <v>Oui</v>
          </cell>
        </row>
        <row r="176">
          <cell r="O176">
            <v>-1</v>
          </cell>
          <cell r="U176" t="str">
            <v>Véhicules neufs</v>
          </cell>
          <cell r="V176" t="str">
            <v>Autos détail</v>
          </cell>
          <cell r="W176" t="str">
            <v>NB</v>
          </cell>
          <cell r="X176">
            <v>0</v>
          </cell>
        </row>
        <row r="177">
          <cell r="C177">
            <v>-1125971.76</v>
          </cell>
          <cell r="O177">
            <v>-397380.07</v>
          </cell>
          <cell r="U177" t="str">
            <v>Véhicules neufs</v>
          </cell>
          <cell r="V177" t="str">
            <v>Autos détail</v>
          </cell>
          <cell r="W177" t="str">
            <v>$</v>
          </cell>
          <cell r="X177" t="str">
            <v>Oui</v>
          </cell>
        </row>
        <row r="178">
          <cell r="O178">
            <v>-15</v>
          </cell>
          <cell r="U178" t="str">
            <v>Véhicules neufs</v>
          </cell>
          <cell r="V178" t="str">
            <v>Autos détail</v>
          </cell>
          <cell r="W178" t="str">
            <v>NB</v>
          </cell>
          <cell r="X178">
            <v>0</v>
          </cell>
        </row>
        <row r="179">
          <cell r="C179">
            <v>-1033125.39</v>
          </cell>
          <cell r="O179">
            <v>-81386.3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O180">
            <v>-3</v>
          </cell>
          <cell r="U180" t="str">
            <v>Véhicules neufs</v>
          </cell>
          <cell r="V180" t="str">
            <v>Autos détail</v>
          </cell>
          <cell r="W180" t="str">
            <v>NB</v>
          </cell>
          <cell r="X180">
            <v>0</v>
          </cell>
        </row>
        <row r="181">
          <cell r="C181">
            <v>0</v>
          </cell>
          <cell r="O181">
            <v>-30422</v>
          </cell>
          <cell r="U181" t="str">
            <v>Véhicules neufs</v>
          </cell>
          <cell r="V181" t="str">
            <v>Camions détail</v>
          </cell>
          <cell r="W181" t="str">
            <v>$</v>
          </cell>
          <cell r="X181" t="str">
            <v>Oui</v>
          </cell>
        </row>
        <row r="182">
          <cell r="O182">
            <v>-1</v>
          </cell>
          <cell r="U182" t="str">
            <v>Véhicules neufs</v>
          </cell>
          <cell r="V182" t="str">
            <v>Camions détail</v>
          </cell>
          <cell r="W182" t="str">
            <v>NB</v>
          </cell>
          <cell r="X182">
            <v>0</v>
          </cell>
        </row>
        <row r="183">
          <cell r="C183">
            <v>-2512150.13</v>
          </cell>
          <cell r="O183">
            <v>-461000.88</v>
          </cell>
          <cell r="U183" t="str">
            <v>Véhicules neufs</v>
          </cell>
          <cell r="V183" t="str">
            <v>Camions détail</v>
          </cell>
          <cell r="W183" t="str">
            <v>$</v>
          </cell>
          <cell r="X183" t="str">
            <v>Oui</v>
          </cell>
        </row>
        <row r="184">
          <cell r="O184">
            <v>-9</v>
          </cell>
          <cell r="U184" t="str">
            <v>Véhicules neufs</v>
          </cell>
          <cell r="V184" t="str">
            <v>Camions détail</v>
          </cell>
          <cell r="W184" t="str">
            <v>NB</v>
          </cell>
          <cell r="X184">
            <v>0</v>
          </cell>
        </row>
        <row r="185">
          <cell r="C185">
            <v>-231362.04</v>
          </cell>
          <cell r="O185">
            <v>-45495</v>
          </cell>
          <cell r="U185" t="str">
            <v>Véhicules neufs</v>
          </cell>
          <cell r="V185" t="str">
            <v>Camions détail</v>
          </cell>
          <cell r="W185" t="str">
            <v>$</v>
          </cell>
          <cell r="X185" t="str">
            <v>oui</v>
          </cell>
        </row>
        <row r="186">
          <cell r="O186">
            <v>-1</v>
          </cell>
          <cell r="U186" t="str">
            <v>Véhicules neufs</v>
          </cell>
          <cell r="V186" t="str">
            <v>Camions détail</v>
          </cell>
          <cell r="W186" t="str">
            <v>NB</v>
          </cell>
          <cell r="X186">
            <v>0</v>
          </cell>
        </row>
        <row r="187">
          <cell r="C187">
            <v>-531666.99</v>
          </cell>
          <cell r="O187">
            <v>-161045.12</v>
          </cell>
          <cell r="U187" t="str">
            <v>Véhicules neufs</v>
          </cell>
          <cell r="V187" t="str">
            <v>Autos détail</v>
          </cell>
          <cell r="W187" t="str">
            <v>$</v>
          </cell>
          <cell r="X187" t="str">
            <v>Oui</v>
          </cell>
        </row>
        <row r="188">
          <cell r="O188">
            <v>-4</v>
          </cell>
          <cell r="U188" t="str">
            <v>Véhicules neufs</v>
          </cell>
          <cell r="V188" t="str">
            <v>Autos détail</v>
          </cell>
          <cell r="W188" t="str">
            <v>NB</v>
          </cell>
          <cell r="X188">
            <v>0</v>
          </cell>
        </row>
        <row r="189">
          <cell r="C189">
            <v>-4555320.03</v>
          </cell>
          <cell r="O189">
            <v>-849361.34</v>
          </cell>
          <cell r="U189" t="str">
            <v>Véhicules neufs</v>
          </cell>
          <cell r="V189" t="str">
            <v>Camions détail</v>
          </cell>
          <cell r="W189" t="str">
            <v>$</v>
          </cell>
          <cell r="X189" t="str">
            <v>Oui</v>
          </cell>
        </row>
        <row r="190">
          <cell r="O190">
            <v>-21</v>
          </cell>
          <cell r="U190" t="str">
            <v>Véhicules neufs</v>
          </cell>
          <cell r="V190" t="str">
            <v>Camions détail</v>
          </cell>
          <cell r="W190" t="str">
            <v>NB</v>
          </cell>
          <cell r="X190">
            <v>0</v>
          </cell>
        </row>
        <row r="191">
          <cell r="C191">
            <v>-354962.21</v>
          </cell>
          <cell r="O191">
            <v>0</v>
          </cell>
          <cell r="U191" t="str">
            <v>Véhicules neufs</v>
          </cell>
          <cell r="V191" t="str">
            <v>Autos détail</v>
          </cell>
          <cell r="W191" t="str">
            <v>$</v>
          </cell>
          <cell r="X191" t="str">
            <v>Oui</v>
          </cell>
        </row>
        <row r="192">
          <cell r="O192">
            <v>0</v>
          </cell>
          <cell r="U192" t="str">
            <v>Véhicules neufs</v>
          </cell>
          <cell r="V192" t="str">
            <v>Autos détail</v>
          </cell>
          <cell r="W192" t="str">
            <v>NB</v>
          </cell>
          <cell r="X192">
            <v>0</v>
          </cell>
        </row>
        <row r="193">
          <cell r="C193">
            <v>-631730</v>
          </cell>
          <cell r="O193">
            <v>-33640</v>
          </cell>
          <cell r="U193" t="str">
            <v>Véhicules neufs</v>
          </cell>
          <cell r="V193" t="str">
            <v>Flottes</v>
          </cell>
          <cell r="W193" t="str">
            <v>$</v>
          </cell>
          <cell r="X193" t="str">
            <v>Oui</v>
          </cell>
        </row>
        <row r="194">
          <cell r="O194">
            <v>-1</v>
          </cell>
          <cell r="U194" t="str">
            <v>Véhicules neufs</v>
          </cell>
          <cell r="V194" t="str">
            <v>Flottes</v>
          </cell>
          <cell r="W194" t="str">
            <v>NB</v>
          </cell>
          <cell r="X194">
            <v>0</v>
          </cell>
        </row>
        <row r="195">
          <cell r="C195">
            <v>-1049970.6100000001</v>
          </cell>
          <cell r="O195">
            <v>-301372.02</v>
          </cell>
          <cell r="U195" t="str">
            <v>Véhicules neufs</v>
          </cell>
          <cell r="V195" t="str">
            <v>Ex-Démos et courtoisies</v>
          </cell>
          <cell r="W195" t="str">
            <v>$</v>
          </cell>
          <cell r="X195" t="str">
            <v>Oui</v>
          </cell>
        </row>
        <row r="196">
          <cell r="O196">
            <v>-9</v>
          </cell>
          <cell r="U196" t="str">
            <v>Véhicules neufs</v>
          </cell>
          <cell r="V196" t="str">
            <v>Ex-Démos et courtoisies</v>
          </cell>
          <cell r="W196" t="str">
            <v>NB</v>
          </cell>
          <cell r="X196">
            <v>0</v>
          </cell>
        </row>
        <row r="197">
          <cell r="C197">
            <v>-3526245.59</v>
          </cell>
          <cell r="O197">
            <v>-826414.37</v>
          </cell>
          <cell r="U197" t="str">
            <v>Véhicules usagés</v>
          </cell>
          <cell r="V197" t="str">
            <v>Certifié</v>
          </cell>
          <cell r="W197" t="str">
            <v>$</v>
          </cell>
          <cell r="X197" t="str">
            <v>Oui</v>
          </cell>
        </row>
        <row r="198">
          <cell r="O198">
            <v>-36</v>
          </cell>
          <cell r="U198" t="str">
            <v>Véhicules usagés</v>
          </cell>
          <cell r="V198" t="str">
            <v>Certifié</v>
          </cell>
          <cell r="W198" t="str">
            <v>NB</v>
          </cell>
          <cell r="X198">
            <v>0</v>
          </cell>
        </row>
        <row r="199">
          <cell r="C199">
            <v>-92465</v>
          </cell>
          <cell r="O199">
            <v>-31248</v>
          </cell>
          <cell r="U199" t="str">
            <v>Véhicules usagés</v>
          </cell>
          <cell r="V199" t="str">
            <v>Non Certifié</v>
          </cell>
          <cell r="W199" t="str">
            <v>$</v>
          </cell>
          <cell r="X199" t="str">
            <v>Oui</v>
          </cell>
        </row>
        <row r="200">
          <cell r="O200">
            <v>-1</v>
          </cell>
          <cell r="U200" t="str">
            <v>Véhicules usagés</v>
          </cell>
          <cell r="V200" t="str">
            <v>Non Certifié</v>
          </cell>
          <cell r="W200" t="str">
            <v>NB</v>
          </cell>
          <cell r="X200">
            <v>0</v>
          </cell>
        </row>
        <row r="201">
          <cell r="C201">
            <v>-1814826</v>
          </cell>
          <cell r="O201">
            <v>-720659</v>
          </cell>
          <cell r="U201" t="str">
            <v>Véhicules usagés</v>
          </cell>
          <cell r="V201" t="str">
            <v>Ventes au Gros</v>
          </cell>
          <cell r="W201" t="str">
            <v>$</v>
          </cell>
          <cell r="X201" t="str">
            <v>Oui</v>
          </cell>
        </row>
        <row r="202">
          <cell r="O202">
            <v>-47</v>
          </cell>
          <cell r="U202" t="str">
            <v>Véhicules usagés</v>
          </cell>
          <cell r="V202" t="str">
            <v>Ventes au Gros</v>
          </cell>
          <cell r="W202" t="str">
            <v>NB</v>
          </cell>
          <cell r="X202">
            <v>0</v>
          </cell>
        </row>
        <row r="203">
          <cell r="C203">
            <v>-484834.93</v>
          </cell>
          <cell r="O203">
            <v>-83445.91</v>
          </cell>
          <cell r="U203" t="str">
            <v>Service</v>
          </cell>
          <cell r="V203" t="str">
            <v>M/O Client</v>
          </cell>
          <cell r="W203" t="str">
            <v>$</v>
          </cell>
          <cell r="X203" t="str">
            <v>Oui</v>
          </cell>
        </row>
        <row r="204">
          <cell r="O204">
            <v>-386</v>
          </cell>
          <cell r="U204" t="str">
            <v>Service</v>
          </cell>
          <cell r="V204" t="str">
            <v>M/O Client</v>
          </cell>
          <cell r="W204" t="str">
            <v>NB</v>
          </cell>
          <cell r="X204">
            <v>0</v>
          </cell>
        </row>
        <row r="205">
          <cell r="C205">
            <v>-2123.4699999999998</v>
          </cell>
          <cell r="O205">
            <v>-794.2</v>
          </cell>
          <cell r="U205" t="str">
            <v>Service</v>
          </cell>
          <cell r="V205" t="str">
            <v>M/O Esthétique</v>
          </cell>
          <cell r="W205" t="str">
            <v>$</v>
          </cell>
          <cell r="X205" t="str">
            <v>Oui</v>
          </cell>
        </row>
        <row r="206">
          <cell r="C206">
            <v>-274956.7</v>
          </cell>
          <cell r="O206">
            <v>-69686.649999999994</v>
          </cell>
          <cell r="U206" t="str">
            <v>Service</v>
          </cell>
          <cell r="V206" t="str">
            <v>M/O Garantie</v>
          </cell>
          <cell r="W206" t="str">
            <v>$</v>
          </cell>
          <cell r="X206" t="str">
            <v>Oui</v>
          </cell>
        </row>
        <row r="207">
          <cell r="O207">
            <v>-231</v>
          </cell>
          <cell r="U207" t="str">
            <v>Service</v>
          </cell>
          <cell r="V207" t="str">
            <v>M/O Garantie</v>
          </cell>
          <cell r="W207" t="str">
            <v>NB</v>
          </cell>
          <cell r="X207">
            <v>0</v>
          </cell>
        </row>
        <row r="208">
          <cell r="C208">
            <v>-265255.3</v>
          </cell>
          <cell r="O208">
            <v>-78914.289999999994</v>
          </cell>
          <cell r="U208" t="str">
            <v>Service</v>
          </cell>
          <cell r="V208" t="str">
            <v>M/O Interne</v>
          </cell>
          <cell r="W208" t="str">
            <v>$</v>
          </cell>
          <cell r="X208" t="str">
            <v>Oui</v>
          </cell>
        </row>
        <row r="209">
          <cell r="O209">
            <v>-335</v>
          </cell>
          <cell r="U209" t="str">
            <v>Service</v>
          </cell>
          <cell r="V209" t="str">
            <v>M/O Interne</v>
          </cell>
          <cell r="W209" t="str">
            <v>NB</v>
          </cell>
          <cell r="X209">
            <v>0</v>
          </cell>
        </row>
        <row r="210">
          <cell r="C210">
            <v>-79764.91</v>
          </cell>
          <cell r="O210">
            <v>-19970.45</v>
          </cell>
          <cell r="U210" t="str">
            <v>Pièces</v>
          </cell>
          <cell r="V210" t="str">
            <v>Huiles et Graisse</v>
          </cell>
          <cell r="W210" t="str">
            <v>$</v>
          </cell>
          <cell r="X210" t="str">
            <v>Oui</v>
          </cell>
        </row>
        <row r="211">
          <cell r="O211">
            <v>-411</v>
          </cell>
          <cell r="U211" t="str">
            <v>Pièces</v>
          </cell>
          <cell r="V211" t="str">
            <v>Huiles et Graisse</v>
          </cell>
          <cell r="W211" t="str">
            <v>NB</v>
          </cell>
          <cell r="X211">
            <v>0</v>
          </cell>
        </row>
        <row r="212">
          <cell r="C212">
            <v>-8607.7099999999991</v>
          </cell>
          <cell r="O212">
            <v>-451</v>
          </cell>
          <cell r="U212" t="str">
            <v>Service</v>
          </cell>
          <cell r="V212" t="str">
            <v>Sous-traitement</v>
          </cell>
          <cell r="W212" t="str">
            <v>$</v>
          </cell>
          <cell r="X212" t="str">
            <v>Oui</v>
          </cell>
        </row>
        <row r="213">
          <cell r="O213">
            <v>-3</v>
          </cell>
          <cell r="U213" t="str">
            <v>Service</v>
          </cell>
          <cell r="V213" t="str">
            <v>Sous-traitement</v>
          </cell>
          <cell r="W213" t="str">
            <v>NB</v>
          </cell>
          <cell r="X213">
            <v>0</v>
          </cell>
        </row>
        <row r="214">
          <cell r="C214">
            <v>-10709.82</v>
          </cell>
          <cell r="O214">
            <v>-3939.78</v>
          </cell>
          <cell r="U214" t="str">
            <v>Service</v>
          </cell>
          <cell r="V214" t="str">
            <v>Sous-traitement</v>
          </cell>
          <cell r="W214" t="str">
            <v>$</v>
          </cell>
          <cell r="X214" t="str">
            <v>Oui</v>
          </cell>
        </row>
        <row r="215">
          <cell r="O215">
            <v>-6</v>
          </cell>
          <cell r="U215" t="str">
            <v>Service</v>
          </cell>
          <cell r="V215" t="str">
            <v>Sous-traitement</v>
          </cell>
          <cell r="W215" t="str">
            <v>NB</v>
          </cell>
          <cell r="X215">
            <v>0</v>
          </cell>
        </row>
        <row r="216">
          <cell r="C216">
            <v>-93481.61</v>
          </cell>
          <cell r="O216">
            <v>-22669.25</v>
          </cell>
          <cell r="U216" t="str">
            <v>Service</v>
          </cell>
          <cell r="V216" t="str">
            <v>Sous-traitement</v>
          </cell>
          <cell r="W216" t="str">
            <v>$</v>
          </cell>
          <cell r="X216" t="str">
            <v>Oui</v>
          </cell>
        </row>
        <row r="217">
          <cell r="O217">
            <v>-98</v>
          </cell>
          <cell r="U217" t="str">
            <v>Service</v>
          </cell>
          <cell r="V217" t="str">
            <v>Sous-traitement</v>
          </cell>
          <cell r="W217" t="str">
            <v>NB</v>
          </cell>
          <cell r="X217">
            <v>0</v>
          </cell>
        </row>
        <row r="218">
          <cell r="C218">
            <v>-140718.76999999999</v>
          </cell>
          <cell r="O218">
            <v>-40057.39</v>
          </cell>
          <cell r="U218" t="str">
            <v>Carrosserie</v>
          </cell>
          <cell r="V218" t="str">
            <v>M/O Sous-traitement</v>
          </cell>
          <cell r="W218" t="str">
            <v>$</v>
          </cell>
          <cell r="X218" t="str">
            <v>Oui</v>
          </cell>
        </row>
        <row r="219">
          <cell r="O219">
            <v>-23</v>
          </cell>
          <cell r="U219" t="str">
            <v>Carrosserie</v>
          </cell>
          <cell r="V219" t="str">
            <v>M/O Sous-traitement</v>
          </cell>
          <cell r="W219" t="str">
            <v>NB</v>
          </cell>
          <cell r="X219">
            <v>0</v>
          </cell>
        </row>
        <row r="220">
          <cell r="C220">
            <v>-264339.13</v>
          </cell>
          <cell r="O220">
            <v>-36823.550000000003</v>
          </cell>
          <cell r="U220" t="str">
            <v>Carrosserie</v>
          </cell>
          <cell r="V220" t="str">
            <v>M/O Sous-traitement</v>
          </cell>
          <cell r="W220" t="str">
            <v>$</v>
          </cell>
          <cell r="X220" t="str">
            <v>Oui</v>
          </cell>
        </row>
        <row r="221">
          <cell r="O221">
            <v>-17</v>
          </cell>
          <cell r="U221" t="str">
            <v>Carrosserie</v>
          </cell>
          <cell r="V221" t="str">
            <v>M/O Sous-traitement</v>
          </cell>
          <cell r="W221" t="str">
            <v>NB</v>
          </cell>
          <cell r="X221">
            <v>0</v>
          </cell>
        </row>
        <row r="222">
          <cell r="C222">
            <v>-20555.900000000001</v>
          </cell>
          <cell r="O222">
            <v>-11829.02</v>
          </cell>
          <cell r="U222" t="str">
            <v>Carrosserie</v>
          </cell>
          <cell r="V222" t="str">
            <v>M/O Sous-traitement</v>
          </cell>
          <cell r="W222" t="str">
            <v>$</v>
          </cell>
          <cell r="X222" t="str">
            <v>Oui</v>
          </cell>
        </row>
        <row r="223">
          <cell r="O223">
            <v>-25</v>
          </cell>
          <cell r="U223" t="str">
            <v>Carrosserie</v>
          </cell>
          <cell r="V223" t="str">
            <v>M/O Sous-traitement</v>
          </cell>
          <cell r="W223" t="str">
            <v>NB</v>
          </cell>
          <cell r="X223">
            <v>0</v>
          </cell>
        </row>
        <row r="224">
          <cell r="C224">
            <v>-271289.75</v>
          </cell>
          <cell r="O224">
            <v>-58281.61</v>
          </cell>
          <cell r="U224" t="str">
            <v>Pièces</v>
          </cell>
          <cell r="V224" t="str">
            <v>Pièces Ro Clients</v>
          </cell>
          <cell r="W224" t="str">
            <v>$</v>
          </cell>
          <cell r="X224" t="str">
            <v>Oui</v>
          </cell>
        </row>
        <row r="225">
          <cell r="O225">
            <v>-338</v>
          </cell>
          <cell r="U225" t="str">
            <v>Pièces</v>
          </cell>
          <cell r="V225" t="str">
            <v>Pièces Ro Clients</v>
          </cell>
          <cell r="W225" t="str">
            <v>NB</v>
          </cell>
          <cell r="X225">
            <v>0</v>
          </cell>
        </row>
        <row r="226">
          <cell r="C226">
            <v>-2707.39</v>
          </cell>
          <cell r="O226">
            <v>-580.36</v>
          </cell>
          <cell r="U226" t="str">
            <v>Service</v>
          </cell>
          <cell r="V226" t="str">
            <v>M/O Client</v>
          </cell>
          <cell r="W226" t="str">
            <v>$</v>
          </cell>
          <cell r="X226" t="str">
            <v>Oui</v>
          </cell>
        </row>
        <row r="227">
          <cell r="C227">
            <v>-352679.36</v>
          </cell>
          <cell r="O227">
            <v>-117794.14</v>
          </cell>
          <cell r="U227" t="str">
            <v>Pièces</v>
          </cell>
          <cell r="V227" t="str">
            <v>P/A Garantie</v>
          </cell>
          <cell r="W227" t="str">
            <v>$</v>
          </cell>
          <cell r="X227" t="str">
            <v>Oui</v>
          </cell>
        </row>
        <row r="228">
          <cell r="O228">
            <v>-157</v>
          </cell>
          <cell r="U228" t="str">
            <v>Pièces</v>
          </cell>
          <cell r="V228" t="str">
            <v>P/A Garantie</v>
          </cell>
          <cell r="W228" t="str">
            <v>NB</v>
          </cell>
          <cell r="X228">
            <v>0</v>
          </cell>
        </row>
        <row r="229">
          <cell r="C229">
            <v>-218955.37</v>
          </cell>
          <cell r="O229">
            <v>-71609.67</v>
          </cell>
          <cell r="U229" t="str">
            <v>Pièces</v>
          </cell>
          <cell r="V229" t="str">
            <v>Ventes Internes</v>
          </cell>
          <cell r="W229" t="str">
            <v>$</v>
          </cell>
          <cell r="X229" t="str">
            <v>Oui</v>
          </cell>
        </row>
        <row r="230">
          <cell r="O230">
            <v>-364</v>
          </cell>
          <cell r="U230" t="str">
            <v>Pièces</v>
          </cell>
          <cell r="V230" t="str">
            <v>Ventes Internes</v>
          </cell>
          <cell r="W230" t="str">
            <v>NB</v>
          </cell>
          <cell r="X230">
            <v>0</v>
          </cell>
        </row>
        <row r="231">
          <cell r="C231">
            <v>-3297.59</v>
          </cell>
          <cell r="O231">
            <v>-640.20000000000005</v>
          </cell>
          <cell r="U231" t="str">
            <v>Service</v>
          </cell>
          <cell r="V231" t="str">
            <v>M/O Interne</v>
          </cell>
          <cell r="W231" t="str">
            <v>$</v>
          </cell>
          <cell r="X231" t="str">
            <v>Oui</v>
          </cell>
        </row>
        <row r="232">
          <cell r="C232">
            <v>-20985.7</v>
          </cell>
          <cell r="O232">
            <v>-3247.08</v>
          </cell>
          <cell r="U232" t="str">
            <v>Pièces</v>
          </cell>
          <cell r="V232" t="str">
            <v>Pièces Ro Clients</v>
          </cell>
          <cell r="W232" t="str">
            <v>$</v>
          </cell>
          <cell r="X232" t="str">
            <v>Oui</v>
          </cell>
        </row>
        <row r="233">
          <cell r="O233">
            <v>-163</v>
          </cell>
          <cell r="U233" t="str">
            <v>Pièces</v>
          </cell>
          <cell r="V233" t="str">
            <v>Pièces Ro Clients</v>
          </cell>
          <cell r="W233" t="str">
            <v>NB</v>
          </cell>
          <cell r="X233">
            <v>0</v>
          </cell>
        </row>
        <row r="234">
          <cell r="C234">
            <v>-35120.97</v>
          </cell>
          <cell r="O234">
            <v>-13612.34</v>
          </cell>
          <cell r="U234" t="str">
            <v>Pièces</v>
          </cell>
          <cell r="V234" t="str">
            <v>Pièces Ro Carrosserie</v>
          </cell>
          <cell r="W234" t="str">
            <v>$</v>
          </cell>
          <cell r="X234" t="str">
            <v>Oui</v>
          </cell>
        </row>
        <row r="235">
          <cell r="O235">
            <v>-14</v>
          </cell>
          <cell r="U235" t="str">
            <v>Pièces</v>
          </cell>
          <cell r="V235" t="str">
            <v>Pièces Ro Carrosserie</v>
          </cell>
          <cell r="W235" t="str">
            <v>NB</v>
          </cell>
          <cell r="X235">
            <v>0</v>
          </cell>
        </row>
        <row r="236">
          <cell r="C236">
            <v>-181905.34</v>
          </cell>
          <cell r="O236">
            <v>-37925.85</v>
          </cell>
          <cell r="U236" t="str">
            <v>Pièces</v>
          </cell>
          <cell r="V236" t="str">
            <v>Pièces Ro Carrosserie</v>
          </cell>
          <cell r="W236" t="str">
            <v>$</v>
          </cell>
          <cell r="X236" t="str">
            <v>Oui</v>
          </cell>
        </row>
        <row r="237">
          <cell r="O237">
            <v>-16</v>
          </cell>
          <cell r="U237" t="str">
            <v>Pièces</v>
          </cell>
          <cell r="V237" t="str">
            <v>Pièces Ro Carrosserie</v>
          </cell>
          <cell r="W237" t="str">
            <v>NB</v>
          </cell>
          <cell r="X237">
            <v>0</v>
          </cell>
        </row>
        <row r="238">
          <cell r="C238">
            <v>-1996.32</v>
          </cell>
          <cell r="O238">
            <v>-3493.72</v>
          </cell>
          <cell r="U238" t="str">
            <v>Pièces</v>
          </cell>
          <cell r="V238" t="str">
            <v>Pièces Ro Carrosserie</v>
          </cell>
          <cell r="W238" t="str">
            <v>$</v>
          </cell>
          <cell r="X238" t="str">
            <v>Oui</v>
          </cell>
        </row>
        <row r="239">
          <cell r="O239">
            <v>-3</v>
          </cell>
          <cell r="U239" t="str">
            <v>Pièces</v>
          </cell>
          <cell r="V239" t="str">
            <v>Pièces Ro Carrosserie</v>
          </cell>
          <cell r="W239" t="str">
            <v>NB</v>
          </cell>
          <cell r="X239">
            <v>0</v>
          </cell>
        </row>
        <row r="240">
          <cell r="C240">
            <v>-70797.240000000005</v>
          </cell>
          <cell r="O240">
            <v>-17758.79</v>
          </cell>
          <cell r="U240" t="str">
            <v>Pièces</v>
          </cell>
          <cell r="V240" t="str">
            <v>Ventes Détails</v>
          </cell>
          <cell r="W240" t="str">
            <v>$</v>
          </cell>
          <cell r="X240" t="str">
            <v>Oui</v>
          </cell>
        </row>
        <row r="241">
          <cell r="O241">
            <v>-167</v>
          </cell>
          <cell r="U241" t="str">
            <v>Pièces</v>
          </cell>
          <cell r="V241" t="str">
            <v>Ventes Détails</v>
          </cell>
          <cell r="W241" t="str">
            <v>NB</v>
          </cell>
          <cell r="X241">
            <v>0</v>
          </cell>
        </row>
        <row r="242">
          <cell r="C242">
            <v>-194054.15</v>
          </cell>
          <cell r="O242">
            <v>-54255.43</v>
          </cell>
          <cell r="U242" t="str">
            <v>Pièces</v>
          </cell>
          <cell r="V242" t="str">
            <v>Ventes de Gros</v>
          </cell>
          <cell r="W242" t="str">
            <v>$</v>
          </cell>
          <cell r="X242" t="str">
            <v>Oui</v>
          </cell>
        </row>
        <row r="243">
          <cell r="O243">
            <v>-239</v>
          </cell>
          <cell r="U243" t="str">
            <v>Pièces</v>
          </cell>
          <cell r="V243" t="str">
            <v>Ventes de Gros</v>
          </cell>
          <cell r="W243" t="str">
            <v>NB</v>
          </cell>
          <cell r="X243">
            <v>0</v>
          </cell>
        </row>
        <row r="244">
          <cell r="C244">
            <v>-153373.01</v>
          </cell>
          <cell r="O244">
            <v>-27719.96</v>
          </cell>
          <cell r="U244" t="str">
            <v>Pièces</v>
          </cell>
          <cell r="V244" t="str">
            <v>Ventes Pneus</v>
          </cell>
          <cell r="W244" t="str">
            <v>$</v>
          </cell>
          <cell r="X244" t="str">
            <v>Oui</v>
          </cell>
        </row>
        <row r="245">
          <cell r="O245">
            <v>-39</v>
          </cell>
          <cell r="U245" t="str">
            <v>Pièces</v>
          </cell>
          <cell r="V245" t="str">
            <v>Ventes Pneus</v>
          </cell>
          <cell r="W245" t="str">
            <v>NB</v>
          </cell>
          <cell r="X245">
            <v>0</v>
          </cell>
        </row>
        <row r="246">
          <cell r="C246">
            <v>-554.75</v>
          </cell>
          <cell r="O246">
            <v>0</v>
          </cell>
          <cell r="U246" t="str">
            <v>Pièces</v>
          </cell>
          <cell r="V246" t="str">
            <v>Ventes Pneus</v>
          </cell>
          <cell r="W246" t="str">
            <v>$</v>
          </cell>
          <cell r="X246" t="str">
            <v>Oui</v>
          </cell>
        </row>
        <row r="247">
          <cell r="C247">
            <v>1003968.96</v>
          </cell>
          <cell r="O247">
            <v>253828.39</v>
          </cell>
          <cell r="U247" t="str">
            <v>Véhicules neufs</v>
          </cell>
          <cell r="V247" t="str">
            <v>Rachat bail</v>
          </cell>
          <cell r="W247" t="str">
            <v>$</v>
          </cell>
          <cell r="X247">
            <v>0</v>
          </cell>
        </row>
        <row r="248">
          <cell r="C248">
            <v>48088.800000000003</v>
          </cell>
          <cell r="O248">
            <v>55166.31</v>
          </cell>
          <cell r="U248" t="str">
            <v>Véhicules neufs</v>
          </cell>
          <cell r="V248" t="str">
            <v>Autos détail</v>
          </cell>
          <cell r="W248" t="str">
            <v>$</v>
          </cell>
          <cell r="X248">
            <v>0</v>
          </cell>
        </row>
        <row r="249">
          <cell r="C249">
            <v>1080540.1100000001</v>
          </cell>
          <cell r="O249">
            <v>383984.88</v>
          </cell>
          <cell r="U249" t="str">
            <v>Véhicules neufs</v>
          </cell>
          <cell r="V249" t="str">
            <v>Autos détail</v>
          </cell>
          <cell r="W249" t="str">
            <v>$</v>
          </cell>
          <cell r="X249">
            <v>0</v>
          </cell>
        </row>
        <row r="250">
          <cell r="C250">
            <v>994937.36</v>
          </cell>
          <cell r="O250">
            <v>78879.3</v>
          </cell>
          <cell r="U250" t="str">
            <v>Véhicules neufs</v>
          </cell>
          <cell r="V250" t="str">
            <v>Autos détail</v>
          </cell>
          <cell r="W250" t="str">
            <v>$</v>
          </cell>
          <cell r="X250">
            <v>0</v>
          </cell>
        </row>
        <row r="251">
          <cell r="C251">
            <v>14956.52</v>
          </cell>
          <cell r="O251">
            <v>0</v>
          </cell>
          <cell r="U251" t="str">
            <v>Véhicules neufs</v>
          </cell>
          <cell r="V251" t="str">
            <v>Autos détail</v>
          </cell>
          <cell r="W251" t="str">
            <v>$</v>
          </cell>
          <cell r="X251">
            <v>0</v>
          </cell>
        </row>
        <row r="252">
          <cell r="C252">
            <v>0</v>
          </cell>
          <cell r="O252">
            <v>29116</v>
          </cell>
          <cell r="U252" t="str">
            <v>Véhicules neufs</v>
          </cell>
          <cell r="V252" t="str">
            <v>Camions détail</v>
          </cell>
          <cell r="W252" t="str">
            <v>$</v>
          </cell>
          <cell r="X252">
            <v>0</v>
          </cell>
        </row>
        <row r="253">
          <cell r="C253">
            <v>2380100.12</v>
          </cell>
          <cell r="O253">
            <v>433952.99</v>
          </cell>
          <cell r="U253" t="str">
            <v>Véhicules neufs</v>
          </cell>
          <cell r="V253" t="str">
            <v>Camions détail</v>
          </cell>
          <cell r="W253" t="str">
            <v>$</v>
          </cell>
          <cell r="X253">
            <v>0</v>
          </cell>
        </row>
        <row r="254">
          <cell r="C254">
            <v>218742.75</v>
          </cell>
          <cell r="O254">
            <v>43503.7</v>
          </cell>
          <cell r="U254" t="str">
            <v>Véhicules neufs</v>
          </cell>
          <cell r="V254" t="str">
            <v>Camions détail</v>
          </cell>
          <cell r="W254" t="str">
            <v>$</v>
          </cell>
          <cell r="X254">
            <v>0</v>
          </cell>
        </row>
        <row r="255">
          <cell r="C255">
            <v>506614.76</v>
          </cell>
          <cell r="O255">
            <v>153590.66</v>
          </cell>
          <cell r="U255" t="str">
            <v>Véhicules neufs</v>
          </cell>
          <cell r="V255" t="str">
            <v>Autos détail</v>
          </cell>
          <cell r="W255" t="str">
            <v>$</v>
          </cell>
          <cell r="X255">
            <v>0</v>
          </cell>
        </row>
        <row r="256">
          <cell r="C256">
            <v>4343622.97</v>
          </cell>
          <cell r="O256">
            <v>805346.24</v>
          </cell>
          <cell r="U256" t="str">
            <v>Véhicules neufs</v>
          </cell>
          <cell r="V256" t="str">
            <v>Camions détail</v>
          </cell>
          <cell r="W256" t="str">
            <v>$</v>
          </cell>
          <cell r="X256">
            <v>0</v>
          </cell>
        </row>
        <row r="257">
          <cell r="C257">
            <v>351563.35</v>
          </cell>
          <cell r="O257">
            <v>0</v>
          </cell>
          <cell r="U257" t="str">
            <v>Véhicules neufs</v>
          </cell>
          <cell r="V257" t="str">
            <v>Autos détail</v>
          </cell>
          <cell r="W257" t="str">
            <v>$</v>
          </cell>
          <cell r="X257">
            <v>0</v>
          </cell>
        </row>
        <row r="258">
          <cell r="C258">
            <v>600504.72</v>
          </cell>
          <cell r="O258">
            <v>32604</v>
          </cell>
          <cell r="U258" t="str">
            <v>Véhicules neufs</v>
          </cell>
          <cell r="V258" t="str">
            <v>Flottes</v>
          </cell>
          <cell r="W258" t="str">
            <v>$</v>
          </cell>
          <cell r="X258">
            <v>0</v>
          </cell>
        </row>
        <row r="259">
          <cell r="C259">
            <v>1018197.97</v>
          </cell>
          <cell r="O259">
            <v>290307.56</v>
          </cell>
          <cell r="U259" t="str">
            <v>Véhicules neufs</v>
          </cell>
          <cell r="V259" t="str">
            <v>Ex-Démos et courtoisies</v>
          </cell>
          <cell r="W259" t="str">
            <v>$</v>
          </cell>
          <cell r="X259">
            <v>0</v>
          </cell>
        </row>
        <row r="260">
          <cell r="C260">
            <v>3039170.49</v>
          </cell>
          <cell r="O260">
            <v>718200.47</v>
          </cell>
          <cell r="U260" t="str">
            <v>Véhicules usagés</v>
          </cell>
          <cell r="V260" t="str">
            <v>Certifié</v>
          </cell>
          <cell r="W260" t="str">
            <v>$</v>
          </cell>
          <cell r="X260">
            <v>0</v>
          </cell>
        </row>
        <row r="261">
          <cell r="C261">
            <v>320915.78999999998</v>
          </cell>
          <cell r="O261">
            <v>76867</v>
          </cell>
          <cell r="U261" t="str">
            <v>Véhicules usagés</v>
          </cell>
          <cell r="V261" t="str">
            <v>Certifié</v>
          </cell>
          <cell r="W261" t="str">
            <v>$</v>
          </cell>
          <cell r="X261">
            <v>0</v>
          </cell>
        </row>
        <row r="262">
          <cell r="C262">
            <v>1185</v>
          </cell>
          <cell r="O262">
            <v>555</v>
          </cell>
          <cell r="U262" t="str">
            <v>Véhicules usagés</v>
          </cell>
          <cell r="V262" t="str">
            <v>Non Certifié</v>
          </cell>
          <cell r="W262" t="str">
            <v>$</v>
          </cell>
          <cell r="X262">
            <v>0</v>
          </cell>
        </row>
        <row r="263">
          <cell r="C263">
            <v>659.42</v>
          </cell>
          <cell r="O263">
            <v>0</v>
          </cell>
          <cell r="U263" t="str">
            <v>Véhicules usagés</v>
          </cell>
          <cell r="V263" t="str">
            <v>Non Certifié</v>
          </cell>
          <cell r="W263" t="str">
            <v>$</v>
          </cell>
          <cell r="X263">
            <v>0</v>
          </cell>
        </row>
        <row r="264">
          <cell r="C264">
            <v>86810</v>
          </cell>
          <cell r="O264">
            <v>29265</v>
          </cell>
          <cell r="U264" t="str">
            <v>Véhicules usagés</v>
          </cell>
          <cell r="V264" t="str">
            <v>Non Certifié</v>
          </cell>
          <cell r="W264" t="str">
            <v>$</v>
          </cell>
          <cell r="X264">
            <v>0</v>
          </cell>
        </row>
        <row r="265">
          <cell r="C265">
            <v>2112.29</v>
          </cell>
          <cell r="O265">
            <v>1388.32</v>
          </cell>
          <cell r="U265" t="str">
            <v>Véhicules usagés</v>
          </cell>
          <cell r="V265" t="str">
            <v>Non Certifié</v>
          </cell>
          <cell r="W265" t="str">
            <v>$</v>
          </cell>
          <cell r="X265">
            <v>0</v>
          </cell>
        </row>
        <row r="266">
          <cell r="C266">
            <v>1773416.39</v>
          </cell>
          <cell r="O266">
            <v>709804.97</v>
          </cell>
          <cell r="U266" t="str">
            <v>Véhicules usagés</v>
          </cell>
          <cell r="V266" t="str">
            <v>Ventes au Gros</v>
          </cell>
          <cell r="W266" t="str">
            <v>$</v>
          </cell>
          <cell r="X266">
            <v>0</v>
          </cell>
        </row>
        <row r="267">
          <cell r="C267">
            <v>116232.22</v>
          </cell>
          <cell r="O267">
            <v>19567.88</v>
          </cell>
          <cell r="U267" t="str">
            <v>Service</v>
          </cell>
          <cell r="V267" t="str">
            <v>M/O Client</v>
          </cell>
          <cell r="W267" t="str">
            <v>$</v>
          </cell>
          <cell r="X267">
            <v>0</v>
          </cell>
        </row>
        <row r="268">
          <cell r="C268">
            <v>236.36</v>
          </cell>
          <cell r="O268">
            <v>140.4</v>
          </cell>
          <cell r="U268" t="str">
            <v>Service</v>
          </cell>
          <cell r="V268" t="str">
            <v>M/O Esthétique</v>
          </cell>
          <cell r="W268" t="str">
            <v>$</v>
          </cell>
          <cell r="X268">
            <v>0</v>
          </cell>
        </row>
        <row r="269">
          <cell r="C269">
            <v>81403.679999999993</v>
          </cell>
          <cell r="O269">
            <v>20034.240000000002</v>
          </cell>
          <cell r="U269" t="str">
            <v>Service</v>
          </cell>
          <cell r="V269" t="str">
            <v>M/O Garantie</v>
          </cell>
          <cell r="W269" t="str">
            <v>$</v>
          </cell>
          <cell r="X269">
            <v>0</v>
          </cell>
        </row>
        <row r="270">
          <cell r="C270">
            <v>69384.23</v>
          </cell>
          <cell r="O270">
            <v>19746.689999999999</v>
          </cell>
          <cell r="U270" t="str">
            <v>Service</v>
          </cell>
          <cell r="V270" t="str">
            <v>M/O Interne</v>
          </cell>
          <cell r="W270" t="str">
            <v>$</v>
          </cell>
          <cell r="X270">
            <v>0</v>
          </cell>
        </row>
        <row r="271">
          <cell r="C271">
            <v>15645.82</v>
          </cell>
          <cell r="O271">
            <v>3592.65</v>
          </cell>
          <cell r="U271" t="str">
            <v>Service</v>
          </cell>
          <cell r="V271" t="str">
            <v>Ajustement M/O</v>
          </cell>
          <cell r="W271" t="str">
            <v>$</v>
          </cell>
          <cell r="X271">
            <v>0</v>
          </cell>
        </row>
        <row r="272">
          <cell r="C272">
            <v>56641.46</v>
          </cell>
          <cell r="O272">
            <v>14300.51</v>
          </cell>
          <cell r="U272" t="str">
            <v>Pièces</v>
          </cell>
          <cell r="V272" t="str">
            <v>Huiles et Graisse</v>
          </cell>
          <cell r="W272" t="str">
            <v>$</v>
          </cell>
          <cell r="X272">
            <v>0</v>
          </cell>
        </row>
        <row r="273">
          <cell r="C273">
            <v>6821</v>
          </cell>
          <cell r="O273">
            <v>355</v>
          </cell>
          <cell r="U273" t="str">
            <v>Service</v>
          </cell>
          <cell r="V273" t="str">
            <v>Sous-traitement</v>
          </cell>
          <cell r="W273" t="str">
            <v>$</v>
          </cell>
          <cell r="X273">
            <v>0</v>
          </cell>
        </row>
        <row r="274">
          <cell r="C274">
            <v>11540.38</v>
          </cell>
          <cell r="O274">
            <v>4066.88</v>
          </cell>
          <cell r="U274" t="str">
            <v>Service</v>
          </cell>
          <cell r="V274" t="str">
            <v>Sous-traitement</v>
          </cell>
          <cell r="W274" t="str">
            <v>$</v>
          </cell>
          <cell r="X274">
            <v>0</v>
          </cell>
        </row>
        <row r="275">
          <cell r="C275">
            <v>71107.64</v>
          </cell>
          <cell r="O275">
            <v>17030.05</v>
          </cell>
          <cell r="U275" t="str">
            <v>Service</v>
          </cell>
          <cell r="V275" t="str">
            <v>Sous-traitement</v>
          </cell>
          <cell r="W275" t="str">
            <v>$</v>
          </cell>
          <cell r="X275">
            <v>0</v>
          </cell>
        </row>
        <row r="276">
          <cell r="C276">
            <v>58953.85</v>
          </cell>
          <cell r="O276">
            <v>23343.439999999999</v>
          </cell>
          <cell r="U276" t="str">
            <v>Carrosserie</v>
          </cell>
          <cell r="V276" t="str">
            <v>M/O Sous-traitement</v>
          </cell>
          <cell r="W276" t="str">
            <v>$</v>
          </cell>
          <cell r="X276">
            <v>0</v>
          </cell>
        </row>
        <row r="277">
          <cell r="C277">
            <v>264187.52000000002</v>
          </cell>
          <cell r="O277">
            <v>36609.32</v>
          </cell>
          <cell r="U277" t="str">
            <v>Carrosserie</v>
          </cell>
          <cell r="V277" t="str">
            <v>M/O Sous-traitement</v>
          </cell>
          <cell r="W277" t="str">
            <v>$</v>
          </cell>
          <cell r="X277">
            <v>0</v>
          </cell>
        </row>
        <row r="278">
          <cell r="C278">
            <v>14883.71</v>
          </cell>
          <cell r="O278">
            <v>8635.16</v>
          </cell>
          <cell r="U278" t="str">
            <v>Carrosserie</v>
          </cell>
          <cell r="V278" t="str">
            <v>M/O Sous-traitement</v>
          </cell>
          <cell r="W278" t="str">
            <v>$</v>
          </cell>
          <cell r="X278">
            <v>0</v>
          </cell>
        </row>
        <row r="279">
          <cell r="C279">
            <v>172045.19</v>
          </cell>
          <cell r="O279">
            <v>36237.22</v>
          </cell>
          <cell r="U279" t="str">
            <v>Pièces</v>
          </cell>
          <cell r="V279" t="str">
            <v>Pièces Ro Clients</v>
          </cell>
          <cell r="W279" t="str">
            <v>$</v>
          </cell>
          <cell r="X279">
            <v>0</v>
          </cell>
        </row>
        <row r="280">
          <cell r="C280">
            <v>1831.98</v>
          </cell>
          <cell r="O280">
            <v>396.44</v>
          </cell>
          <cell r="U280" t="str">
            <v>Service</v>
          </cell>
          <cell r="V280" t="str">
            <v>M/O Client</v>
          </cell>
          <cell r="W280" t="str">
            <v>$</v>
          </cell>
          <cell r="X280">
            <v>0</v>
          </cell>
        </row>
        <row r="281">
          <cell r="C281">
            <v>268439.55</v>
          </cell>
          <cell r="O281">
            <v>89592.7</v>
          </cell>
          <cell r="U281" t="str">
            <v>Pièces</v>
          </cell>
          <cell r="V281" t="str">
            <v>P/A Garantie</v>
          </cell>
          <cell r="W281" t="str">
            <v>$</v>
          </cell>
          <cell r="X281">
            <v>0</v>
          </cell>
        </row>
        <row r="282">
          <cell r="C282">
            <v>148680.82999999999</v>
          </cell>
          <cell r="O282">
            <v>49582.99</v>
          </cell>
          <cell r="U282" t="str">
            <v>Pièces</v>
          </cell>
          <cell r="V282" t="str">
            <v>Ventes Internes</v>
          </cell>
          <cell r="W282" t="str">
            <v>$</v>
          </cell>
          <cell r="X282">
            <v>0</v>
          </cell>
        </row>
        <row r="283">
          <cell r="C283">
            <v>2495.89</v>
          </cell>
          <cell r="O283">
            <v>476.44</v>
          </cell>
          <cell r="U283" t="str">
            <v>Service</v>
          </cell>
          <cell r="V283" t="str">
            <v>M/O Interne</v>
          </cell>
          <cell r="W283" t="str">
            <v>$</v>
          </cell>
          <cell r="X283">
            <v>0</v>
          </cell>
        </row>
        <row r="284">
          <cell r="C284">
            <v>15789.7</v>
          </cell>
          <cell r="O284">
            <v>2161.56</v>
          </cell>
          <cell r="U284" t="str">
            <v>Pièces</v>
          </cell>
          <cell r="V284" t="str">
            <v>Pièces Ro Clients</v>
          </cell>
          <cell r="W284" t="str">
            <v>$</v>
          </cell>
          <cell r="X284">
            <v>0</v>
          </cell>
        </row>
        <row r="285">
          <cell r="C285">
            <v>24052.48</v>
          </cell>
          <cell r="O285">
            <v>9310.25</v>
          </cell>
          <cell r="U285" t="str">
            <v>Pièces</v>
          </cell>
          <cell r="V285" t="str">
            <v>Pièces Ro Carrosserie</v>
          </cell>
          <cell r="W285" t="str">
            <v>$</v>
          </cell>
          <cell r="X285">
            <v>0</v>
          </cell>
        </row>
        <row r="286">
          <cell r="C286">
            <v>139942.75</v>
          </cell>
          <cell r="O286">
            <v>29173.66</v>
          </cell>
          <cell r="U286" t="str">
            <v>Pièces</v>
          </cell>
          <cell r="V286" t="str">
            <v>Pièces Ro Carrosserie</v>
          </cell>
          <cell r="W286" t="str">
            <v>$</v>
          </cell>
          <cell r="X286">
            <v>0</v>
          </cell>
        </row>
        <row r="287">
          <cell r="C287">
            <v>1264.47</v>
          </cell>
          <cell r="O287">
            <v>2507.4</v>
          </cell>
          <cell r="U287" t="str">
            <v>Pièces</v>
          </cell>
          <cell r="V287" t="str">
            <v>Pièces Ro Carrosserie</v>
          </cell>
          <cell r="W287" t="str">
            <v>$</v>
          </cell>
          <cell r="X287">
            <v>0</v>
          </cell>
        </row>
        <row r="288">
          <cell r="C288">
            <v>50709.29</v>
          </cell>
          <cell r="O288">
            <v>12925.13</v>
          </cell>
          <cell r="U288" t="str">
            <v>Pièces</v>
          </cell>
          <cell r="V288" t="str">
            <v>Ventes Détails</v>
          </cell>
          <cell r="W288" t="str">
            <v>$</v>
          </cell>
          <cell r="X288">
            <v>0</v>
          </cell>
        </row>
        <row r="289">
          <cell r="C289">
            <v>158909.67000000001</v>
          </cell>
          <cell r="O289">
            <v>43194.12</v>
          </cell>
          <cell r="U289" t="str">
            <v>Pièces</v>
          </cell>
          <cell r="V289" t="str">
            <v>Ventes de Gros</v>
          </cell>
          <cell r="W289" t="str">
            <v>$</v>
          </cell>
          <cell r="X289">
            <v>0</v>
          </cell>
        </row>
        <row r="290">
          <cell r="C290">
            <v>126013.46</v>
          </cell>
          <cell r="O290">
            <v>23360.38</v>
          </cell>
          <cell r="U290" t="str">
            <v>Pièces</v>
          </cell>
          <cell r="V290" t="str">
            <v>Ventes Pneus</v>
          </cell>
          <cell r="W290" t="str">
            <v>$</v>
          </cell>
          <cell r="X290">
            <v>0</v>
          </cell>
        </row>
        <row r="291">
          <cell r="C291">
            <v>403.34</v>
          </cell>
          <cell r="O291">
            <v>0</v>
          </cell>
          <cell r="U291" t="str">
            <v>Pièces</v>
          </cell>
          <cell r="V291" t="str">
            <v>Ventes Pneus</v>
          </cell>
          <cell r="W291" t="str">
            <v>$</v>
          </cell>
          <cell r="X291">
            <v>0</v>
          </cell>
        </row>
        <row r="292">
          <cell r="C292">
            <v>-2239.63</v>
          </cell>
          <cell r="O292">
            <v>-26.6</v>
          </cell>
          <cell r="U292" t="str">
            <v>Pièces</v>
          </cell>
          <cell r="V292" t="str">
            <v>Escomptes</v>
          </cell>
          <cell r="W292" t="str">
            <v>$</v>
          </cell>
          <cell r="X292">
            <v>0</v>
          </cell>
        </row>
        <row r="293">
          <cell r="C293">
            <v>184239.95</v>
          </cell>
          <cell r="O293">
            <v>41463.370000000003</v>
          </cell>
          <cell r="U293" t="str">
            <v>Véhicules neufs</v>
          </cell>
          <cell r="V293" t="str">
            <v>Comm. vendeurs</v>
          </cell>
          <cell r="W293" t="str">
            <v>$</v>
          </cell>
          <cell r="X293">
            <v>0</v>
          </cell>
        </row>
        <row r="294">
          <cell r="C294">
            <v>70104.179999999993</v>
          </cell>
          <cell r="O294">
            <v>17886.68</v>
          </cell>
          <cell r="U294" t="str">
            <v>Véhicules neufs</v>
          </cell>
          <cell r="V294" t="str">
            <v>Comm. F&amp;I</v>
          </cell>
          <cell r="W294" t="str">
            <v>$</v>
          </cell>
          <cell r="X294">
            <v>0</v>
          </cell>
        </row>
        <row r="295">
          <cell r="C295">
            <v>1812.91</v>
          </cell>
          <cell r="O295">
            <v>1078.6199999999999</v>
          </cell>
          <cell r="U295" t="str">
            <v>Véhicules neufs</v>
          </cell>
          <cell r="V295" t="str">
            <v>Service gratuit 1</v>
          </cell>
          <cell r="W295" t="str">
            <v>$</v>
          </cell>
          <cell r="X295">
            <v>0</v>
          </cell>
        </row>
        <row r="296">
          <cell r="C296">
            <v>3389.63</v>
          </cell>
          <cell r="O296">
            <v>40</v>
          </cell>
          <cell r="U296" t="str">
            <v>Véhicules neufs</v>
          </cell>
          <cell r="V296" t="str">
            <v>Entretien stock</v>
          </cell>
          <cell r="W296" t="str">
            <v>$</v>
          </cell>
          <cell r="X296">
            <v>0</v>
          </cell>
        </row>
        <row r="297">
          <cell r="C297">
            <v>66136.58</v>
          </cell>
          <cell r="O297">
            <v>14904.32</v>
          </cell>
          <cell r="U297" t="str">
            <v>Véhicules neufs</v>
          </cell>
          <cell r="V297" t="str">
            <v>Intérêt de gros</v>
          </cell>
          <cell r="W297" t="str">
            <v>$</v>
          </cell>
          <cell r="X297">
            <v>0</v>
          </cell>
        </row>
        <row r="298">
          <cell r="C298">
            <v>41371.379999999997</v>
          </cell>
          <cell r="O298">
            <v>11216.71</v>
          </cell>
          <cell r="U298" t="str">
            <v>Véhicules neufs</v>
          </cell>
          <cell r="V298" t="str">
            <v>Frais de livraison</v>
          </cell>
          <cell r="W298" t="str">
            <v>$</v>
          </cell>
          <cell r="X298">
            <v>0</v>
          </cell>
        </row>
        <row r="299">
          <cell r="C299">
            <v>77069.53</v>
          </cell>
          <cell r="O299">
            <v>18860.810000000001</v>
          </cell>
          <cell r="U299" t="str">
            <v>Véhicules neufs</v>
          </cell>
          <cell r="V299" t="str">
            <v>Publicité 1</v>
          </cell>
          <cell r="W299" t="str">
            <v>$</v>
          </cell>
          <cell r="X299">
            <v>0</v>
          </cell>
        </row>
        <row r="300">
          <cell r="C300">
            <v>-30400</v>
          </cell>
          <cell r="O300">
            <v>-6400</v>
          </cell>
          <cell r="U300" t="str">
            <v>Véhicules neufs</v>
          </cell>
          <cell r="V300" t="str">
            <v>Publicité 1</v>
          </cell>
          <cell r="W300" t="str">
            <v>$</v>
          </cell>
          <cell r="X300">
            <v>0</v>
          </cell>
        </row>
        <row r="301">
          <cell r="C301">
            <v>4480.92</v>
          </cell>
          <cell r="O301">
            <v>747.6</v>
          </cell>
          <cell r="U301" t="str">
            <v>Véhicules neufs</v>
          </cell>
          <cell r="V301" t="str">
            <v>Salaires propriétaire</v>
          </cell>
          <cell r="W301" t="str">
            <v>$</v>
          </cell>
          <cell r="X301">
            <v>0</v>
          </cell>
        </row>
        <row r="302">
          <cell r="C302">
            <v>105352.54</v>
          </cell>
          <cell r="O302">
            <v>24698.93</v>
          </cell>
          <cell r="U302" t="str">
            <v>Véhicules neufs</v>
          </cell>
          <cell r="V302" t="str">
            <v>Salaires cadres</v>
          </cell>
          <cell r="W302" t="str">
            <v>$</v>
          </cell>
          <cell r="X302">
            <v>0</v>
          </cell>
        </row>
        <row r="303">
          <cell r="C303">
            <v>41360.44</v>
          </cell>
          <cell r="O303">
            <v>9024.66</v>
          </cell>
          <cell r="U303" t="str">
            <v>Véhicules neufs</v>
          </cell>
          <cell r="V303" t="str">
            <v>Salaires commis</v>
          </cell>
          <cell r="W303" t="str">
            <v>$</v>
          </cell>
          <cell r="X303">
            <v>0</v>
          </cell>
        </row>
        <row r="304">
          <cell r="C304">
            <v>37287.14</v>
          </cell>
          <cell r="O304">
            <v>10067.66</v>
          </cell>
          <cell r="U304" t="str">
            <v>Véhicules neufs</v>
          </cell>
          <cell r="V304" t="str">
            <v>Salaires autres</v>
          </cell>
          <cell r="W304" t="str">
            <v>$</v>
          </cell>
          <cell r="X304">
            <v>0</v>
          </cell>
        </row>
        <row r="305">
          <cell r="C305">
            <v>56717.83</v>
          </cell>
          <cell r="O305">
            <v>16636.16</v>
          </cell>
          <cell r="U305" t="str">
            <v>Véhicules neufs</v>
          </cell>
          <cell r="V305" t="str">
            <v>Salaires en absences</v>
          </cell>
          <cell r="W305" t="str">
            <v>$</v>
          </cell>
          <cell r="X305">
            <v>0</v>
          </cell>
        </row>
        <row r="306">
          <cell r="C306">
            <v>17388.02</v>
          </cell>
          <cell r="O306">
            <v>2040.96</v>
          </cell>
          <cell r="U306" t="str">
            <v>Véhicules neufs</v>
          </cell>
          <cell r="V306" t="str">
            <v>Csst</v>
          </cell>
          <cell r="W306" t="str">
            <v>$</v>
          </cell>
          <cell r="X306">
            <v>0</v>
          </cell>
        </row>
        <row r="307">
          <cell r="C307">
            <v>50328.06</v>
          </cell>
          <cell r="O307">
            <v>12245.78</v>
          </cell>
          <cell r="U307" t="str">
            <v>Véhicules neufs</v>
          </cell>
          <cell r="V307" t="str">
            <v>Déduction à la source</v>
          </cell>
          <cell r="W307" t="str">
            <v>$</v>
          </cell>
          <cell r="X307">
            <v>0</v>
          </cell>
        </row>
        <row r="308">
          <cell r="C308">
            <v>36068.43</v>
          </cell>
          <cell r="O308">
            <v>8776.15</v>
          </cell>
          <cell r="U308" t="str">
            <v>Véhicules neufs</v>
          </cell>
          <cell r="V308" t="str">
            <v>Bénéfices marginaux</v>
          </cell>
          <cell r="W308" t="str">
            <v>$</v>
          </cell>
          <cell r="X308">
            <v>0</v>
          </cell>
        </row>
        <row r="309">
          <cell r="C309">
            <v>551.94000000000005</v>
          </cell>
          <cell r="O309">
            <v>8.92</v>
          </cell>
          <cell r="U309" t="str">
            <v>Véhicules neufs</v>
          </cell>
          <cell r="V309" t="str">
            <v>Fournitures autres</v>
          </cell>
          <cell r="W309" t="str">
            <v>$</v>
          </cell>
          <cell r="X309">
            <v>0</v>
          </cell>
        </row>
        <row r="310">
          <cell r="C310">
            <v>2936.65</v>
          </cell>
          <cell r="O310">
            <v>2923.33</v>
          </cell>
          <cell r="U310" t="str">
            <v>Véhicules neufs</v>
          </cell>
          <cell r="V310" t="str">
            <v>Formation</v>
          </cell>
          <cell r="W310" t="str">
            <v>$</v>
          </cell>
          <cell r="X310">
            <v>0</v>
          </cell>
        </row>
        <row r="311">
          <cell r="C311">
            <v>28053.67</v>
          </cell>
          <cell r="O311">
            <v>7978.53</v>
          </cell>
          <cell r="U311" t="str">
            <v>Véhicules neufs</v>
          </cell>
          <cell r="V311" t="str">
            <v>Frais véhicules de cie</v>
          </cell>
          <cell r="W311" t="str">
            <v>$</v>
          </cell>
          <cell r="X311">
            <v>0</v>
          </cell>
        </row>
        <row r="312">
          <cell r="C312">
            <v>577.35</v>
          </cell>
          <cell r="O312">
            <v>191.45</v>
          </cell>
          <cell r="U312" t="str">
            <v>Véhicules neufs</v>
          </cell>
          <cell r="V312" t="str">
            <v>Frais postaux</v>
          </cell>
          <cell r="W312" t="str">
            <v>$</v>
          </cell>
          <cell r="X312">
            <v>0</v>
          </cell>
        </row>
        <row r="313">
          <cell r="C313">
            <v>28441.96</v>
          </cell>
          <cell r="O313">
            <v>5204</v>
          </cell>
          <cell r="U313" t="str">
            <v>Véhicules neufs</v>
          </cell>
          <cell r="V313" t="str">
            <v>Informatique</v>
          </cell>
          <cell r="W313" t="str">
            <v>$</v>
          </cell>
          <cell r="X313">
            <v>0</v>
          </cell>
        </row>
        <row r="314">
          <cell r="C314">
            <v>2728.86</v>
          </cell>
          <cell r="O314">
            <v>639.75</v>
          </cell>
          <cell r="U314" t="str">
            <v>Véhicules neufs</v>
          </cell>
          <cell r="V314" t="str">
            <v>Papeterie</v>
          </cell>
          <cell r="W314" t="str">
            <v>$</v>
          </cell>
          <cell r="X314">
            <v>0</v>
          </cell>
        </row>
        <row r="315">
          <cell r="C315">
            <v>1544.47</v>
          </cell>
          <cell r="O315">
            <v>228.24</v>
          </cell>
          <cell r="U315" t="str">
            <v>Véhicules neufs</v>
          </cell>
          <cell r="V315" t="str">
            <v>Téléphone</v>
          </cell>
          <cell r="W315" t="str">
            <v>$</v>
          </cell>
          <cell r="X315">
            <v>0</v>
          </cell>
        </row>
        <row r="316">
          <cell r="C316">
            <v>5542.32</v>
          </cell>
          <cell r="O316">
            <v>40.97</v>
          </cell>
          <cell r="U316" t="str">
            <v>Véhicules neufs</v>
          </cell>
          <cell r="V316" t="str">
            <v>Divers</v>
          </cell>
          <cell r="W316" t="str">
            <v>$</v>
          </cell>
          <cell r="X316">
            <v>0</v>
          </cell>
        </row>
        <row r="317">
          <cell r="C317">
            <v>1580.69</v>
          </cell>
          <cell r="O317">
            <v>755.69</v>
          </cell>
          <cell r="U317" t="str">
            <v>Véhicules neufs</v>
          </cell>
          <cell r="V317" t="str">
            <v>Frais de déplacement</v>
          </cell>
          <cell r="W317" t="str">
            <v>$</v>
          </cell>
          <cell r="X317">
            <v>0</v>
          </cell>
        </row>
        <row r="318">
          <cell r="C318">
            <v>37227.06</v>
          </cell>
          <cell r="O318">
            <v>6757.48</v>
          </cell>
          <cell r="U318" t="str">
            <v>Véhicules neufs</v>
          </cell>
          <cell r="V318" t="str">
            <v>Services extérieurs</v>
          </cell>
          <cell r="W318" t="str">
            <v>$</v>
          </cell>
          <cell r="X318">
            <v>0</v>
          </cell>
        </row>
        <row r="319">
          <cell r="C319">
            <v>7157.44</v>
          </cell>
          <cell r="O319">
            <v>1380.64</v>
          </cell>
          <cell r="U319" t="str">
            <v>Véhicules neufs</v>
          </cell>
          <cell r="V319" t="str">
            <v>Amortissement</v>
          </cell>
          <cell r="W319" t="str">
            <v>$</v>
          </cell>
          <cell r="X319">
            <v>0</v>
          </cell>
        </row>
        <row r="320">
          <cell r="C320">
            <v>4303.3999999999996</v>
          </cell>
          <cell r="O320">
            <v>39.83</v>
          </cell>
          <cell r="U320" t="str">
            <v>Véhicules neufs</v>
          </cell>
          <cell r="V320" t="str">
            <v>Chauffage, éclairage</v>
          </cell>
          <cell r="W320" t="str">
            <v>$</v>
          </cell>
          <cell r="X320">
            <v>0</v>
          </cell>
        </row>
        <row r="321">
          <cell r="C321">
            <v>41600</v>
          </cell>
          <cell r="O321">
            <v>8320</v>
          </cell>
          <cell r="U321" t="str">
            <v>Véhicules neufs</v>
          </cell>
          <cell r="V321" t="str">
            <v>Loyer</v>
          </cell>
          <cell r="W321" t="str">
            <v>$</v>
          </cell>
          <cell r="X321">
            <v>0</v>
          </cell>
        </row>
        <row r="322">
          <cell r="C322">
            <v>5933</v>
          </cell>
          <cell r="O322">
            <v>1186.5999999999999</v>
          </cell>
          <cell r="U322" t="str">
            <v>Véhicules neufs</v>
          </cell>
          <cell r="V322" t="str">
            <v>Assurances</v>
          </cell>
          <cell r="W322" t="str">
            <v>$</v>
          </cell>
          <cell r="X322">
            <v>0</v>
          </cell>
        </row>
        <row r="323">
          <cell r="C323">
            <v>7696</v>
          </cell>
          <cell r="O323">
            <v>1539.2</v>
          </cell>
          <cell r="U323" t="str">
            <v>Véhicules neufs</v>
          </cell>
          <cell r="V323" t="str">
            <v>Taxes foncières</v>
          </cell>
          <cell r="W323" t="str">
            <v>$</v>
          </cell>
          <cell r="X323">
            <v>0</v>
          </cell>
        </row>
        <row r="324">
          <cell r="C324">
            <v>5120</v>
          </cell>
          <cell r="O324">
            <v>1024</v>
          </cell>
          <cell r="U324" t="str">
            <v>Véhicules neufs</v>
          </cell>
          <cell r="V324" t="str">
            <v>Taxes d`affaires</v>
          </cell>
          <cell r="W324" t="str">
            <v>$</v>
          </cell>
          <cell r="X324">
            <v>0</v>
          </cell>
        </row>
        <row r="325">
          <cell r="C325">
            <v>10520.21</v>
          </cell>
          <cell r="O325">
            <v>1989.47</v>
          </cell>
          <cell r="U325" t="str">
            <v>Véhicules neufs</v>
          </cell>
          <cell r="V325" t="str">
            <v>Honoraires</v>
          </cell>
          <cell r="W325" t="str">
            <v>$</v>
          </cell>
          <cell r="X325">
            <v>0</v>
          </cell>
        </row>
        <row r="326">
          <cell r="C326">
            <v>75498.880000000005</v>
          </cell>
          <cell r="O326">
            <v>17174.38</v>
          </cell>
          <cell r="U326" t="str">
            <v>Véhicules usagés</v>
          </cell>
          <cell r="V326" t="str">
            <v>Comm. vendeurs</v>
          </cell>
          <cell r="W326" t="str">
            <v>$</v>
          </cell>
          <cell r="X326">
            <v>0</v>
          </cell>
        </row>
        <row r="327">
          <cell r="C327">
            <v>87976.39</v>
          </cell>
          <cell r="O327">
            <v>24987.8</v>
          </cell>
          <cell r="U327" t="str">
            <v>Véhicules usagés</v>
          </cell>
          <cell r="V327" t="str">
            <v>Comm. F&amp;I</v>
          </cell>
          <cell r="W327" t="str">
            <v>$</v>
          </cell>
          <cell r="X327">
            <v>0</v>
          </cell>
        </row>
        <row r="328">
          <cell r="C328">
            <v>1396.73</v>
          </cell>
          <cell r="O328">
            <v>424.37</v>
          </cell>
          <cell r="U328" t="str">
            <v>Véhicules usagés</v>
          </cell>
          <cell r="V328" t="str">
            <v>Service gratuit 1</v>
          </cell>
          <cell r="W328" t="str">
            <v>$</v>
          </cell>
          <cell r="X328">
            <v>0</v>
          </cell>
        </row>
        <row r="329">
          <cell r="C329">
            <v>17666.169999999998</v>
          </cell>
          <cell r="O329">
            <v>3262.75</v>
          </cell>
          <cell r="U329" t="str">
            <v>Véhicules usagés</v>
          </cell>
          <cell r="V329" t="str">
            <v>Entretien stock</v>
          </cell>
          <cell r="W329" t="str">
            <v>$</v>
          </cell>
          <cell r="X329">
            <v>0</v>
          </cell>
        </row>
        <row r="330">
          <cell r="C330">
            <v>2918.35</v>
          </cell>
          <cell r="O330">
            <v>607.36</v>
          </cell>
          <cell r="U330" t="str">
            <v>Véhicules usagés</v>
          </cell>
          <cell r="V330" t="str">
            <v>Intérêt de gros</v>
          </cell>
          <cell r="W330" t="str">
            <v>$</v>
          </cell>
          <cell r="X330">
            <v>0</v>
          </cell>
        </row>
        <row r="331">
          <cell r="C331">
            <v>11163.81</v>
          </cell>
          <cell r="O331">
            <v>2371.21</v>
          </cell>
          <cell r="U331" t="str">
            <v>Véhicules usagés</v>
          </cell>
          <cell r="V331" t="str">
            <v>Frais de livraison</v>
          </cell>
          <cell r="W331" t="str">
            <v>$</v>
          </cell>
          <cell r="X331">
            <v>0</v>
          </cell>
        </row>
        <row r="332">
          <cell r="C332">
            <v>35737.83</v>
          </cell>
          <cell r="O332">
            <v>5180.63</v>
          </cell>
          <cell r="U332" t="str">
            <v>Véhicules usagés</v>
          </cell>
          <cell r="V332" t="str">
            <v>Publicité 1</v>
          </cell>
          <cell r="W332" t="str">
            <v>$</v>
          </cell>
          <cell r="X332">
            <v>0</v>
          </cell>
        </row>
        <row r="333">
          <cell r="C333">
            <v>-16500</v>
          </cell>
          <cell r="O333">
            <v>-3700</v>
          </cell>
          <cell r="U333" t="str">
            <v>Véhicules usagés</v>
          </cell>
          <cell r="V333" t="str">
            <v>Publicité 1</v>
          </cell>
          <cell r="W333" t="str">
            <v>$</v>
          </cell>
          <cell r="X333">
            <v>0</v>
          </cell>
        </row>
        <row r="334">
          <cell r="C334">
            <v>1680.35</v>
          </cell>
          <cell r="O334">
            <v>280.35000000000002</v>
          </cell>
          <cell r="U334" t="str">
            <v>Véhicules usagés</v>
          </cell>
          <cell r="V334" t="str">
            <v>Salaires propriétaire</v>
          </cell>
          <cell r="W334" t="str">
            <v>$</v>
          </cell>
          <cell r="X334">
            <v>0</v>
          </cell>
        </row>
        <row r="335">
          <cell r="C335">
            <v>50219.97</v>
          </cell>
          <cell r="O335">
            <v>16217.46</v>
          </cell>
          <cell r="U335" t="str">
            <v>Véhicules usagés</v>
          </cell>
          <cell r="V335" t="str">
            <v>Salaires cadres</v>
          </cell>
          <cell r="W335" t="str">
            <v>$</v>
          </cell>
          <cell r="X335">
            <v>0</v>
          </cell>
        </row>
        <row r="336">
          <cell r="C336">
            <v>10045.18</v>
          </cell>
          <cell r="O336">
            <v>2005.49</v>
          </cell>
          <cell r="U336" t="str">
            <v>Véhicules usagés</v>
          </cell>
          <cell r="V336" t="str">
            <v>Salaires commis</v>
          </cell>
          <cell r="W336" t="str">
            <v>$</v>
          </cell>
          <cell r="X336">
            <v>0</v>
          </cell>
        </row>
        <row r="337">
          <cell r="C337">
            <v>33349.06</v>
          </cell>
          <cell r="O337">
            <v>8226.7999999999993</v>
          </cell>
          <cell r="U337" t="str">
            <v>Véhicules usagés</v>
          </cell>
          <cell r="V337" t="str">
            <v>Salaires autres</v>
          </cell>
          <cell r="W337" t="str">
            <v>$</v>
          </cell>
          <cell r="X337">
            <v>0</v>
          </cell>
        </row>
        <row r="338">
          <cell r="C338">
            <v>15831.25</v>
          </cell>
          <cell r="O338">
            <v>4228.84</v>
          </cell>
          <cell r="U338" t="str">
            <v>Véhicules usagés</v>
          </cell>
          <cell r="V338" t="str">
            <v>Salaires en absences</v>
          </cell>
          <cell r="W338" t="str">
            <v>$</v>
          </cell>
          <cell r="X338">
            <v>0</v>
          </cell>
        </row>
        <row r="339">
          <cell r="C339">
            <v>4027.98</v>
          </cell>
          <cell r="O339">
            <v>1241.6400000000001</v>
          </cell>
          <cell r="U339" t="str">
            <v>Véhicules usagés</v>
          </cell>
          <cell r="V339" t="str">
            <v>Csst</v>
          </cell>
          <cell r="W339" t="str">
            <v>$</v>
          </cell>
          <cell r="X339">
            <v>0</v>
          </cell>
        </row>
        <row r="340">
          <cell r="C340">
            <v>24167.9</v>
          </cell>
          <cell r="O340">
            <v>7449.83</v>
          </cell>
          <cell r="U340" t="str">
            <v>Véhicules usagés</v>
          </cell>
          <cell r="V340" t="str">
            <v>Déduction à la source</v>
          </cell>
          <cell r="W340" t="str">
            <v>$</v>
          </cell>
          <cell r="X340">
            <v>0</v>
          </cell>
        </row>
        <row r="341">
          <cell r="C341">
            <v>17320.330000000002</v>
          </cell>
          <cell r="O341">
            <v>5339.04</v>
          </cell>
          <cell r="U341" t="str">
            <v>Véhicules usagés</v>
          </cell>
          <cell r="V341" t="str">
            <v>Bénéfices marginaux</v>
          </cell>
          <cell r="W341" t="str">
            <v>$</v>
          </cell>
          <cell r="X341">
            <v>0</v>
          </cell>
        </row>
        <row r="342">
          <cell r="C342">
            <v>441.85</v>
          </cell>
          <cell r="O342">
            <v>3.35</v>
          </cell>
          <cell r="U342" t="str">
            <v>Véhicules usagés</v>
          </cell>
          <cell r="V342" t="str">
            <v>Fournitures autres</v>
          </cell>
          <cell r="W342" t="str">
            <v>$</v>
          </cell>
          <cell r="X342">
            <v>0</v>
          </cell>
        </row>
        <row r="343">
          <cell r="C343">
            <v>173.1</v>
          </cell>
          <cell r="O343">
            <v>10.62</v>
          </cell>
          <cell r="U343" t="str">
            <v>Véhicules usagés</v>
          </cell>
          <cell r="V343" t="str">
            <v>Formation</v>
          </cell>
          <cell r="W343" t="str">
            <v>$</v>
          </cell>
          <cell r="X343">
            <v>0</v>
          </cell>
        </row>
        <row r="344">
          <cell r="C344">
            <v>-1853.48</v>
          </cell>
          <cell r="O344">
            <v>200.89</v>
          </cell>
          <cell r="U344" t="str">
            <v>Véhicules usagés</v>
          </cell>
          <cell r="V344" t="str">
            <v>Frais véhicules de cie</v>
          </cell>
          <cell r="W344" t="str">
            <v>$</v>
          </cell>
          <cell r="X344">
            <v>0</v>
          </cell>
        </row>
        <row r="345">
          <cell r="C345">
            <v>294.79000000000002</v>
          </cell>
          <cell r="O345">
            <v>71.8</v>
          </cell>
          <cell r="U345" t="str">
            <v>Véhicules usagés</v>
          </cell>
          <cell r="V345" t="str">
            <v>Frais postaux</v>
          </cell>
          <cell r="W345" t="str">
            <v>$</v>
          </cell>
          <cell r="X345">
            <v>0</v>
          </cell>
        </row>
        <row r="346">
          <cell r="C346">
            <v>9356.27</v>
          </cell>
          <cell r="O346">
            <v>1675.51</v>
          </cell>
          <cell r="U346" t="str">
            <v>Véhicules usagés</v>
          </cell>
          <cell r="V346" t="str">
            <v>Informatique</v>
          </cell>
          <cell r="W346" t="str">
            <v>$</v>
          </cell>
          <cell r="X346">
            <v>0</v>
          </cell>
        </row>
        <row r="347">
          <cell r="C347">
            <v>1265.6600000000001</v>
          </cell>
          <cell r="O347">
            <v>239.91</v>
          </cell>
          <cell r="U347" t="str">
            <v>Véhicules usagés</v>
          </cell>
          <cell r="V347" t="str">
            <v>Papeterie</v>
          </cell>
          <cell r="W347" t="str">
            <v>$</v>
          </cell>
          <cell r="X347">
            <v>0</v>
          </cell>
        </row>
        <row r="348">
          <cell r="C348">
            <v>435.38</v>
          </cell>
          <cell r="O348">
            <v>37.659999999999997</v>
          </cell>
          <cell r="U348" t="str">
            <v>Véhicules usagés</v>
          </cell>
          <cell r="V348" t="str">
            <v>Téléphone</v>
          </cell>
          <cell r="W348" t="str">
            <v>$</v>
          </cell>
          <cell r="X348">
            <v>0</v>
          </cell>
        </row>
        <row r="349">
          <cell r="C349">
            <v>1502.3</v>
          </cell>
          <cell r="O349">
            <v>15.36</v>
          </cell>
          <cell r="U349" t="str">
            <v>Véhicules usagés</v>
          </cell>
          <cell r="V349" t="str">
            <v>Divers</v>
          </cell>
          <cell r="W349" t="str">
            <v>$</v>
          </cell>
          <cell r="X349">
            <v>0</v>
          </cell>
        </row>
        <row r="350">
          <cell r="C350">
            <v>579.16999999999996</v>
          </cell>
          <cell r="O350">
            <v>283.38</v>
          </cell>
          <cell r="U350" t="str">
            <v>Véhicules usagés</v>
          </cell>
          <cell r="V350" t="str">
            <v>Frais de déplacement</v>
          </cell>
          <cell r="W350" t="str">
            <v>$</v>
          </cell>
          <cell r="X350">
            <v>0</v>
          </cell>
        </row>
        <row r="351">
          <cell r="C351">
            <v>5465.28</v>
          </cell>
          <cell r="O351">
            <v>1067.22</v>
          </cell>
          <cell r="U351" t="str">
            <v>Véhicules usagés</v>
          </cell>
          <cell r="V351" t="str">
            <v>Services extérieurs</v>
          </cell>
          <cell r="W351" t="str">
            <v>$</v>
          </cell>
          <cell r="X351">
            <v>0</v>
          </cell>
        </row>
        <row r="352">
          <cell r="C352">
            <v>2684.04</v>
          </cell>
          <cell r="O352">
            <v>517.74</v>
          </cell>
          <cell r="U352" t="str">
            <v>Véhicules usagés</v>
          </cell>
          <cell r="V352" t="str">
            <v>Amortissement</v>
          </cell>
          <cell r="W352" t="str">
            <v>$</v>
          </cell>
          <cell r="X352">
            <v>0</v>
          </cell>
        </row>
        <row r="353">
          <cell r="C353">
            <v>1613.79</v>
          </cell>
          <cell r="O353">
            <v>14.94</v>
          </cell>
          <cell r="U353" t="str">
            <v>Véhicules usagés</v>
          </cell>
          <cell r="V353" t="str">
            <v>Chauffage, éclairage</v>
          </cell>
          <cell r="W353" t="str">
            <v>$</v>
          </cell>
          <cell r="X353">
            <v>0</v>
          </cell>
        </row>
        <row r="354">
          <cell r="C354">
            <v>15600</v>
          </cell>
          <cell r="O354">
            <v>3120</v>
          </cell>
          <cell r="U354" t="str">
            <v>Véhicules usagés</v>
          </cell>
          <cell r="V354" t="str">
            <v>Loyer</v>
          </cell>
          <cell r="W354" t="str">
            <v>$</v>
          </cell>
          <cell r="X354">
            <v>0</v>
          </cell>
        </row>
        <row r="355">
          <cell r="C355">
            <v>2224.85</v>
          </cell>
          <cell r="O355">
            <v>444.97</v>
          </cell>
          <cell r="U355" t="str">
            <v>Véhicules usagés</v>
          </cell>
          <cell r="V355" t="str">
            <v>Assurances</v>
          </cell>
          <cell r="W355" t="str">
            <v>$</v>
          </cell>
          <cell r="X355">
            <v>0</v>
          </cell>
        </row>
        <row r="356">
          <cell r="C356">
            <v>2886</v>
          </cell>
          <cell r="O356">
            <v>577.20000000000005</v>
          </cell>
          <cell r="U356" t="str">
            <v>Véhicules usagés</v>
          </cell>
          <cell r="V356" t="str">
            <v>Taxes foncières</v>
          </cell>
          <cell r="W356" t="str">
            <v>$</v>
          </cell>
          <cell r="X356">
            <v>0</v>
          </cell>
        </row>
        <row r="357">
          <cell r="C357">
            <v>1920</v>
          </cell>
          <cell r="O357">
            <v>384</v>
          </cell>
          <cell r="U357" t="str">
            <v>Véhicules usagés</v>
          </cell>
          <cell r="V357" t="str">
            <v>Taxes d`affaires</v>
          </cell>
          <cell r="W357" t="str">
            <v>$</v>
          </cell>
          <cell r="X357">
            <v>0</v>
          </cell>
        </row>
        <row r="358">
          <cell r="C358">
            <v>3945.12</v>
          </cell>
          <cell r="O358">
            <v>746.06</v>
          </cell>
          <cell r="U358" t="str">
            <v>Véhicules usagés</v>
          </cell>
          <cell r="V358" t="str">
            <v>Honoraires</v>
          </cell>
          <cell r="W358" t="str">
            <v>$</v>
          </cell>
          <cell r="X358">
            <v>0</v>
          </cell>
        </row>
        <row r="359">
          <cell r="C359">
            <v>13898.15</v>
          </cell>
          <cell r="O359">
            <v>2886.68</v>
          </cell>
          <cell r="U359" t="str">
            <v>Service</v>
          </cell>
          <cell r="V359" t="str">
            <v>Service gratuit 2</v>
          </cell>
          <cell r="W359" t="str">
            <v>$</v>
          </cell>
          <cell r="X359">
            <v>0</v>
          </cell>
        </row>
        <row r="360">
          <cell r="C360">
            <v>927.4</v>
          </cell>
          <cell r="O360">
            <v>376.59</v>
          </cell>
          <cell r="U360" t="str">
            <v>Service</v>
          </cell>
          <cell r="V360" t="str">
            <v>Service gratuit 2</v>
          </cell>
          <cell r="W360" t="str">
            <v>$</v>
          </cell>
          <cell r="X360">
            <v>0</v>
          </cell>
        </row>
        <row r="361">
          <cell r="C361">
            <v>31195.79</v>
          </cell>
          <cell r="O361">
            <v>6624.8</v>
          </cell>
          <cell r="U361" t="str">
            <v>Service</v>
          </cell>
          <cell r="V361" t="str">
            <v>Publicité 2</v>
          </cell>
          <cell r="W361" t="str">
            <v>$</v>
          </cell>
          <cell r="X361">
            <v>0</v>
          </cell>
        </row>
        <row r="362">
          <cell r="C362">
            <v>3360.7</v>
          </cell>
          <cell r="O362">
            <v>560.70000000000005</v>
          </cell>
          <cell r="U362" t="str">
            <v>Service</v>
          </cell>
          <cell r="V362" t="str">
            <v>Salaires propriétaire</v>
          </cell>
          <cell r="W362" t="str">
            <v>$</v>
          </cell>
          <cell r="X362">
            <v>0</v>
          </cell>
        </row>
        <row r="363">
          <cell r="C363">
            <v>59025.09</v>
          </cell>
          <cell r="O363">
            <v>11329.02</v>
          </cell>
          <cell r="U363" t="str">
            <v>Service</v>
          </cell>
          <cell r="V363" t="str">
            <v>Salaires cadres</v>
          </cell>
          <cell r="W363" t="str">
            <v>$</v>
          </cell>
          <cell r="X363">
            <v>0</v>
          </cell>
        </row>
        <row r="364">
          <cell r="C364">
            <v>40926.76</v>
          </cell>
          <cell r="O364">
            <v>8980.89</v>
          </cell>
          <cell r="U364" t="str">
            <v>Service</v>
          </cell>
          <cell r="V364" t="str">
            <v>Salaires commis</v>
          </cell>
          <cell r="W364" t="str">
            <v>$</v>
          </cell>
          <cell r="X364">
            <v>0</v>
          </cell>
        </row>
        <row r="365">
          <cell r="C365">
            <v>60106.92</v>
          </cell>
          <cell r="O365">
            <v>8753.6200000000008</v>
          </cell>
          <cell r="U365" t="str">
            <v>Service</v>
          </cell>
          <cell r="V365" t="str">
            <v>Salaires autres</v>
          </cell>
          <cell r="W365" t="str">
            <v>$</v>
          </cell>
          <cell r="X365">
            <v>0</v>
          </cell>
        </row>
        <row r="366">
          <cell r="C366">
            <v>113080.27</v>
          </cell>
          <cell r="O366">
            <v>27905.55</v>
          </cell>
          <cell r="U366" t="str">
            <v>Service</v>
          </cell>
          <cell r="V366" t="str">
            <v>Salaires spécialistes</v>
          </cell>
          <cell r="W366" t="str">
            <v>$</v>
          </cell>
          <cell r="X366">
            <v>0</v>
          </cell>
        </row>
        <row r="367">
          <cell r="C367">
            <v>70138.84</v>
          </cell>
          <cell r="O367">
            <v>14695.77</v>
          </cell>
          <cell r="U367" t="str">
            <v>Service</v>
          </cell>
          <cell r="V367" t="str">
            <v>Salaires en absences</v>
          </cell>
          <cell r="W367" t="str">
            <v>$</v>
          </cell>
          <cell r="X367">
            <v>0</v>
          </cell>
        </row>
        <row r="368">
          <cell r="C368">
            <v>12732.06</v>
          </cell>
          <cell r="O368">
            <v>2783.27</v>
          </cell>
          <cell r="U368" t="str">
            <v>Service</v>
          </cell>
          <cell r="V368" t="str">
            <v>Csst</v>
          </cell>
          <cell r="W368" t="str">
            <v>$</v>
          </cell>
          <cell r="X368">
            <v>0</v>
          </cell>
        </row>
        <row r="369">
          <cell r="C369">
            <v>76392.350000000006</v>
          </cell>
          <cell r="O369">
            <v>16699.61</v>
          </cell>
          <cell r="U369" t="str">
            <v>Service</v>
          </cell>
          <cell r="V369" t="str">
            <v>Déduction à la source</v>
          </cell>
          <cell r="W369" t="str">
            <v>$</v>
          </cell>
          <cell r="X369">
            <v>0</v>
          </cell>
        </row>
        <row r="370">
          <cell r="C370">
            <v>1183.9100000000001</v>
          </cell>
          <cell r="O370">
            <v>292.22000000000003</v>
          </cell>
          <cell r="U370" t="str">
            <v>Service</v>
          </cell>
          <cell r="V370" t="str">
            <v>Bénéfices marginaux</v>
          </cell>
          <cell r="W370" t="str">
            <v>$</v>
          </cell>
          <cell r="X370">
            <v>0</v>
          </cell>
        </row>
        <row r="371">
          <cell r="C371">
            <v>53563.93</v>
          </cell>
          <cell r="O371">
            <v>11675.83</v>
          </cell>
          <cell r="U371" t="str">
            <v>Service</v>
          </cell>
          <cell r="V371" t="str">
            <v>Bénéfices marginaux</v>
          </cell>
          <cell r="W371" t="str">
            <v>$</v>
          </cell>
          <cell r="X371">
            <v>0</v>
          </cell>
        </row>
        <row r="372">
          <cell r="C372">
            <v>571.02</v>
          </cell>
          <cell r="O372">
            <v>0</v>
          </cell>
          <cell r="U372" t="str">
            <v>Service</v>
          </cell>
          <cell r="V372" t="str">
            <v>Service gratuit 2</v>
          </cell>
          <cell r="W372" t="str">
            <v>$</v>
          </cell>
          <cell r="X372">
            <v>0</v>
          </cell>
        </row>
        <row r="373">
          <cell r="C373">
            <v>5364.97</v>
          </cell>
          <cell r="O373">
            <v>1127.58</v>
          </cell>
          <cell r="U373" t="str">
            <v>Service</v>
          </cell>
          <cell r="V373" t="str">
            <v>Fournitures autres</v>
          </cell>
          <cell r="W373" t="str">
            <v>$</v>
          </cell>
          <cell r="X373">
            <v>0</v>
          </cell>
        </row>
        <row r="374">
          <cell r="C374">
            <v>3130.91</v>
          </cell>
          <cell r="O374">
            <v>677.03</v>
          </cell>
          <cell r="U374" t="str">
            <v>Service</v>
          </cell>
          <cell r="V374" t="str">
            <v>Uniformes</v>
          </cell>
          <cell r="W374" t="str">
            <v>$</v>
          </cell>
          <cell r="X374">
            <v>0</v>
          </cell>
        </row>
        <row r="375">
          <cell r="C375">
            <v>6972.71</v>
          </cell>
          <cell r="O375">
            <v>21.25</v>
          </cell>
          <cell r="U375" t="str">
            <v>Service</v>
          </cell>
          <cell r="V375" t="str">
            <v>Formation</v>
          </cell>
          <cell r="W375" t="str">
            <v>$</v>
          </cell>
          <cell r="X375">
            <v>0</v>
          </cell>
        </row>
        <row r="376">
          <cell r="C376">
            <v>71544.92</v>
          </cell>
          <cell r="O376">
            <v>16502.47</v>
          </cell>
          <cell r="U376" t="str">
            <v>Service</v>
          </cell>
          <cell r="V376" t="str">
            <v>Frais véhicules de cie</v>
          </cell>
          <cell r="W376" t="str">
            <v>$</v>
          </cell>
          <cell r="X376">
            <v>0</v>
          </cell>
        </row>
        <row r="377">
          <cell r="C377">
            <v>437.02</v>
          </cell>
          <cell r="O377">
            <v>149.26</v>
          </cell>
          <cell r="U377" t="str">
            <v>Service</v>
          </cell>
          <cell r="V377" t="str">
            <v>Frais postaux</v>
          </cell>
          <cell r="W377" t="str">
            <v>$</v>
          </cell>
          <cell r="X377">
            <v>0</v>
          </cell>
        </row>
        <row r="378">
          <cell r="C378">
            <v>19271.5</v>
          </cell>
          <cell r="O378">
            <v>3900.19</v>
          </cell>
          <cell r="U378" t="str">
            <v>Service</v>
          </cell>
          <cell r="V378" t="str">
            <v>Informatique</v>
          </cell>
          <cell r="W378" t="str">
            <v>$</v>
          </cell>
          <cell r="X378">
            <v>0</v>
          </cell>
        </row>
        <row r="379">
          <cell r="C379">
            <v>1819.71</v>
          </cell>
          <cell r="O379">
            <v>479.8</v>
          </cell>
          <cell r="U379" t="str">
            <v>Service</v>
          </cell>
          <cell r="V379" t="str">
            <v>Papeterie</v>
          </cell>
          <cell r="W379" t="str">
            <v>$</v>
          </cell>
          <cell r="X379">
            <v>0</v>
          </cell>
        </row>
        <row r="380">
          <cell r="C380">
            <v>1344.92</v>
          </cell>
          <cell r="O380">
            <v>250.68</v>
          </cell>
          <cell r="U380" t="str">
            <v>Service</v>
          </cell>
          <cell r="V380" t="str">
            <v>Téléphone</v>
          </cell>
          <cell r="W380" t="str">
            <v>$</v>
          </cell>
          <cell r="X380">
            <v>0</v>
          </cell>
        </row>
        <row r="381">
          <cell r="C381">
            <v>3004.61</v>
          </cell>
          <cell r="O381">
            <v>30.7</v>
          </cell>
          <cell r="U381" t="str">
            <v>Service</v>
          </cell>
          <cell r="V381" t="str">
            <v>Divers</v>
          </cell>
          <cell r="W381" t="str">
            <v>$</v>
          </cell>
          <cell r="X381">
            <v>0</v>
          </cell>
        </row>
        <row r="382">
          <cell r="C382">
            <v>1386.73</v>
          </cell>
          <cell r="O382">
            <v>566.75</v>
          </cell>
          <cell r="U382" t="str">
            <v>Service</v>
          </cell>
          <cell r="V382" t="str">
            <v>Frais de déplacement</v>
          </cell>
          <cell r="W382" t="str">
            <v>$</v>
          </cell>
          <cell r="X382">
            <v>0</v>
          </cell>
        </row>
        <row r="383">
          <cell r="C383">
            <v>11128.94</v>
          </cell>
          <cell r="O383">
            <v>2269.59</v>
          </cell>
          <cell r="U383" t="str">
            <v>Service</v>
          </cell>
          <cell r="V383" t="str">
            <v>Services extérieurs</v>
          </cell>
          <cell r="W383" t="str">
            <v>$</v>
          </cell>
          <cell r="X383">
            <v>0</v>
          </cell>
        </row>
        <row r="384">
          <cell r="C384">
            <v>5368.08</v>
          </cell>
          <cell r="O384">
            <v>1035.48</v>
          </cell>
          <cell r="U384" t="str">
            <v>Service</v>
          </cell>
          <cell r="V384" t="str">
            <v>Amortissement</v>
          </cell>
          <cell r="W384" t="str">
            <v>$</v>
          </cell>
          <cell r="X384">
            <v>0</v>
          </cell>
        </row>
        <row r="385">
          <cell r="C385">
            <v>4407.26</v>
          </cell>
          <cell r="O385">
            <v>501.69</v>
          </cell>
          <cell r="U385" t="str">
            <v>Service</v>
          </cell>
          <cell r="V385" t="str">
            <v>Réparation équipement</v>
          </cell>
          <cell r="W385" t="str">
            <v>$</v>
          </cell>
          <cell r="X385">
            <v>0</v>
          </cell>
        </row>
        <row r="386">
          <cell r="C386">
            <v>3227.57</v>
          </cell>
          <cell r="O386">
            <v>29.87</v>
          </cell>
          <cell r="U386" t="str">
            <v>Service</v>
          </cell>
          <cell r="V386" t="str">
            <v>Chauffage, éclairage</v>
          </cell>
          <cell r="W386" t="str">
            <v>$</v>
          </cell>
          <cell r="X386">
            <v>0</v>
          </cell>
        </row>
        <row r="387">
          <cell r="C387">
            <v>31200</v>
          </cell>
          <cell r="O387">
            <v>6240</v>
          </cell>
          <cell r="U387" t="str">
            <v>Service</v>
          </cell>
          <cell r="V387" t="str">
            <v>Loyer</v>
          </cell>
          <cell r="W387" t="str">
            <v>$</v>
          </cell>
          <cell r="X387">
            <v>0</v>
          </cell>
        </row>
        <row r="388">
          <cell r="C388">
            <v>4449.75</v>
          </cell>
          <cell r="O388">
            <v>889.95</v>
          </cell>
          <cell r="U388" t="str">
            <v>Service</v>
          </cell>
          <cell r="V388" t="str">
            <v>Assurances</v>
          </cell>
          <cell r="W388" t="str">
            <v>$</v>
          </cell>
          <cell r="X388">
            <v>0</v>
          </cell>
        </row>
        <row r="389">
          <cell r="C389">
            <v>5772</v>
          </cell>
          <cell r="O389">
            <v>1154.4000000000001</v>
          </cell>
          <cell r="U389" t="str">
            <v>Service</v>
          </cell>
          <cell r="V389" t="str">
            <v>Taxes foncières</v>
          </cell>
          <cell r="W389" t="str">
            <v>$</v>
          </cell>
          <cell r="X389">
            <v>0</v>
          </cell>
        </row>
        <row r="390">
          <cell r="C390">
            <v>3840</v>
          </cell>
          <cell r="O390">
            <v>768</v>
          </cell>
          <cell r="U390" t="str">
            <v>Service</v>
          </cell>
          <cell r="V390" t="str">
            <v>Taxes d`affaires</v>
          </cell>
          <cell r="W390" t="str">
            <v>$</v>
          </cell>
          <cell r="X390">
            <v>0</v>
          </cell>
        </row>
        <row r="391">
          <cell r="C391">
            <v>7890.14</v>
          </cell>
          <cell r="O391">
            <v>2063.6</v>
          </cell>
          <cell r="U391" t="str">
            <v>Service</v>
          </cell>
          <cell r="V391" t="str">
            <v>Honoraires</v>
          </cell>
          <cell r="W391" t="str">
            <v>$</v>
          </cell>
          <cell r="X391">
            <v>0</v>
          </cell>
        </row>
        <row r="392">
          <cell r="C392">
            <v>257.08</v>
          </cell>
          <cell r="O392">
            <v>-102.58</v>
          </cell>
          <cell r="U392" t="str">
            <v>Carrosserie</v>
          </cell>
          <cell r="V392" t="str">
            <v>Service gratuit 2</v>
          </cell>
          <cell r="W392" t="str">
            <v>$</v>
          </cell>
          <cell r="X392">
            <v>0</v>
          </cell>
        </row>
        <row r="393">
          <cell r="C393">
            <v>100.44</v>
          </cell>
          <cell r="O393">
            <v>0.13</v>
          </cell>
          <cell r="U393" t="str">
            <v>Carrosserie</v>
          </cell>
          <cell r="V393" t="str">
            <v>Publicité 2</v>
          </cell>
          <cell r="W393" t="str">
            <v>$</v>
          </cell>
          <cell r="X393">
            <v>0</v>
          </cell>
        </row>
        <row r="394">
          <cell r="C394">
            <v>980.22</v>
          </cell>
          <cell r="O394">
            <v>163.54</v>
          </cell>
          <cell r="U394" t="str">
            <v>Carrosserie</v>
          </cell>
          <cell r="V394" t="str">
            <v>Salaires propriétaire</v>
          </cell>
          <cell r="W394" t="str">
            <v>$</v>
          </cell>
          <cell r="X394">
            <v>0</v>
          </cell>
        </row>
        <row r="395">
          <cell r="C395">
            <v>4045.6</v>
          </cell>
          <cell r="O395">
            <v>809.12</v>
          </cell>
          <cell r="U395" t="str">
            <v>Carrosserie</v>
          </cell>
          <cell r="V395" t="str">
            <v>Salaires cadres</v>
          </cell>
          <cell r="W395" t="str">
            <v>$</v>
          </cell>
          <cell r="X395">
            <v>0</v>
          </cell>
        </row>
        <row r="396">
          <cell r="C396">
            <v>3210</v>
          </cell>
          <cell r="O396">
            <v>501.37</v>
          </cell>
          <cell r="U396" t="str">
            <v>Carrosserie</v>
          </cell>
          <cell r="V396" t="str">
            <v>Salaires commis</v>
          </cell>
          <cell r="W396" t="str">
            <v>$</v>
          </cell>
          <cell r="X396">
            <v>0</v>
          </cell>
        </row>
        <row r="397">
          <cell r="C397">
            <v>18539.650000000001</v>
          </cell>
          <cell r="O397">
            <v>1731.36</v>
          </cell>
          <cell r="U397" t="str">
            <v>Carrosserie</v>
          </cell>
          <cell r="V397" t="str">
            <v>Salaires autres</v>
          </cell>
          <cell r="W397" t="str">
            <v>$</v>
          </cell>
          <cell r="X397">
            <v>0</v>
          </cell>
        </row>
        <row r="398">
          <cell r="C398">
            <v>13304.01</v>
          </cell>
          <cell r="O398">
            <v>2557.7199999999998</v>
          </cell>
          <cell r="U398" t="str">
            <v>Carrosserie</v>
          </cell>
          <cell r="V398" t="str">
            <v>Salaires spécialistes</v>
          </cell>
          <cell r="W398" t="str">
            <v>$</v>
          </cell>
          <cell r="X398">
            <v>0</v>
          </cell>
        </row>
        <row r="399">
          <cell r="C399">
            <v>2484.81</v>
          </cell>
          <cell r="O399">
            <v>412.98</v>
          </cell>
          <cell r="U399" t="str">
            <v>Carrosserie</v>
          </cell>
          <cell r="V399" t="str">
            <v>Salaires en absences</v>
          </cell>
          <cell r="W399" t="str">
            <v>$</v>
          </cell>
          <cell r="X399">
            <v>0</v>
          </cell>
        </row>
        <row r="400">
          <cell r="C400">
            <v>761.86</v>
          </cell>
          <cell r="O400">
            <v>104.04</v>
          </cell>
          <cell r="U400" t="str">
            <v>Carrosserie</v>
          </cell>
          <cell r="V400" t="str">
            <v>Csst</v>
          </cell>
          <cell r="W400" t="str">
            <v>$</v>
          </cell>
          <cell r="X400">
            <v>0</v>
          </cell>
        </row>
        <row r="401">
          <cell r="C401">
            <v>4571.12</v>
          </cell>
          <cell r="O401">
            <v>624.25</v>
          </cell>
          <cell r="U401" t="str">
            <v>Carrosserie</v>
          </cell>
          <cell r="V401" t="str">
            <v>Déduction à la source</v>
          </cell>
          <cell r="W401" t="str">
            <v>$</v>
          </cell>
          <cell r="X401">
            <v>0</v>
          </cell>
        </row>
        <row r="402">
          <cell r="C402">
            <v>3275.96</v>
          </cell>
          <cell r="O402">
            <v>447.38</v>
          </cell>
          <cell r="U402" t="str">
            <v>Carrosserie</v>
          </cell>
          <cell r="V402" t="str">
            <v>Bénéfices marginaux</v>
          </cell>
          <cell r="W402" t="str">
            <v>$</v>
          </cell>
          <cell r="X402">
            <v>0</v>
          </cell>
        </row>
        <row r="403">
          <cell r="C403">
            <v>120.74</v>
          </cell>
          <cell r="O403">
            <v>1.95</v>
          </cell>
          <cell r="U403" t="str">
            <v>Carrosserie</v>
          </cell>
          <cell r="V403" t="str">
            <v>Fournitures autres</v>
          </cell>
          <cell r="W403" t="str">
            <v>$</v>
          </cell>
          <cell r="X403">
            <v>0</v>
          </cell>
        </row>
        <row r="404">
          <cell r="C404">
            <v>101</v>
          </cell>
          <cell r="O404">
            <v>6.2</v>
          </cell>
          <cell r="U404" t="str">
            <v>Carrosserie</v>
          </cell>
          <cell r="V404" t="str">
            <v>Formation</v>
          </cell>
          <cell r="W404" t="str">
            <v>$</v>
          </cell>
          <cell r="X404">
            <v>0</v>
          </cell>
        </row>
        <row r="405">
          <cell r="C405">
            <v>3568.35</v>
          </cell>
          <cell r="O405">
            <v>441.04</v>
          </cell>
          <cell r="U405" t="str">
            <v>Carrosserie</v>
          </cell>
          <cell r="V405" t="str">
            <v>Frais véhicules de cie</v>
          </cell>
          <cell r="W405" t="str">
            <v>$</v>
          </cell>
          <cell r="X405">
            <v>0</v>
          </cell>
        </row>
        <row r="406">
          <cell r="C406">
            <v>124.15</v>
          </cell>
          <cell r="O406">
            <v>41.88</v>
          </cell>
          <cell r="U406" t="str">
            <v>Carrosserie</v>
          </cell>
          <cell r="V406" t="str">
            <v>Frais postaux</v>
          </cell>
          <cell r="W406" t="str">
            <v>$</v>
          </cell>
          <cell r="X406">
            <v>0</v>
          </cell>
        </row>
        <row r="407">
          <cell r="C407">
            <v>6680.23</v>
          </cell>
          <cell r="O407">
            <v>1353.82</v>
          </cell>
          <cell r="U407" t="str">
            <v>Carrosserie</v>
          </cell>
          <cell r="V407" t="str">
            <v>Informatique</v>
          </cell>
          <cell r="W407" t="str">
            <v>$</v>
          </cell>
          <cell r="X407">
            <v>0</v>
          </cell>
        </row>
        <row r="408">
          <cell r="C408">
            <v>497.32</v>
          </cell>
          <cell r="O408">
            <v>139.96</v>
          </cell>
          <cell r="U408" t="str">
            <v>Carrosserie</v>
          </cell>
          <cell r="V408" t="str">
            <v>Papeterie</v>
          </cell>
          <cell r="W408" t="str">
            <v>$</v>
          </cell>
          <cell r="X408">
            <v>0</v>
          </cell>
        </row>
        <row r="409">
          <cell r="C409">
            <v>458.33</v>
          </cell>
          <cell r="O409">
            <v>21.97</v>
          </cell>
          <cell r="U409" t="str">
            <v>Carrosserie</v>
          </cell>
          <cell r="V409" t="str">
            <v>Téléphone</v>
          </cell>
          <cell r="W409" t="str">
            <v>$</v>
          </cell>
          <cell r="X409">
            <v>0</v>
          </cell>
        </row>
        <row r="410">
          <cell r="C410">
            <v>876.33</v>
          </cell>
          <cell r="O410">
            <v>115.76</v>
          </cell>
          <cell r="U410" t="str">
            <v>Carrosserie</v>
          </cell>
          <cell r="V410" t="str">
            <v>Divers</v>
          </cell>
          <cell r="W410" t="str">
            <v>$</v>
          </cell>
          <cell r="X410">
            <v>0</v>
          </cell>
        </row>
        <row r="411">
          <cell r="C411">
            <v>337.85</v>
          </cell>
          <cell r="O411">
            <v>165.31</v>
          </cell>
          <cell r="U411" t="str">
            <v>Carrosserie</v>
          </cell>
          <cell r="V411" t="str">
            <v>Frais de déplacement</v>
          </cell>
          <cell r="W411" t="str">
            <v>$</v>
          </cell>
          <cell r="X411">
            <v>0</v>
          </cell>
        </row>
        <row r="412">
          <cell r="C412">
            <v>2589.16</v>
          </cell>
          <cell r="O412">
            <v>538.4</v>
          </cell>
          <cell r="U412" t="str">
            <v>Carrosserie</v>
          </cell>
          <cell r="V412" t="str">
            <v>Services extérieurs</v>
          </cell>
          <cell r="W412" t="str">
            <v>$</v>
          </cell>
          <cell r="X412">
            <v>0</v>
          </cell>
        </row>
        <row r="413">
          <cell r="C413">
            <v>1565.69</v>
          </cell>
          <cell r="O413">
            <v>302.02</v>
          </cell>
          <cell r="U413" t="str">
            <v>Carrosserie</v>
          </cell>
          <cell r="V413" t="str">
            <v>Amortissement</v>
          </cell>
          <cell r="W413" t="str">
            <v>$</v>
          </cell>
          <cell r="X413">
            <v>0</v>
          </cell>
        </row>
        <row r="414">
          <cell r="C414">
            <v>941.36</v>
          </cell>
          <cell r="O414">
            <v>8.7100000000000009</v>
          </cell>
          <cell r="U414" t="str">
            <v>Carrosserie</v>
          </cell>
          <cell r="V414" t="str">
            <v>Chauffage, éclairage</v>
          </cell>
          <cell r="W414" t="str">
            <v>$</v>
          </cell>
          <cell r="X414">
            <v>0</v>
          </cell>
        </row>
        <row r="415">
          <cell r="C415">
            <v>9100</v>
          </cell>
          <cell r="O415">
            <v>1820</v>
          </cell>
          <cell r="U415" t="str">
            <v>Carrosserie</v>
          </cell>
          <cell r="V415" t="str">
            <v>Loyer</v>
          </cell>
          <cell r="W415" t="str">
            <v>$</v>
          </cell>
          <cell r="X415">
            <v>0</v>
          </cell>
        </row>
        <row r="416">
          <cell r="C416">
            <v>1297.8499999999999</v>
          </cell>
          <cell r="O416">
            <v>259.57</v>
          </cell>
          <cell r="U416" t="str">
            <v>Carrosserie</v>
          </cell>
          <cell r="V416" t="str">
            <v>Assurances</v>
          </cell>
          <cell r="W416" t="str">
            <v>$</v>
          </cell>
          <cell r="X416">
            <v>0</v>
          </cell>
        </row>
        <row r="417">
          <cell r="C417">
            <v>1683.5</v>
          </cell>
          <cell r="O417">
            <v>336.7</v>
          </cell>
          <cell r="U417" t="str">
            <v>Carrosserie</v>
          </cell>
          <cell r="V417" t="str">
            <v>Taxes foncières</v>
          </cell>
          <cell r="W417" t="str">
            <v>$</v>
          </cell>
          <cell r="X417">
            <v>0</v>
          </cell>
        </row>
        <row r="418">
          <cell r="C418">
            <v>1120</v>
          </cell>
          <cell r="O418">
            <v>224</v>
          </cell>
          <cell r="U418" t="str">
            <v>Carrosserie</v>
          </cell>
          <cell r="V418" t="str">
            <v>Taxes d`affaires</v>
          </cell>
          <cell r="W418" t="str">
            <v>$</v>
          </cell>
          <cell r="X418">
            <v>0</v>
          </cell>
        </row>
        <row r="419">
          <cell r="C419">
            <v>2301.3200000000002</v>
          </cell>
          <cell r="O419">
            <v>435.2</v>
          </cell>
          <cell r="U419" t="str">
            <v>Carrosserie</v>
          </cell>
          <cell r="V419" t="str">
            <v>Honoraires</v>
          </cell>
          <cell r="W419" t="str">
            <v>$</v>
          </cell>
          <cell r="X419">
            <v>0</v>
          </cell>
        </row>
        <row r="420">
          <cell r="C420">
            <v>346.23</v>
          </cell>
          <cell r="O420">
            <v>1832.11</v>
          </cell>
          <cell r="U420" t="str">
            <v>Pièces</v>
          </cell>
          <cell r="V420" t="str">
            <v>Service gratuit 2</v>
          </cell>
          <cell r="W420" t="str">
            <v>$</v>
          </cell>
          <cell r="X420">
            <v>0</v>
          </cell>
        </row>
        <row r="421">
          <cell r="C421">
            <v>19044.09</v>
          </cell>
          <cell r="O421">
            <v>837.54</v>
          </cell>
          <cell r="U421" t="str">
            <v>Pièces</v>
          </cell>
          <cell r="V421" t="str">
            <v>Publicité 2</v>
          </cell>
          <cell r="W421" t="str">
            <v>$</v>
          </cell>
          <cell r="X421">
            <v>0</v>
          </cell>
        </row>
        <row r="422">
          <cell r="C422">
            <v>3500.74</v>
          </cell>
          <cell r="O422">
            <v>584.05999999999995</v>
          </cell>
          <cell r="U422" t="str">
            <v>Pièces</v>
          </cell>
          <cell r="V422" t="str">
            <v>Salaires propriétaire</v>
          </cell>
          <cell r="W422" t="str">
            <v>$</v>
          </cell>
          <cell r="X422">
            <v>0</v>
          </cell>
        </row>
        <row r="423">
          <cell r="C423">
            <v>29890.83</v>
          </cell>
          <cell r="O423">
            <v>6584.61</v>
          </cell>
          <cell r="U423" t="str">
            <v>Pièces</v>
          </cell>
          <cell r="V423" t="str">
            <v>Salaires cadres</v>
          </cell>
          <cell r="W423" t="str">
            <v>$</v>
          </cell>
          <cell r="X423">
            <v>0</v>
          </cell>
        </row>
        <row r="424">
          <cell r="C424">
            <v>20265.03</v>
          </cell>
          <cell r="O424">
            <v>4010.96</v>
          </cell>
          <cell r="U424" t="str">
            <v>Pièces</v>
          </cell>
          <cell r="V424" t="str">
            <v>Salaires commis</v>
          </cell>
          <cell r="W424" t="str">
            <v>$</v>
          </cell>
          <cell r="X424">
            <v>0</v>
          </cell>
        </row>
        <row r="425">
          <cell r="C425">
            <v>101876.62</v>
          </cell>
          <cell r="O425">
            <v>23639.58</v>
          </cell>
          <cell r="U425" t="str">
            <v>Pièces</v>
          </cell>
          <cell r="V425" t="str">
            <v>Salaires autres</v>
          </cell>
          <cell r="W425" t="str">
            <v>$</v>
          </cell>
          <cell r="X425">
            <v>0</v>
          </cell>
        </row>
        <row r="426">
          <cell r="C426">
            <v>15196.15</v>
          </cell>
          <cell r="O426">
            <v>3467.9</v>
          </cell>
          <cell r="U426" t="str">
            <v>Pièces</v>
          </cell>
          <cell r="V426" t="str">
            <v>Salaires en absences</v>
          </cell>
          <cell r="W426" t="str">
            <v>$</v>
          </cell>
          <cell r="X426">
            <v>0</v>
          </cell>
        </row>
        <row r="427">
          <cell r="C427">
            <v>-20423</v>
          </cell>
          <cell r="O427">
            <v>-5593.78</v>
          </cell>
          <cell r="U427" t="str">
            <v>Pièces</v>
          </cell>
          <cell r="V427" t="str">
            <v>Csst</v>
          </cell>
          <cell r="W427" t="str">
            <v>$</v>
          </cell>
          <cell r="X427">
            <v>0</v>
          </cell>
        </row>
        <row r="428">
          <cell r="C428">
            <v>42598.95</v>
          </cell>
          <cell r="O428">
            <v>10088.129999999999</v>
          </cell>
          <cell r="U428" t="str">
            <v>Pièces</v>
          </cell>
          <cell r="V428" t="str">
            <v>Csst</v>
          </cell>
          <cell r="W428" t="str">
            <v>$</v>
          </cell>
          <cell r="X428">
            <v>0</v>
          </cell>
        </row>
        <row r="429">
          <cell r="C429">
            <v>208.93</v>
          </cell>
          <cell r="O429">
            <v>51.58</v>
          </cell>
          <cell r="U429" t="str">
            <v>Pièces</v>
          </cell>
          <cell r="V429" t="str">
            <v>Déduction à la source</v>
          </cell>
          <cell r="W429" t="str">
            <v>$</v>
          </cell>
          <cell r="X429">
            <v>0</v>
          </cell>
        </row>
        <row r="430">
          <cell r="C430">
            <v>12782.24</v>
          </cell>
          <cell r="O430">
            <v>2792.49</v>
          </cell>
          <cell r="U430" t="str">
            <v>Pièces</v>
          </cell>
          <cell r="V430" t="str">
            <v>Bénéfices marginaux</v>
          </cell>
          <cell r="W430" t="str">
            <v>$</v>
          </cell>
          <cell r="X430">
            <v>0</v>
          </cell>
        </row>
        <row r="431">
          <cell r="C431">
            <v>1028.29</v>
          </cell>
          <cell r="O431">
            <v>6.98</v>
          </cell>
          <cell r="U431" t="str">
            <v>Pièces</v>
          </cell>
          <cell r="V431" t="str">
            <v>Fournitures autres</v>
          </cell>
          <cell r="W431" t="str">
            <v>$</v>
          </cell>
          <cell r="X431">
            <v>0</v>
          </cell>
        </row>
        <row r="432">
          <cell r="C432">
            <v>360.7</v>
          </cell>
          <cell r="O432">
            <v>22.14</v>
          </cell>
          <cell r="U432" t="str">
            <v>Pièces</v>
          </cell>
          <cell r="V432" t="str">
            <v>Formation</v>
          </cell>
          <cell r="W432" t="str">
            <v>$</v>
          </cell>
          <cell r="X432">
            <v>0</v>
          </cell>
        </row>
        <row r="433">
          <cell r="C433">
            <v>1400.5</v>
          </cell>
          <cell r="O433">
            <v>406.29</v>
          </cell>
          <cell r="U433" t="str">
            <v>Pièces</v>
          </cell>
          <cell r="V433" t="str">
            <v>Frais véhicules de cie</v>
          </cell>
          <cell r="W433" t="str">
            <v>$</v>
          </cell>
          <cell r="X433">
            <v>0</v>
          </cell>
        </row>
        <row r="434">
          <cell r="C434">
            <v>9.02</v>
          </cell>
          <cell r="O434">
            <v>65.7</v>
          </cell>
          <cell r="U434" t="str">
            <v>Pièces</v>
          </cell>
          <cell r="V434" t="str">
            <v>Frais postaux</v>
          </cell>
          <cell r="W434" t="str">
            <v>$</v>
          </cell>
          <cell r="X434">
            <v>0</v>
          </cell>
        </row>
        <row r="435">
          <cell r="C435">
            <v>18391.3</v>
          </cell>
          <cell r="O435">
            <v>3768.16</v>
          </cell>
          <cell r="U435" t="str">
            <v>Pièces</v>
          </cell>
          <cell r="V435" t="str">
            <v>Informatique</v>
          </cell>
          <cell r="W435" t="str">
            <v>$</v>
          </cell>
          <cell r="X435">
            <v>0</v>
          </cell>
        </row>
        <row r="436">
          <cell r="C436">
            <v>2540.39</v>
          </cell>
          <cell r="O436">
            <v>499.79</v>
          </cell>
          <cell r="U436" t="str">
            <v>Pièces</v>
          </cell>
          <cell r="V436" t="str">
            <v>Papeterie</v>
          </cell>
          <cell r="W436" t="str">
            <v>$</v>
          </cell>
          <cell r="X436">
            <v>0</v>
          </cell>
        </row>
        <row r="437">
          <cell r="C437">
            <v>907.1</v>
          </cell>
          <cell r="O437">
            <v>78.47</v>
          </cell>
          <cell r="U437" t="str">
            <v>Pièces</v>
          </cell>
          <cell r="V437" t="str">
            <v>Téléphone</v>
          </cell>
          <cell r="W437" t="str">
            <v>$</v>
          </cell>
          <cell r="X437">
            <v>0</v>
          </cell>
        </row>
        <row r="438">
          <cell r="C438">
            <v>3129.76</v>
          </cell>
          <cell r="O438">
            <v>31.98</v>
          </cell>
          <cell r="U438" t="str">
            <v>Pièces</v>
          </cell>
          <cell r="V438" t="str">
            <v>Divers</v>
          </cell>
          <cell r="W438" t="str">
            <v>$</v>
          </cell>
          <cell r="X438">
            <v>0</v>
          </cell>
        </row>
        <row r="439">
          <cell r="C439">
            <v>1206.53</v>
          </cell>
          <cell r="O439">
            <v>590.37</v>
          </cell>
          <cell r="U439" t="str">
            <v>Pièces</v>
          </cell>
          <cell r="V439" t="str">
            <v>Frais de déplacement</v>
          </cell>
          <cell r="W439" t="str">
            <v>$</v>
          </cell>
          <cell r="X439">
            <v>0</v>
          </cell>
        </row>
        <row r="440">
          <cell r="C440">
            <v>30098.79</v>
          </cell>
          <cell r="O440">
            <v>5530.86</v>
          </cell>
          <cell r="U440" t="str">
            <v>Pièces</v>
          </cell>
          <cell r="V440" t="str">
            <v>Services extérieurs</v>
          </cell>
          <cell r="W440" t="str">
            <v>$</v>
          </cell>
          <cell r="X440">
            <v>0</v>
          </cell>
        </row>
        <row r="441">
          <cell r="C441">
            <v>5591.75</v>
          </cell>
          <cell r="O441">
            <v>1078.6199999999999</v>
          </cell>
          <cell r="U441" t="str">
            <v>Pièces</v>
          </cell>
          <cell r="V441" t="str">
            <v>Amortissement</v>
          </cell>
          <cell r="W441" t="str">
            <v>$</v>
          </cell>
          <cell r="X441">
            <v>0</v>
          </cell>
        </row>
        <row r="442">
          <cell r="C442">
            <v>3362.07</v>
          </cell>
          <cell r="O442">
            <v>31.11</v>
          </cell>
          <cell r="U442" t="str">
            <v>Pièces</v>
          </cell>
          <cell r="V442" t="str">
            <v>Chauffage, éclairage</v>
          </cell>
          <cell r="W442" t="str">
            <v>$</v>
          </cell>
          <cell r="X442">
            <v>0</v>
          </cell>
        </row>
        <row r="443">
          <cell r="C443">
            <v>32500</v>
          </cell>
          <cell r="O443">
            <v>6500</v>
          </cell>
          <cell r="U443" t="str">
            <v>Pièces</v>
          </cell>
          <cell r="V443" t="str">
            <v>Loyer</v>
          </cell>
          <cell r="W443" t="str">
            <v>$</v>
          </cell>
          <cell r="X443">
            <v>0</v>
          </cell>
        </row>
        <row r="444">
          <cell r="C444">
            <v>4635.1000000000004</v>
          </cell>
          <cell r="O444">
            <v>927.02</v>
          </cell>
          <cell r="U444" t="str">
            <v>Pièces</v>
          </cell>
          <cell r="V444" t="str">
            <v>Assurances</v>
          </cell>
          <cell r="W444" t="str">
            <v>$</v>
          </cell>
          <cell r="X444">
            <v>0</v>
          </cell>
        </row>
        <row r="445">
          <cell r="C445">
            <v>6012.5</v>
          </cell>
          <cell r="O445">
            <v>1202.5</v>
          </cell>
          <cell r="U445" t="str">
            <v>Pièces</v>
          </cell>
          <cell r="V445" t="str">
            <v>Taxes foncières</v>
          </cell>
          <cell r="W445" t="str">
            <v>$</v>
          </cell>
          <cell r="X445">
            <v>0</v>
          </cell>
        </row>
        <row r="446">
          <cell r="C446">
            <v>4000</v>
          </cell>
          <cell r="O446">
            <v>800</v>
          </cell>
          <cell r="U446" t="str">
            <v>Pièces</v>
          </cell>
          <cell r="V446" t="str">
            <v>Taxes d`affaires</v>
          </cell>
          <cell r="W446" t="str">
            <v>$</v>
          </cell>
          <cell r="X446">
            <v>0</v>
          </cell>
        </row>
        <row r="447">
          <cell r="C447">
            <v>8218.86</v>
          </cell>
          <cell r="O447">
            <v>1554.26</v>
          </cell>
          <cell r="U447" t="str">
            <v>Pièces</v>
          </cell>
          <cell r="V447" t="str">
            <v>Honoraires</v>
          </cell>
          <cell r="W447" t="str">
            <v>$</v>
          </cell>
          <cell r="X447">
            <v>0</v>
          </cell>
        </row>
        <row r="448">
          <cell r="C448">
            <v>-397247</v>
          </cell>
          <cell r="O448">
            <v>-45674</v>
          </cell>
          <cell r="U448" t="str">
            <v>Véhicules neufs</v>
          </cell>
          <cell r="V448" t="str">
            <v>Holdbacks</v>
          </cell>
          <cell r="W448" t="str">
            <v>$</v>
          </cell>
          <cell r="X448">
            <v>0</v>
          </cell>
        </row>
        <row r="449">
          <cell r="C449">
            <v>-30446.07</v>
          </cell>
          <cell r="O449">
            <v>-6001.19</v>
          </cell>
          <cell r="U449" t="str">
            <v>Pièces</v>
          </cell>
          <cell r="V449" t="str">
            <v>Escomptes</v>
          </cell>
          <cell r="W449" t="str">
            <v>$</v>
          </cell>
          <cell r="X449">
            <v>0</v>
          </cell>
        </row>
        <row r="450">
          <cell r="C450">
            <v>-65776.52</v>
          </cell>
          <cell r="O450">
            <v>-28000</v>
          </cell>
          <cell r="U450" t="str">
            <v>Véhicules neufs</v>
          </cell>
          <cell r="V450" t="str">
            <v>Programme neuf 1</v>
          </cell>
          <cell r="W450" t="str">
            <v>$</v>
          </cell>
          <cell r="X450">
            <v>0</v>
          </cell>
        </row>
        <row r="451">
          <cell r="C451">
            <v>-5305.48</v>
          </cell>
          <cell r="O451">
            <v>-1380.72</v>
          </cell>
          <cell r="U451" t="str">
            <v>Véhicules neufs</v>
          </cell>
          <cell r="V451" t="str">
            <v>Rev. Finances</v>
          </cell>
          <cell r="W451" t="str">
            <v>$</v>
          </cell>
          <cell r="X451" t="str">
            <v>Oui</v>
          </cell>
        </row>
        <row r="452">
          <cell r="C452">
            <v>-96738.559999999998</v>
          </cell>
          <cell r="O452">
            <v>-37894.800000000003</v>
          </cell>
          <cell r="U452" t="str">
            <v>Véhicules usagés</v>
          </cell>
          <cell r="V452" t="str">
            <v>Rev. Finances</v>
          </cell>
          <cell r="W452" t="str">
            <v>$</v>
          </cell>
          <cell r="X452" t="str">
            <v>Oui</v>
          </cell>
        </row>
        <row r="453">
          <cell r="C453">
            <v>-6391.66</v>
          </cell>
          <cell r="O453">
            <v>-2032.69</v>
          </cell>
          <cell r="U453" t="str">
            <v>Véhicules neufs</v>
          </cell>
          <cell r="V453" t="str">
            <v>Rev. Autres</v>
          </cell>
          <cell r="W453" t="str">
            <v>$</v>
          </cell>
          <cell r="X453" t="str">
            <v>Oui</v>
          </cell>
        </row>
        <row r="454">
          <cell r="C454">
            <v>-6586.25</v>
          </cell>
          <cell r="O454">
            <v>-3279.95</v>
          </cell>
          <cell r="U454" t="str">
            <v>Véhicules usagés</v>
          </cell>
          <cell r="V454" t="str">
            <v>Rev. Autres</v>
          </cell>
          <cell r="W454" t="str">
            <v>$</v>
          </cell>
          <cell r="X454" t="str">
            <v>Oui</v>
          </cell>
        </row>
        <row r="455">
          <cell r="C455">
            <v>-33379</v>
          </cell>
          <cell r="O455">
            <v>-12520</v>
          </cell>
          <cell r="U455" t="str">
            <v>Véhicules neufs</v>
          </cell>
          <cell r="V455" t="str">
            <v>Rev. Protections</v>
          </cell>
          <cell r="W455" t="str">
            <v>$</v>
          </cell>
          <cell r="X455" t="str">
            <v>Oui</v>
          </cell>
        </row>
        <row r="456">
          <cell r="C456">
            <v>-185294.87</v>
          </cell>
          <cell r="O456">
            <v>-43689.7</v>
          </cell>
          <cell r="U456" t="str">
            <v>Véhicules neufs</v>
          </cell>
          <cell r="V456" t="str">
            <v>Rev. Protections</v>
          </cell>
          <cell r="W456" t="str">
            <v>$</v>
          </cell>
          <cell r="X456" t="str">
            <v>Oui</v>
          </cell>
        </row>
        <row r="457">
          <cell r="C457">
            <v>-122412.92</v>
          </cell>
          <cell r="O457">
            <v>-28473</v>
          </cell>
          <cell r="U457" t="str">
            <v>Véhicules usagés</v>
          </cell>
          <cell r="V457" t="str">
            <v>Rev. Protections</v>
          </cell>
          <cell r="W457" t="str">
            <v>$</v>
          </cell>
          <cell r="X457" t="str">
            <v>Oui</v>
          </cell>
        </row>
        <row r="458">
          <cell r="C458">
            <v>-63363.11</v>
          </cell>
          <cell r="O458">
            <v>-13642.9</v>
          </cell>
          <cell r="U458" t="str">
            <v>Véhicules usagés</v>
          </cell>
          <cell r="V458" t="str">
            <v>Rev. Protections</v>
          </cell>
          <cell r="W458" t="str">
            <v>$</v>
          </cell>
          <cell r="X458" t="str">
            <v>Oui</v>
          </cell>
        </row>
        <row r="459">
          <cell r="C459">
            <v>-144374.70000000001</v>
          </cell>
          <cell r="O459">
            <v>-32714</v>
          </cell>
          <cell r="U459" t="str">
            <v>Véhicules neufs</v>
          </cell>
          <cell r="V459" t="str">
            <v>Frais administration</v>
          </cell>
          <cell r="W459" t="str">
            <v>$</v>
          </cell>
          <cell r="X459">
            <v>0</v>
          </cell>
        </row>
        <row r="460">
          <cell r="C460">
            <v>-156845.73000000001</v>
          </cell>
          <cell r="O460">
            <v>-9287.19</v>
          </cell>
          <cell r="U460" t="str">
            <v>TOTAL  DES  REVENUS  ET  DÉPENSES</v>
          </cell>
          <cell r="V460" t="str">
            <v>Revenus autres</v>
          </cell>
          <cell r="W460" t="str">
            <v>$</v>
          </cell>
          <cell r="X460">
            <v>0</v>
          </cell>
        </row>
        <row r="461">
          <cell r="C461">
            <v>1991.7</v>
          </cell>
          <cell r="O461">
            <v>398.34</v>
          </cell>
          <cell r="U461" t="str">
            <v>TOTAL  DES  REVENUS  ET  DÉPENSES</v>
          </cell>
          <cell r="V461" t="str">
            <v>Intérêts sur prêt</v>
          </cell>
          <cell r="W461" t="str">
            <v>$</v>
          </cell>
          <cell r="X461">
            <v>0</v>
          </cell>
        </row>
        <row r="462">
          <cell r="C462">
            <v>-5493.72</v>
          </cell>
          <cell r="O462">
            <v>-40.97</v>
          </cell>
          <cell r="U462" t="str">
            <v>TOTAL  DES  REVENUS  ET  DÉPENSES</v>
          </cell>
          <cell r="V462" t="str">
            <v>Intérêts sur marge</v>
          </cell>
          <cell r="W462" t="str">
            <v>$</v>
          </cell>
          <cell r="X462">
            <v>0</v>
          </cell>
        </row>
        <row r="463">
          <cell r="C463">
            <v>861.25</v>
          </cell>
          <cell r="O463">
            <v>172.25</v>
          </cell>
          <cell r="U463" t="str">
            <v>TOTAL  DES  REVENUS  ET  DÉPENSES</v>
          </cell>
          <cell r="V463" t="str">
            <v>Intérêts sur prêt</v>
          </cell>
          <cell r="W463" t="str">
            <v>$</v>
          </cell>
          <cell r="X463">
            <v>0</v>
          </cell>
        </row>
        <row r="464">
          <cell r="C464">
            <v>32155.84</v>
          </cell>
          <cell r="O464">
            <v>5895.86</v>
          </cell>
          <cell r="U464" t="str">
            <v>Véhicules neufs</v>
          </cell>
          <cell r="V464" t="str">
            <v>Frais bancaires</v>
          </cell>
          <cell r="W464" t="str">
            <v>$</v>
          </cell>
          <cell r="X464">
            <v>0</v>
          </cell>
        </row>
        <row r="465">
          <cell r="O465">
            <v>0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</row>
        <row r="466">
          <cell r="O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</row>
        <row r="467">
          <cell r="O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  <cell r="X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  <cell r="X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  <cell r="X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  <cell r="X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  <cell r="X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  <cell r="X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  <cell r="X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  <cell r="X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  <cell r="X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  <cell r="X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  <cell r="X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  <cell r="X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  <cell r="X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  <cell r="X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  <cell r="X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  <cell r="X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  <cell r="X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  <cell r="X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  <cell r="X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  <cell r="X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  <cell r="X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  <cell r="X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  <cell r="X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  <cell r="X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  <cell r="X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  <cell r="X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  <cell r="X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  <cell r="X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  <cell r="X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  <cell r="X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  <cell r="X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  <cell r="X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  <cell r="X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  <cell r="X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  <cell r="X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  <cell r="X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  <cell r="X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  <cell r="X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  <cell r="X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  <cell r="X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  <cell r="X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  <cell r="X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  <cell r="X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  <cell r="X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  <cell r="X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  <cell r="X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  <cell r="X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  <cell r="X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  <cell r="X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  <cell r="X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  <cell r="X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  <cell r="X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  <cell r="X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  <cell r="X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  <cell r="X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  <cell r="X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  <cell r="X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  <cell r="X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  <cell r="X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  <cell r="X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  <cell r="X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  <cell r="X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  <cell r="X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  <cell r="X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  <cell r="X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  <cell r="X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  <cell r="X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  <cell r="X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  <cell r="X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  <cell r="X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  <cell r="X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  <cell r="X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  <cell r="X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  <cell r="X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  <cell r="X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  <cell r="X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  <cell r="X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  <cell r="X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  <cell r="X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  <cell r="X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  <cell r="X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  <cell r="X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  <cell r="X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  <cell r="X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  <cell r="X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  <cell r="X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  <cell r="X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  <cell r="X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  <cell r="X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  <cell r="X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  <cell r="X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  <cell r="X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  <cell r="X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  <cell r="X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  <cell r="X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  <cell r="X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  <cell r="X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  <cell r="X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  <cell r="X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  <cell r="X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  <cell r="X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  <cell r="X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  <cell r="X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  <cell r="X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  <cell r="X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  <cell r="X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  <cell r="X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  <cell r="X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  <cell r="X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  <cell r="X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  <cell r="X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  <cell r="X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  <cell r="X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  <cell r="X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  <cell r="X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  <cell r="X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  <cell r="X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  <cell r="X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  <cell r="X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  <cell r="X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  <cell r="X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  <cell r="X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  <cell r="X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  <cell r="X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  <cell r="X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  <cell r="X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  <cell r="X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  <cell r="X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  <cell r="X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  <cell r="X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  <cell r="X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  <cell r="X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  <cell r="X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  <cell r="X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  <cell r="X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  <cell r="X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  <cell r="X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  <cell r="X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  <cell r="X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  <cell r="X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  <cell r="X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  <cell r="X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  <cell r="X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  <cell r="X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  <cell r="X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  <cell r="X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  <cell r="X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  <cell r="X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  <cell r="X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  <cell r="X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  <cell r="X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  <cell r="X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  <cell r="X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  <cell r="X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  <cell r="X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  <cell r="X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  <cell r="X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  <cell r="X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  <cell r="X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  <cell r="X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  <cell r="X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  <cell r="X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  <cell r="X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  <cell r="X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  <cell r="X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  <cell r="X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  <cell r="X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  <cell r="X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  <cell r="X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  <cell r="X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  <cell r="X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  <cell r="X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  <cell r="X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  <cell r="X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  <cell r="X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  <cell r="X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  <cell r="X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  <cell r="X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  <cell r="X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  <cell r="X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  <cell r="X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  <cell r="X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  <cell r="X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  <cell r="X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  <cell r="X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  <cell r="X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  <cell r="X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  <cell r="X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  <cell r="X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  <cell r="X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  <cell r="X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  <cell r="X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  <cell r="X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  <cell r="X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  <cell r="X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  <cell r="X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  <cell r="X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  <cell r="X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  <cell r="X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  <cell r="X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  <cell r="X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  <cell r="X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  <cell r="X1054" t="e">
            <v>#N/A</v>
          </cell>
        </row>
        <row r="1056">
          <cell r="O1056">
            <v>-30422</v>
          </cell>
        </row>
        <row r="1057">
          <cell r="O1057">
            <v>-461000.88</v>
          </cell>
        </row>
        <row r="1058">
          <cell r="O1058">
            <v>-45495</v>
          </cell>
        </row>
        <row r="1059">
          <cell r="O1059">
            <v>-849361.34</v>
          </cell>
        </row>
      </sheetData>
      <sheetData sheetId="8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64309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4.33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50.97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24.84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23.25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27.6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1075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767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484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2349.34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28439.98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15215.89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59900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17140.84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19049.71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47029.27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32791.81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</row>
        <row r="29">
          <cell r="O29">
            <v>0</v>
          </cell>
          <cell r="U29" t="e">
            <v>#N/A</v>
          </cell>
          <cell r="V29" t="e">
            <v>#N/A</v>
          </cell>
          <cell r="W29" t="e">
            <v>#N/A</v>
          </cell>
          <cell r="X29" t="e">
            <v>#N/A</v>
          </cell>
        </row>
        <row r="30">
          <cell r="O30">
            <v>0.05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94295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0.91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0.38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C74">
            <v>681568.41</v>
          </cell>
          <cell r="O74">
            <v>-471442.42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150</v>
          </cell>
          <cell r="O75">
            <v>0</v>
          </cell>
          <cell r="U75" t="str">
            <v>Bilan</v>
          </cell>
          <cell r="V75" t="str">
            <v>Encaisse</v>
          </cell>
          <cell r="W75" t="str">
            <v>$</v>
          </cell>
          <cell r="X75">
            <v>0</v>
          </cell>
        </row>
        <row r="76">
          <cell r="C76">
            <v>2289113.19</v>
          </cell>
          <cell r="O76">
            <v>-384494.7</v>
          </cell>
          <cell r="U76" t="str">
            <v>Bilan</v>
          </cell>
          <cell r="V76" t="str">
            <v>Recevables Contrats en Transit</v>
          </cell>
          <cell r="W76" t="str">
            <v>$</v>
          </cell>
          <cell r="X76">
            <v>0</v>
          </cell>
        </row>
        <row r="77">
          <cell r="C77">
            <v>93009.16</v>
          </cell>
          <cell r="O77">
            <v>-12123.7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-50648.6</v>
          </cell>
          <cell r="O78">
            <v>283744.49</v>
          </cell>
          <cell r="U78" t="str">
            <v>Bilan</v>
          </cell>
          <cell r="V78" t="str">
            <v>Recevables Véhicules</v>
          </cell>
          <cell r="W78" t="str">
            <v>$</v>
          </cell>
          <cell r="X78">
            <v>0</v>
          </cell>
        </row>
        <row r="79">
          <cell r="C79">
            <v>76652.179999999993</v>
          </cell>
          <cell r="O79">
            <v>-14480.44</v>
          </cell>
          <cell r="U79" t="str">
            <v>Bilan</v>
          </cell>
          <cell r="V79" t="str">
            <v>Recevables Pièces et Service</v>
          </cell>
          <cell r="W79" t="str">
            <v>$</v>
          </cell>
          <cell r="X79">
            <v>0</v>
          </cell>
        </row>
        <row r="80">
          <cell r="C80">
            <v>64374.81</v>
          </cell>
          <cell r="O80">
            <v>2262.06</v>
          </cell>
          <cell r="U80" t="str">
            <v>Bilan</v>
          </cell>
          <cell r="V80" t="str">
            <v>Recevables Carrosserie</v>
          </cell>
          <cell r="W80" t="str">
            <v>$</v>
          </cell>
          <cell r="X80">
            <v>0</v>
          </cell>
        </row>
        <row r="81">
          <cell r="C81">
            <v>397616</v>
          </cell>
          <cell r="O81">
            <v>-161030</v>
          </cell>
          <cell r="U81" t="str">
            <v>Bilan</v>
          </cell>
          <cell r="V81" t="str">
            <v>Recevables Manufacturier</v>
          </cell>
          <cell r="W81" t="str">
            <v>$</v>
          </cell>
          <cell r="X81">
            <v>0</v>
          </cell>
        </row>
        <row r="82">
          <cell r="C82">
            <v>86800.95</v>
          </cell>
          <cell r="O82">
            <v>93547.28</v>
          </cell>
          <cell r="U82" t="str">
            <v>Bilan</v>
          </cell>
          <cell r="V82" t="str">
            <v>Recevables Garantie Manufacturier</v>
          </cell>
          <cell r="W82" t="str">
            <v>$</v>
          </cell>
          <cell r="X82">
            <v>0</v>
          </cell>
        </row>
        <row r="83">
          <cell r="C83">
            <v>24346.31</v>
          </cell>
          <cell r="O83">
            <v>11696.97</v>
          </cell>
          <cell r="U83" t="str">
            <v>Bilan</v>
          </cell>
          <cell r="V83" t="str">
            <v>recevables Autres</v>
          </cell>
          <cell r="W83" t="str">
            <v>$</v>
          </cell>
          <cell r="X83">
            <v>0</v>
          </cell>
        </row>
        <row r="84">
          <cell r="C84">
            <v>148669.81</v>
          </cell>
          <cell r="O84">
            <v>30922</v>
          </cell>
          <cell r="U84" t="str">
            <v>Bilan</v>
          </cell>
          <cell r="V84" t="str">
            <v>Recevables Manufacturier</v>
          </cell>
          <cell r="W84" t="str">
            <v>$</v>
          </cell>
          <cell r="X84">
            <v>0</v>
          </cell>
        </row>
        <row r="85">
          <cell r="C85">
            <v>1600</v>
          </cell>
          <cell r="O85">
            <v>400</v>
          </cell>
          <cell r="U85" t="str">
            <v>Bilan</v>
          </cell>
          <cell r="V85" t="str">
            <v>recevables Autres</v>
          </cell>
          <cell r="W85" t="str">
            <v>$</v>
          </cell>
          <cell r="X85">
            <v>0</v>
          </cell>
        </row>
        <row r="86">
          <cell r="C86">
            <v>9668572.9199999999</v>
          </cell>
          <cell r="O86">
            <v>-205851.39</v>
          </cell>
          <cell r="U86" t="str">
            <v>Bilan</v>
          </cell>
          <cell r="V86" t="str">
            <v>Inventaire Véhicules Neufs</v>
          </cell>
          <cell r="W86" t="str">
            <v>$</v>
          </cell>
          <cell r="X86">
            <v>0</v>
          </cell>
        </row>
        <row r="87">
          <cell r="O87">
            <v>3</v>
          </cell>
          <cell r="U87" t="str">
            <v>Bilan</v>
          </cell>
          <cell r="V87">
            <v>0</v>
          </cell>
          <cell r="W87" t="str">
            <v>NB</v>
          </cell>
          <cell r="X87">
            <v>0</v>
          </cell>
        </row>
        <row r="88">
          <cell r="C88">
            <v>-1458.12</v>
          </cell>
          <cell r="O88">
            <v>792.73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-130.63</v>
          </cell>
          <cell r="O89">
            <v>0</v>
          </cell>
          <cell r="U89" t="e">
            <v>#N/A</v>
          </cell>
          <cell r="V89" t="e">
            <v>#N/A</v>
          </cell>
          <cell r="W89" t="e">
            <v>#N/A</v>
          </cell>
          <cell r="X89" t="e">
            <v>#N/A</v>
          </cell>
        </row>
        <row r="90">
          <cell r="C90">
            <v>-37222.129999999997</v>
          </cell>
          <cell r="O90">
            <v>-10800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1498424.5</v>
          </cell>
          <cell r="O91">
            <v>-3999.77</v>
          </cell>
          <cell r="U91" t="str">
            <v>Bilan</v>
          </cell>
          <cell r="V91" t="str">
            <v>Inventaire Véhicules Usagés</v>
          </cell>
          <cell r="W91" t="str">
            <v>$</v>
          </cell>
          <cell r="X91">
            <v>0</v>
          </cell>
        </row>
        <row r="92">
          <cell r="O92">
            <v>9</v>
          </cell>
          <cell r="U92" t="str">
            <v>Bilan</v>
          </cell>
          <cell r="V92">
            <v>0</v>
          </cell>
          <cell r="W92" t="str">
            <v>NB</v>
          </cell>
          <cell r="X92">
            <v>0</v>
          </cell>
        </row>
        <row r="93">
          <cell r="O93">
            <v>-4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O94">
            <v>3</v>
          </cell>
          <cell r="U94" t="e">
            <v>#N/A</v>
          </cell>
          <cell r="V94" t="e">
            <v>#N/A</v>
          </cell>
          <cell r="W94" t="e">
            <v>#N/A</v>
          </cell>
          <cell r="X94" t="e">
            <v>#N/A</v>
          </cell>
        </row>
        <row r="95">
          <cell r="C95">
            <v>220117.55</v>
          </cell>
          <cell r="O95">
            <v>-17387.07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0</v>
          </cell>
          <cell r="O96">
            <v>265.5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</row>
        <row r="97">
          <cell r="C97">
            <v>56230.47</v>
          </cell>
          <cell r="O97">
            <v>12251.99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17746.240000000002</v>
          </cell>
          <cell r="O98">
            <v>1374.7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16887.23</v>
          </cell>
          <cell r="O99">
            <v>-7862.13</v>
          </cell>
          <cell r="U99" t="str">
            <v>Bilan</v>
          </cell>
          <cell r="V99" t="str">
            <v>Travaux en Cours</v>
          </cell>
          <cell r="W99" t="str">
            <v>$</v>
          </cell>
          <cell r="X99">
            <v>0</v>
          </cell>
        </row>
        <row r="100">
          <cell r="C100">
            <v>-3874.86</v>
          </cell>
          <cell r="O100">
            <v>-11576.43</v>
          </cell>
          <cell r="U100" t="str">
            <v>Bilan</v>
          </cell>
          <cell r="V100" t="str">
            <v>Sous-Traitance</v>
          </cell>
          <cell r="W100" t="str">
            <v>$</v>
          </cell>
          <cell r="X100">
            <v>0</v>
          </cell>
        </row>
        <row r="101">
          <cell r="C101">
            <v>24339.919999999998</v>
          </cell>
          <cell r="O101">
            <v>1760.64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48922.6</v>
          </cell>
          <cell r="O102">
            <v>5557.91</v>
          </cell>
          <cell r="U102" t="str">
            <v>Bilan</v>
          </cell>
          <cell r="V102" t="str">
            <v>Inventaire Pièces, Pneus, Huile</v>
          </cell>
          <cell r="W102" t="str">
            <v>$</v>
          </cell>
          <cell r="X102">
            <v>0</v>
          </cell>
        </row>
        <row r="103">
          <cell r="C103">
            <v>30353.64</v>
          </cell>
          <cell r="O103">
            <v>-18909.060000000001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8637.75</v>
          </cell>
          <cell r="O104">
            <v>-9642.16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6157.13</v>
          </cell>
          <cell r="O105">
            <v>3741.78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0</v>
          </cell>
          <cell r="O106">
            <v>239.8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976</v>
          </cell>
          <cell r="O107">
            <v>2686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13457.39</v>
          </cell>
          <cell r="O108">
            <v>-87.03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8686</v>
          </cell>
          <cell r="O109">
            <v>-2310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1154</v>
          </cell>
          <cell r="O110">
            <v>-385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</row>
        <row r="111">
          <cell r="C111">
            <v>-6061.34</v>
          </cell>
          <cell r="O111">
            <v>15796.05</v>
          </cell>
          <cell r="U111" t="str">
            <v>Bilan</v>
          </cell>
          <cell r="V111" t="str">
            <v>Autres Courus</v>
          </cell>
          <cell r="W111" t="str">
            <v>$</v>
          </cell>
          <cell r="X111">
            <v>0</v>
          </cell>
        </row>
        <row r="112">
          <cell r="C112">
            <v>5437.41</v>
          </cell>
          <cell r="O112">
            <v>-298.87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1513.95</v>
          </cell>
          <cell r="O113">
            <v>-200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840.98</v>
          </cell>
          <cell r="O114">
            <v>816.51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-13980.07</v>
          </cell>
          <cell r="O115">
            <v>-2253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-16737.93</v>
          </cell>
          <cell r="O116">
            <v>-4688.29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10105.120000000001</v>
          </cell>
          <cell r="O117">
            <v>-1769.77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5829.89</v>
          </cell>
          <cell r="O118">
            <v>-1170</v>
          </cell>
          <cell r="U118" t="str">
            <v>Bilan</v>
          </cell>
          <cell r="V118" t="str">
            <v>Autres Courus</v>
          </cell>
          <cell r="W118" t="str">
            <v>$</v>
          </cell>
          <cell r="X118">
            <v>0</v>
          </cell>
        </row>
        <row r="119">
          <cell r="C119">
            <v>-3956.91</v>
          </cell>
          <cell r="O119">
            <v>1375.4</v>
          </cell>
          <cell r="U119" t="str">
            <v>Bilan</v>
          </cell>
          <cell r="V119" t="str">
            <v>Autres Courus</v>
          </cell>
          <cell r="W119" t="str">
            <v>$</v>
          </cell>
          <cell r="X119">
            <v>0</v>
          </cell>
        </row>
        <row r="120">
          <cell r="C120">
            <v>11569.5</v>
          </cell>
          <cell r="O120">
            <v>-17875.599999999999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26861.24</v>
          </cell>
          <cell r="O121">
            <v>-4275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-11700</v>
          </cell>
          <cell r="O122">
            <v>-2925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-608.27</v>
          </cell>
          <cell r="O123">
            <v>-650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109775.05</v>
          </cell>
          <cell r="O124">
            <v>-3991.63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-8725.2199999999993</v>
          </cell>
          <cell r="O125">
            <v>-2410.85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2059.6</v>
          </cell>
          <cell r="O126">
            <v>493.45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1414.02</v>
          </cell>
          <cell r="O127">
            <v>0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133189.21</v>
          </cell>
          <cell r="O128">
            <v>0</v>
          </cell>
          <cell r="U128" t="str">
            <v>Bilan</v>
          </cell>
          <cell r="V128" t="str">
            <v>Améliorations Locatives</v>
          </cell>
          <cell r="W128" t="str">
            <v>$</v>
          </cell>
          <cell r="X128">
            <v>0</v>
          </cell>
        </row>
        <row r="129">
          <cell r="C129">
            <v>-73622.87</v>
          </cell>
          <cell r="O129">
            <v>-1600</v>
          </cell>
          <cell r="U129" t="str">
            <v>Bilan</v>
          </cell>
          <cell r="V129" t="str">
            <v>Améliorations Locatives</v>
          </cell>
          <cell r="W129" t="str">
            <v>$</v>
          </cell>
          <cell r="X129">
            <v>0</v>
          </cell>
        </row>
        <row r="130">
          <cell r="C130">
            <v>867202.23</v>
          </cell>
          <cell r="O130">
            <v>0</v>
          </cell>
          <cell r="U130" t="str">
            <v>Bilan</v>
          </cell>
          <cell r="V130" t="str">
            <v>Équipements Service</v>
          </cell>
          <cell r="W130" t="str">
            <v>$</v>
          </cell>
          <cell r="X130">
            <v>0</v>
          </cell>
        </row>
        <row r="131">
          <cell r="C131">
            <v>-687820.53</v>
          </cell>
          <cell r="O131">
            <v>-3600</v>
          </cell>
          <cell r="U131" t="str">
            <v>Bilan</v>
          </cell>
          <cell r="V131" t="str">
            <v>Équipements Service</v>
          </cell>
          <cell r="W131" t="str">
            <v>$</v>
          </cell>
          <cell r="X131">
            <v>0</v>
          </cell>
        </row>
        <row r="132">
          <cell r="C132">
            <v>47461.59</v>
          </cell>
          <cell r="O132">
            <v>0</v>
          </cell>
          <cell r="U132" t="str">
            <v>Bilan</v>
          </cell>
          <cell r="V132" t="str">
            <v>Équipements Service</v>
          </cell>
          <cell r="W132" t="str">
            <v>$</v>
          </cell>
          <cell r="X132">
            <v>0</v>
          </cell>
        </row>
        <row r="133">
          <cell r="C133">
            <v>-45517.66</v>
          </cell>
          <cell r="O133">
            <v>-250</v>
          </cell>
          <cell r="U133" t="str">
            <v>Bilan</v>
          </cell>
          <cell r="V133" t="str">
            <v>Équipements Service</v>
          </cell>
          <cell r="W133" t="str">
            <v>$</v>
          </cell>
          <cell r="X133">
            <v>0</v>
          </cell>
        </row>
        <row r="134">
          <cell r="C134">
            <v>155280.23000000001</v>
          </cell>
          <cell r="O134">
            <v>0</v>
          </cell>
          <cell r="U134" t="str">
            <v>Bilan</v>
          </cell>
          <cell r="V134" t="str">
            <v>Équipements Téléphonique</v>
          </cell>
          <cell r="W134" t="str">
            <v>$</v>
          </cell>
          <cell r="X134">
            <v>0</v>
          </cell>
        </row>
        <row r="135">
          <cell r="C135">
            <v>-148917.57</v>
          </cell>
          <cell r="O135">
            <v>-520</v>
          </cell>
          <cell r="U135" t="str">
            <v>Bilan</v>
          </cell>
          <cell r="V135" t="str">
            <v>Équipements Téléphonique</v>
          </cell>
          <cell r="W135" t="str">
            <v>$</v>
          </cell>
          <cell r="X135">
            <v>0</v>
          </cell>
        </row>
        <row r="136">
          <cell r="C136">
            <v>432661.54</v>
          </cell>
          <cell r="O136">
            <v>0</v>
          </cell>
          <cell r="U136" t="str">
            <v>Bilan</v>
          </cell>
          <cell r="V136" t="str">
            <v>Mobilier</v>
          </cell>
          <cell r="W136" t="str">
            <v>$</v>
          </cell>
          <cell r="X136">
            <v>0</v>
          </cell>
        </row>
        <row r="137">
          <cell r="C137">
            <v>-378458.12</v>
          </cell>
          <cell r="O137">
            <v>-1300</v>
          </cell>
          <cell r="U137" t="str">
            <v>Bilan</v>
          </cell>
          <cell r="V137" t="str">
            <v>Mobilier</v>
          </cell>
          <cell r="W137" t="str">
            <v>$</v>
          </cell>
          <cell r="X137">
            <v>0</v>
          </cell>
        </row>
        <row r="138">
          <cell r="C138">
            <v>3987.88</v>
          </cell>
          <cell r="O138">
            <v>0</v>
          </cell>
          <cell r="U138" t="str">
            <v>Bilan</v>
          </cell>
          <cell r="V138" t="str">
            <v>Équipements Service</v>
          </cell>
          <cell r="W138" t="str">
            <v>$</v>
          </cell>
          <cell r="X138">
            <v>0</v>
          </cell>
        </row>
        <row r="139">
          <cell r="C139">
            <v>-3987.88</v>
          </cell>
          <cell r="O139">
            <v>0</v>
          </cell>
          <cell r="U139" t="str">
            <v>Bilan</v>
          </cell>
          <cell r="V139" t="str">
            <v>Équipements Service</v>
          </cell>
          <cell r="W139" t="str">
            <v>$</v>
          </cell>
          <cell r="X139">
            <v>0</v>
          </cell>
        </row>
        <row r="140">
          <cell r="C140">
            <v>259964.9</v>
          </cell>
          <cell r="O140">
            <v>911.59</v>
          </cell>
          <cell r="U140" t="str">
            <v>Bilan</v>
          </cell>
          <cell r="V140" t="str">
            <v>Équipements Informatique</v>
          </cell>
          <cell r="W140" t="str">
            <v>$</v>
          </cell>
          <cell r="X140">
            <v>0</v>
          </cell>
        </row>
        <row r="141">
          <cell r="C141">
            <v>-216039.73</v>
          </cell>
          <cell r="O141">
            <v>-1380</v>
          </cell>
          <cell r="U141" t="str">
            <v>Bilan</v>
          </cell>
          <cell r="V141" t="str">
            <v>Équipements Informatique</v>
          </cell>
          <cell r="W141" t="str">
            <v>$</v>
          </cell>
          <cell r="X141">
            <v>0</v>
          </cell>
        </row>
        <row r="142">
          <cell r="C142">
            <v>119393.66</v>
          </cell>
          <cell r="O142">
            <v>0</v>
          </cell>
          <cell r="U142" t="str">
            <v>Bilan</v>
          </cell>
          <cell r="V142" t="str">
            <v>Enseigne</v>
          </cell>
          <cell r="W142" t="str">
            <v>$</v>
          </cell>
          <cell r="X142">
            <v>0</v>
          </cell>
        </row>
        <row r="143">
          <cell r="C143">
            <v>-115510.48</v>
          </cell>
          <cell r="O143">
            <v>-350</v>
          </cell>
          <cell r="U143" t="str">
            <v>Bilan</v>
          </cell>
          <cell r="V143" t="str">
            <v>Enseigne</v>
          </cell>
          <cell r="W143" t="str">
            <v>$</v>
          </cell>
          <cell r="X143">
            <v>0</v>
          </cell>
        </row>
        <row r="144">
          <cell r="C144">
            <v>1623600</v>
          </cell>
          <cell r="O144">
            <v>0</v>
          </cell>
          <cell r="U144" t="str">
            <v>Bilan</v>
          </cell>
          <cell r="V144" t="str">
            <v>Avances à Recevoir Long Terme</v>
          </cell>
          <cell r="W144" t="str">
            <v>$</v>
          </cell>
          <cell r="X144">
            <v>0</v>
          </cell>
        </row>
        <row r="145">
          <cell r="C145">
            <v>15362.39</v>
          </cell>
          <cell r="O145">
            <v>-12095.72</v>
          </cell>
          <cell r="U145" t="str">
            <v>Bilan</v>
          </cell>
          <cell r="V145" t="str">
            <v>Recevables Autres</v>
          </cell>
          <cell r="W145" t="str">
            <v>$</v>
          </cell>
          <cell r="X145">
            <v>0</v>
          </cell>
        </row>
        <row r="146">
          <cell r="C146">
            <v>-11418677.01</v>
          </cell>
          <cell r="O146">
            <v>830285.05</v>
          </cell>
          <cell r="U146" t="str">
            <v>Bilan</v>
          </cell>
          <cell r="V146" t="str">
            <v>Effet à Payer Véhicules Neufs</v>
          </cell>
          <cell r="W146" t="str">
            <v>$</v>
          </cell>
          <cell r="X146">
            <v>0</v>
          </cell>
        </row>
        <row r="147">
          <cell r="C147">
            <v>-167232.18</v>
          </cell>
          <cell r="O147">
            <v>66061.5</v>
          </cell>
          <cell r="U147" t="str">
            <v>Bilan</v>
          </cell>
          <cell r="V147" t="str">
            <v>Effet à Payer Véhicules Usagés</v>
          </cell>
          <cell r="W147" t="str">
            <v>$</v>
          </cell>
          <cell r="X147">
            <v>0</v>
          </cell>
        </row>
        <row r="148">
          <cell r="C148">
            <v>-15810</v>
          </cell>
          <cell r="O148">
            <v>0</v>
          </cell>
          <cell r="U148" t="str">
            <v>Bilan</v>
          </cell>
          <cell r="V148" t="str">
            <v>Portion Court Terme de la Dette Long Terme</v>
          </cell>
          <cell r="W148" t="str">
            <v>$</v>
          </cell>
          <cell r="X148">
            <v>0</v>
          </cell>
        </row>
        <row r="149">
          <cell r="C149">
            <v>-1431.36</v>
          </cell>
          <cell r="O149">
            <v>1091.4100000000001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-99093.18</v>
          </cell>
          <cell r="O150">
            <v>13723.79</v>
          </cell>
          <cell r="U150" t="str">
            <v>Bilan</v>
          </cell>
          <cell r="V150" t="str">
            <v>Taxes de Vente à Payer</v>
          </cell>
          <cell r="W150" t="str">
            <v>$</v>
          </cell>
          <cell r="X150">
            <v>0</v>
          </cell>
        </row>
        <row r="151">
          <cell r="C151">
            <v>53046.22</v>
          </cell>
          <cell r="O151">
            <v>2502.41</v>
          </cell>
          <cell r="U151" t="str">
            <v>Bilan</v>
          </cell>
          <cell r="V151" t="str">
            <v>Taxes de Vente à Payer</v>
          </cell>
          <cell r="W151" t="str">
            <v>$</v>
          </cell>
          <cell r="X151">
            <v>0</v>
          </cell>
        </row>
        <row r="152">
          <cell r="C152">
            <v>-269308.64</v>
          </cell>
          <cell r="O152">
            <v>-20321.95</v>
          </cell>
          <cell r="U152" t="str">
            <v>Bilan</v>
          </cell>
          <cell r="V152" t="str">
            <v>Taxes de Vente à Payer</v>
          </cell>
          <cell r="W152" t="str">
            <v>$</v>
          </cell>
          <cell r="X152">
            <v>0</v>
          </cell>
        </row>
        <row r="153">
          <cell r="C153">
            <v>297511.40000000002</v>
          </cell>
          <cell r="O153">
            <v>-35953</v>
          </cell>
          <cell r="U153" t="str">
            <v>Bilan</v>
          </cell>
          <cell r="V153" t="str">
            <v>Taxes de Vente à Payer</v>
          </cell>
          <cell r="W153" t="str">
            <v>$</v>
          </cell>
          <cell r="X153">
            <v>0</v>
          </cell>
        </row>
        <row r="154">
          <cell r="C154">
            <v>-1617</v>
          </cell>
          <cell r="O154">
            <v>-120</v>
          </cell>
          <cell r="U154" t="str">
            <v>Bilan</v>
          </cell>
          <cell r="V154" t="str">
            <v>Taxes de Vente à Payer</v>
          </cell>
          <cell r="W154" t="str">
            <v>$</v>
          </cell>
          <cell r="X154">
            <v>0</v>
          </cell>
        </row>
        <row r="155">
          <cell r="C155">
            <v>-110264.91</v>
          </cell>
          <cell r="O155">
            <v>250.96</v>
          </cell>
          <cell r="U155" t="str">
            <v>Bilan</v>
          </cell>
          <cell r="V155" t="str">
            <v>Autres Comptes à Payer</v>
          </cell>
          <cell r="W155" t="str">
            <v>$</v>
          </cell>
          <cell r="X155">
            <v>0</v>
          </cell>
        </row>
        <row r="156">
          <cell r="C156">
            <v>-3910</v>
          </cell>
          <cell r="O156">
            <v>-755.25</v>
          </cell>
          <cell r="U156" t="str">
            <v>Bilan</v>
          </cell>
          <cell r="V156" t="str">
            <v>Autres Comptes à Payer</v>
          </cell>
          <cell r="W156" t="str">
            <v>$</v>
          </cell>
          <cell r="X156">
            <v>0</v>
          </cell>
        </row>
        <row r="157">
          <cell r="C157">
            <v>-91797.48</v>
          </cell>
          <cell r="O157">
            <v>14930.78</v>
          </cell>
          <cell r="U157" t="str">
            <v>Bilan</v>
          </cell>
          <cell r="V157" t="str">
            <v>Autres Comptes à Payer</v>
          </cell>
          <cell r="W157" t="str">
            <v>$</v>
          </cell>
          <cell r="X157">
            <v>0</v>
          </cell>
        </row>
        <row r="158">
          <cell r="C158">
            <v>-16633.2</v>
          </cell>
          <cell r="O158">
            <v>11860.81</v>
          </cell>
          <cell r="U158" t="str">
            <v>Bilan</v>
          </cell>
          <cell r="V158" t="str">
            <v>Autres Comptes à Payer</v>
          </cell>
          <cell r="W158" t="str">
            <v>$</v>
          </cell>
          <cell r="X158">
            <v>0</v>
          </cell>
        </row>
        <row r="159">
          <cell r="C159">
            <v>-374651.05</v>
          </cell>
          <cell r="O159">
            <v>92769.63</v>
          </cell>
          <cell r="U159" t="str">
            <v>Bilan</v>
          </cell>
          <cell r="V159" t="str">
            <v>Comptes à Payer Fournisseurs</v>
          </cell>
          <cell r="W159" t="str">
            <v>$</v>
          </cell>
          <cell r="X159">
            <v>0</v>
          </cell>
        </row>
        <row r="160">
          <cell r="C160">
            <v>-11652.9</v>
          </cell>
          <cell r="O160">
            <v>-14697.12</v>
          </cell>
          <cell r="U160" t="str">
            <v>Bilan</v>
          </cell>
          <cell r="V160" t="str">
            <v>Autres Comptes à Payer</v>
          </cell>
          <cell r="W160" t="str">
            <v>$</v>
          </cell>
          <cell r="X160">
            <v>0</v>
          </cell>
        </row>
        <row r="161">
          <cell r="C161">
            <v>-9068.56</v>
          </cell>
          <cell r="O161">
            <v>1037.4000000000001</v>
          </cell>
          <cell r="U161" t="str">
            <v>Bilan</v>
          </cell>
          <cell r="V161" t="str">
            <v>Autres Courus</v>
          </cell>
          <cell r="W161" t="str">
            <v>$</v>
          </cell>
          <cell r="X161">
            <v>0</v>
          </cell>
        </row>
        <row r="162">
          <cell r="C162">
            <v>-30.06</v>
          </cell>
          <cell r="O162">
            <v>-10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-18450</v>
          </cell>
          <cell r="O163">
            <v>-4750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7223.05</v>
          </cell>
          <cell r="O164">
            <v>-3421.15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2337.39</v>
          </cell>
          <cell r="O165">
            <v>172.37</v>
          </cell>
          <cell r="U165" t="str">
            <v>Bilan</v>
          </cell>
          <cell r="V165" t="str">
            <v>DAS à Payer</v>
          </cell>
          <cell r="W165" t="str">
            <v>$</v>
          </cell>
          <cell r="X165">
            <v>0</v>
          </cell>
        </row>
        <row r="166">
          <cell r="C166">
            <v>-24692.99</v>
          </cell>
          <cell r="O166">
            <v>-7141.59</v>
          </cell>
          <cell r="U166" t="str">
            <v>Bilan</v>
          </cell>
          <cell r="V166" t="str">
            <v>DAS à Payer</v>
          </cell>
          <cell r="W166" t="str">
            <v>$</v>
          </cell>
          <cell r="X166">
            <v>0</v>
          </cell>
        </row>
        <row r="167">
          <cell r="C167">
            <v>-838.5</v>
          </cell>
          <cell r="O167">
            <v>-169.94</v>
          </cell>
          <cell r="U167" t="str">
            <v>Bilan</v>
          </cell>
          <cell r="V167" t="str">
            <v>DAS à Payer</v>
          </cell>
          <cell r="W167" t="str">
            <v>$</v>
          </cell>
          <cell r="X167">
            <v>0</v>
          </cell>
        </row>
        <row r="168">
          <cell r="C168">
            <v>-305</v>
          </cell>
          <cell r="O168">
            <v>-384.5</v>
          </cell>
          <cell r="U168" t="str">
            <v>Bilan</v>
          </cell>
          <cell r="V168" t="str">
            <v>DAS à Payer</v>
          </cell>
          <cell r="W168" t="str">
            <v>$</v>
          </cell>
          <cell r="X168">
            <v>0</v>
          </cell>
        </row>
        <row r="169">
          <cell r="C169">
            <v>-29600</v>
          </cell>
          <cell r="O169">
            <v>11750</v>
          </cell>
          <cell r="U169" t="str">
            <v>Bilan</v>
          </cell>
          <cell r="V169" t="str">
            <v>Dépôts de Client</v>
          </cell>
          <cell r="W169" t="str">
            <v>$</v>
          </cell>
          <cell r="X169">
            <v>0</v>
          </cell>
        </row>
        <row r="170">
          <cell r="C170">
            <v>-12962.72</v>
          </cell>
          <cell r="O170">
            <v>6155.59</v>
          </cell>
          <cell r="U170" t="str">
            <v>Bilan</v>
          </cell>
          <cell r="V170" t="str">
            <v>Salaires à Payer</v>
          </cell>
          <cell r="W170" t="str">
            <v>$</v>
          </cell>
          <cell r="X170">
            <v>0</v>
          </cell>
        </row>
        <row r="171">
          <cell r="C171">
            <v>-81885.2</v>
          </cell>
          <cell r="O171">
            <v>33803.760000000002</v>
          </cell>
          <cell r="U171" t="str">
            <v>Bilan</v>
          </cell>
          <cell r="V171" t="str">
            <v>Salaires à Payer</v>
          </cell>
          <cell r="W171" t="str">
            <v>$</v>
          </cell>
          <cell r="X171">
            <v>0</v>
          </cell>
        </row>
        <row r="172">
          <cell r="C172">
            <v>-20791.91</v>
          </cell>
          <cell r="O172">
            <v>-12520.26</v>
          </cell>
          <cell r="U172" t="str">
            <v>Bilan</v>
          </cell>
          <cell r="V172" t="str">
            <v>Salaires à Payer</v>
          </cell>
          <cell r="W172" t="str">
            <v>$</v>
          </cell>
          <cell r="X172">
            <v>0</v>
          </cell>
        </row>
        <row r="173">
          <cell r="C173">
            <v>-170693.54</v>
          </cell>
          <cell r="O173">
            <v>1467.44</v>
          </cell>
          <cell r="U173" t="str">
            <v>Bilan</v>
          </cell>
          <cell r="V173" t="str">
            <v>Salaires à Payer</v>
          </cell>
          <cell r="W173" t="str">
            <v>$</v>
          </cell>
          <cell r="X173">
            <v>0</v>
          </cell>
        </row>
        <row r="174">
          <cell r="C174">
            <v>12297.35</v>
          </cell>
          <cell r="O174">
            <v>721.18</v>
          </cell>
          <cell r="U174" t="str">
            <v>Bilan</v>
          </cell>
          <cell r="V174" t="str">
            <v>Salaires à Payer</v>
          </cell>
          <cell r="W174" t="str">
            <v>$</v>
          </cell>
          <cell r="X174">
            <v>0</v>
          </cell>
        </row>
        <row r="175">
          <cell r="C175">
            <v>-51091.75</v>
          </cell>
          <cell r="O175">
            <v>1317.5</v>
          </cell>
          <cell r="U175" t="str">
            <v>Bilan</v>
          </cell>
          <cell r="V175" t="str">
            <v>Dette à Long Terme</v>
          </cell>
          <cell r="W175" t="str">
            <v>$</v>
          </cell>
          <cell r="X175">
            <v>0</v>
          </cell>
        </row>
        <row r="176">
          <cell r="C176">
            <v>-21578.78</v>
          </cell>
          <cell r="O176">
            <v>0</v>
          </cell>
          <cell r="U176" t="str">
            <v>Bilan</v>
          </cell>
          <cell r="V176" t="str">
            <v>Autres Courus</v>
          </cell>
          <cell r="W176" t="str">
            <v>$</v>
          </cell>
          <cell r="X176">
            <v>0</v>
          </cell>
        </row>
        <row r="177">
          <cell r="C177">
            <v>-2350000</v>
          </cell>
          <cell r="O177">
            <v>0</v>
          </cell>
          <cell r="U177" t="str">
            <v>Bilan</v>
          </cell>
          <cell r="V177" t="str">
            <v>Capital Actions</v>
          </cell>
          <cell r="W177" t="str">
            <v>$</v>
          </cell>
          <cell r="X177">
            <v>0</v>
          </cell>
        </row>
        <row r="178">
          <cell r="C178">
            <v>-1846000</v>
          </cell>
          <cell r="O178">
            <v>0</v>
          </cell>
          <cell r="U178" t="str">
            <v>Bilan</v>
          </cell>
          <cell r="V178" t="str">
            <v>Apport</v>
          </cell>
          <cell r="W178" t="str">
            <v>$</v>
          </cell>
          <cell r="X178">
            <v>0</v>
          </cell>
        </row>
        <row r="179">
          <cell r="C179">
            <v>-347547.5</v>
          </cell>
          <cell r="O179">
            <v>0</v>
          </cell>
          <cell r="U179" t="str">
            <v>Bilan</v>
          </cell>
          <cell r="V179" t="str">
            <v>Capital Actions</v>
          </cell>
          <cell r="W179">
            <v>0</v>
          </cell>
          <cell r="X179">
            <v>0</v>
          </cell>
        </row>
        <row r="180">
          <cell r="C180">
            <v>-231711.86</v>
          </cell>
          <cell r="O180">
            <v>0</v>
          </cell>
          <cell r="U180" t="str">
            <v>Bilan</v>
          </cell>
          <cell r="V180" t="str">
            <v>Bénéfices non répartis</v>
          </cell>
          <cell r="W180" t="str">
            <v>$</v>
          </cell>
          <cell r="X180">
            <v>0</v>
          </cell>
        </row>
        <row r="181">
          <cell r="C181">
            <v>-347221.7</v>
          </cell>
          <cell r="O181">
            <v>-77852.77</v>
          </cell>
          <cell r="U181" t="str">
            <v>Véhicules neufs</v>
          </cell>
          <cell r="V181" t="str">
            <v>Rachat bail</v>
          </cell>
          <cell r="W181" t="str">
            <v>$</v>
          </cell>
          <cell r="X181" t="str">
            <v>Oui</v>
          </cell>
        </row>
        <row r="182">
          <cell r="O182">
            <v>-5</v>
          </cell>
          <cell r="U182" t="str">
            <v>Véhicules neufs</v>
          </cell>
          <cell r="V182" t="str">
            <v>Rachat bail</v>
          </cell>
          <cell r="W182" t="str">
            <v>NB</v>
          </cell>
          <cell r="X182">
            <v>0</v>
          </cell>
        </row>
        <row r="183">
          <cell r="C183">
            <v>-388502.67</v>
          </cell>
          <cell r="O183">
            <v>-84594.08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O184">
            <v>-3</v>
          </cell>
          <cell r="U184" t="str">
            <v>Véhicules neufs</v>
          </cell>
          <cell r="V184" t="str">
            <v>Autos détail</v>
          </cell>
          <cell r="W184" t="str">
            <v>NB</v>
          </cell>
          <cell r="X184">
            <v>0</v>
          </cell>
        </row>
        <row r="185">
          <cell r="C185">
            <v>-115489.95</v>
          </cell>
          <cell r="O185">
            <v>0</v>
          </cell>
          <cell r="U185" t="str">
            <v>Véhicules neufs</v>
          </cell>
          <cell r="V185" t="str">
            <v>Autos détail</v>
          </cell>
          <cell r="W185" t="str">
            <v>$</v>
          </cell>
          <cell r="X185" t="str">
            <v>Oui</v>
          </cell>
        </row>
        <row r="186">
          <cell r="O186">
            <v>0</v>
          </cell>
          <cell r="U186" t="str">
            <v>Véhicules neufs</v>
          </cell>
          <cell r="V186" t="str">
            <v>Autos détail</v>
          </cell>
          <cell r="W186" t="str">
            <v>NB</v>
          </cell>
          <cell r="X186">
            <v>0</v>
          </cell>
        </row>
        <row r="187">
          <cell r="C187">
            <v>-784122.01</v>
          </cell>
          <cell r="O187">
            <v>-288360.67</v>
          </cell>
          <cell r="U187" t="str">
            <v>Véhicules neufs</v>
          </cell>
          <cell r="V187" t="str">
            <v>Autos détail</v>
          </cell>
          <cell r="W187" t="str">
            <v>$</v>
          </cell>
          <cell r="X187" t="str">
            <v>Oui</v>
          </cell>
        </row>
        <row r="188">
          <cell r="O188">
            <v>-12</v>
          </cell>
          <cell r="U188" t="str">
            <v>Véhicules neufs</v>
          </cell>
          <cell r="V188" t="str">
            <v>Autos détail</v>
          </cell>
          <cell r="W188" t="str">
            <v>NB</v>
          </cell>
          <cell r="X188">
            <v>0</v>
          </cell>
        </row>
        <row r="189">
          <cell r="C189">
            <v>-438474.2</v>
          </cell>
          <cell r="O189">
            <v>-226940.65</v>
          </cell>
          <cell r="U189" t="str">
            <v>Véhicules neufs</v>
          </cell>
          <cell r="V189" t="str">
            <v>Autos détail</v>
          </cell>
          <cell r="W189" t="str">
            <v>$</v>
          </cell>
          <cell r="X189" t="str">
            <v>Oui</v>
          </cell>
        </row>
        <row r="190">
          <cell r="O190">
            <v>-5</v>
          </cell>
          <cell r="U190" t="str">
            <v>Véhicules neufs</v>
          </cell>
          <cell r="V190" t="str">
            <v>Autos détail</v>
          </cell>
          <cell r="W190" t="str">
            <v>NB</v>
          </cell>
          <cell r="X190">
            <v>0</v>
          </cell>
        </row>
        <row r="191">
          <cell r="C191">
            <v>-1885362.49</v>
          </cell>
          <cell r="O191">
            <v>-556624.34</v>
          </cell>
          <cell r="U191" t="str">
            <v>Véhicules neufs</v>
          </cell>
          <cell r="V191" t="str">
            <v>Autos détail</v>
          </cell>
          <cell r="W191" t="str">
            <v>$</v>
          </cell>
          <cell r="X191" t="str">
            <v>Oui</v>
          </cell>
        </row>
        <row r="192">
          <cell r="O192">
            <v>-20</v>
          </cell>
          <cell r="U192" t="str">
            <v>Véhicules neufs</v>
          </cell>
          <cell r="V192" t="str">
            <v>Autos détail</v>
          </cell>
          <cell r="W192" t="str">
            <v>NB</v>
          </cell>
          <cell r="X192">
            <v>0</v>
          </cell>
        </row>
        <row r="193">
          <cell r="C193">
            <v>-599998.17000000004</v>
          </cell>
          <cell r="O193">
            <v>-219413.54</v>
          </cell>
          <cell r="U193" t="str">
            <v>Véhicules neufs</v>
          </cell>
          <cell r="V193" t="str">
            <v>Autos détail</v>
          </cell>
          <cell r="W193" t="str">
            <v>$</v>
          </cell>
          <cell r="X193" t="str">
            <v>Oui</v>
          </cell>
        </row>
        <row r="194">
          <cell r="O194">
            <v>-7</v>
          </cell>
          <cell r="U194" t="str">
            <v>Véhicules neufs</v>
          </cell>
          <cell r="V194" t="str">
            <v>Autos détail</v>
          </cell>
          <cell r="W194" t="str">
            <v>NB</v>
          </cell>
          <cell r="X194">
            <v>0</v>
          </cell>
        </row>
        <row r="195">
          <cell r="C195">
            <v>-37395.17</v>
          </cell>
          <cell r="O195">
            <v>0</v>
          </cell>
          <cell r="U195" t="str">
            <v>Véhicules neufs</v>
          </cell>
          <cell r="V195" t="str">
            <v>Autos détail</v>
          </cell>
          <cell r="W195" t="str">
            <v>$</v>
          </cell>
          <cell r="X195" t="str">
            <v>Oui</v>
          </cell>
        </row>
        <row r="196">
          <cell r="O196">
            <v>0</v>
          </cell>
          <cell r="U196" t="str">
            <v>Véhicules neufs</v>
          </cell>
          <cell r="V196" t="str">
            <v>Autos détail</v>
          </cell>
          <cell r="W196" t="str">
            <v>NB</v>
          </cell>
          <cell r="X196">
            <v>0</v>
          </cell>
        </row>
        <row r="197">
          <cell r="C197">
            <v>-1155507.29</v>
          </cell>
          <cell r="O197">
            <v>-165916.98000000001</v>
          </cell>
          <cell r="U197" t="str">
            <v>Véhicules neufs</v>
          </cell>
          <cell r="V197" t="str">
            <v>Camions détail</v>
          </cell>
          <cell r="W197" t="str">
            <v>$</v>
          </cell>
          <cell r="X197" t="str">
            <v>Oui</v>
          </cell>
        </row>
        <row r="198">
          <cell r="O198">
            <v>-3</v>
          </cell>
          <cell r="U198" t="str">
            <v>Véhicules neufs</v>
          </cell>
          <cell r="V198" t="str">
            <v>Camions détail</v>
          </cell>
          <cell r="W198" t="str">
            <v>NB</v>
          </cell>
          <cell r="X198">
            <v>0</v>
          </cell>
        </row>
        <row r="199">
          <cell r="C199">
            <v>-221150</v>
          </cell>
          <cell r="O199">
            <v>-180063.14</v>
          </cell>
          <cell r="U199" t="str">
            <v>Véhicules neufs</v>
          </cell>
          <cell r="V199" t="str">
            <v>Autos détail</v>
          </cell>
          <cell r="W199" t="str">
            <v>$</v>
          </cell>
          <cell r="X199" t="str">
            <v>Oui</v>
          </cell>
        </row>
        <row r="200">
          <cell r="O200">
            <v>-5</v>
          </cell>
          <cell r="U200" t="str">
            <v>Véhicules neufs</v>
          </cell>
          <cell r="V200" t="str">
            <v>Autos détail</v>
          </cell>
          <cell r="W200" t="str">
            <v>NB</v>
          </cell>
          <cell r="X200">
            <v>0</v>
          </cell>
        </row>
        <row r="201">
          <cell r="C201">
            <v>-3479998.33</v>
          </cell>
          <cell r="O201">
            <v>-738077.08</v>
          </cell>
          <cell r="U201" t="str">
            <v>Véhicules neufs</v>
          </cell>
          <cell r="V201" t="str">
            <v>Camions détail</v>
          </cell>
          <cell r="W201" t="str">
            <v>$</v>
          </cell>
          <cell r="X201" t="str">
            <v>Oui</v>
          </cell>
        </row>
        <row r="202">
          <cell r="O202">
            <v>-20</v>
          </cell>
          <cell r="U202" t="str">
            <v>Véhicules neufs</v>
          </cell>
          <cell r="V202" t="str">
            <v>Camions détail</v>
          </cell>
          <cell r="W202" t="str">
            <v>NB</v>
          </cell>
          <cell r="X202">
            <v>0</v>
          </cell>
        </row>
        <row r="203">
          <cell r="C203">
            <v>-410337.2</v>
          </cell>
          <cell r="O203">
            <v>-92199.039999999994</v>
          </cell>
          <cell r="U203" t="str">
            <v>Véhicules neufs</v>
          </cell>
          <cell r="V203" t="str">
            <v>Autos détail</v>
          </cell>
          <cell r="W203" t="str">
            <v>$</v>
          </cell>
          <cell r="X203" t="str">
            <v>Oui</v>
          </cell>
        </row>
        <row r="204">
          <cell r="O204">
            <v>-2</v>
          </cell>
          <cell r="U204" t="str">
            <v>Véhicules neufs</v>
          </cell>
          <cell r="V204" t="str">
            <v>Autos détail</v>
          </cell>
          <cell r="W204" t="str">
            <v>NB</v>
          </cell>
          <cell r="X204">
            <v>0</v>
          </cell>
        </row>
        <row r="205">
          <cell r="C205">
            <v>0</v>
          </cell>
          <cell r="O205">
            <v>-137409.32999999999</v>
          </cell>
          <cell r="U205" t="str">
            <v>Véhicules neufs</v>
          </cell>
          <cell r="V205" t="str">
            <v>Flottes</v>
          </cell>
          <cell r="W205" t="str">
            <v>$</v>
          </cell>
          <cell r="X205" t="str">
            <v>Oui</v>
          </cell>
        </row>
        <row r="206">
          <cell r="O206">
            <v>-3</v>
          </cell>
          <cell r="U206" t="str">
            <v>Véhicules neufs</v>
          </cell>
          <cell r="V206" t="str">
            <v>Flottes</v>
          </cell>
          <cell r="W206" t="str">
            <v>NB</v>
          </cell>
          <cell r="X206">
            <v>0</v>
          </cell>
        </row>
        <row r="207">
          <cell r="C207">
            <v>0</v>
          </cell>
          <cell r="O207">
            <v>-394747.6</v>
          </cell>
          <cell r="U207" t="str">
            <v>Véhicules neufs</v>
          </cell>
          <cell r="V207" t="str">
            <v>Ex-Démos et courtoisies</v>
          </cell>
          <cell r="W207" t="str">
            <v>$</v>
          </cell>
          <cell r="X207" t="str">
            <v>Oui</v>
          </cell>
        </row>
        <row r="208">
          <cell r="O208">
            <v>-11</v>
          </cell>
          <cell r="U208" t="str">
            <v>Véhicules neufs</v>
          </cell>
          <cell r="V208" t="str">
            <v>Ex-Démos et courtoisies</v>
          </cell>
          <cell r="W208" t="str">
            <v>NB</v>
          </cell>
          <cell r="X208">
            <v>0</v>
          </cell>
        </row>
        <row r="209">
          <cell r="C209">
            <v>-1700451.42</v>
          </cell>
          <cell r="O209">
            <v>-604474.09</v>
          </cell>
          <cell r="U209" t="str">
            <v>Véhicules usagés</v>
          </cell>
          <cell r="V209" t="str">
            <v>Non Certifié</v>
          </cell>
          <cell r="W209" t="str">
            <v>$</v>
          </cell>
          <cell r="X209" t="str">
            <v>Oui</v>
          </cell>
        </row>
        <row r="210">
          <cell r="O210">
            <v>-33</v>
          </cell>
          <cell r="U210" t="str">
            <v>Véhicules usagés</v>
          </cell>
          <cell r="V210" t="str">
            <v>Non Certifié</v>
          </cell>
          <cell r="W210" t="str">
            <v>NB</v>
          </cell>
          <cell r="X210">
            <v>0</v>
          </cell>
        </row>
        <row r="211">
          <cell r="C211">
            <v>-445088.09</v>
          </cell>
          <cell r="O211">
            <v>-125567</v>
          </cell>
          <cell r="U211" t="str">
            <v>Véhicules usagés</v>
          </cell>
          <cell r="V211" t="str">
            <v>Non Certifié</v>
          </cell>
          <cell r="W211" t="str">
            <v>$</v>
          </cell>
          <cell r="X211" t="str">
            <v>Oui</v>
          </cell>
        </row>
        <row r="212">
          <cell r="O212">
            <v>-5</v>
          </cell>
          <cell r="U212" t="str">
            <v>Véhicules usagés</v>
          </cell>
          <cell r="V212" t="str">
            <v>Non Certifié</v>
          </cell>
          <cell r="W212" t="str">
            <v>NB</v>
          </cell>
          <cell r="X212">
            <v>0</v>
          </cell>
        </row>
        <row r="213">
          <cell r="C213">
            <v>-655883</v>
          </cell>
          <cell r="O213">
            <v>-391250.5</v>
          </cell>
          <cell r="U213" t="str">
            <v>Véhicules usagés</v>
          </cell>
          <cell r="V213" t="str">
            <v>Ventes au Gros</v>
          </cell>
          <cell r="W213" t="str">
            <v>$</v>
          </cell>
          <cell r="X213" t="str">
            <v>Oui</v>
          </cell>
        </row>
        <row r="214">
          <cell r="O214">
            <v>-35</v>
          </cell>
          <cell r="U214" t="str">
            <v>Véhicules usagés</v>
          </cell>
          <cell r="V214" t="str">
            <v>Ventes au Gros</v>
          </cell>
          <cell r="W214" t="str">
            <v>NB</v>
          </cell>
          <cell r="X214">
            <v>0</v>
          </cell>
        </row>
        <row r="215">
          <cell r="C215">
            <v>-392295.16</v>
          </cell>
          <cell r="O215">
            <v>-147912.38</v>
          </cell>
          <cell r="U215" t="str">
            <v>Service</v>
          </cell>
          <cell r="V215" t="str">
            <v>M/O Client</v>
          </cell>
          <cell r="W215" t="str">
            <v>$</v>
          </cell>
          <cell r="X215" t="str">
            <v>Oui</v>
          </cell>
        </row>
        <row r="216">
          <cell r="O216">
            <v>-654</v>
          </cell>
          <cell r="U216" t="str">
            <v>Service</v>
          </cell>
          <cell r="V216" t="str">
            <v>M/O Client</v>
          </cell>
          <cell r="W216" t="str">
            <v>NB</v>
          </cell>
          <cell r="X216">
            <v>0</v>
          </cell>
        </row>
        <row r="217">
          <cell r="C217">
            <v>-447.17</v>
          </cell>
          <cell r="O217">
            <v>-0.01</v>
          </cell>
          <cell r="U217" t="str">
            <v>Service</v>
          </cell>
          <cell r="V217" t="str">
            <v>M/O Esthétique</v>
          </cell>
          <cell r="W217" t="str">
            <v>$</v>
          </cell>
          <cell r="X217" t="str">
            <v>Oui</v>
          </cell>
        </row>
        <row r="218">
          <cell r="C218">
            <v>-247643.83</v>
          </cell>
          <cell r="O218">
            <v>-93955.59</v>
          </cell>
          <cell r="U218" t="str">
            <v>Service</v>
          </cell>
          <cell r="V218" t="str">
            <v>M/O Garantie</v>
          </cell>
          <cell r="W218" t="str">
            <v>$</v>
          </cell>
          <cell r="X218" t="str">
            <v>Oui</v>
          </cell>
        </row>
        <row r="219">
          <cell r="O219">
            <v>-467</v>
          </cell>
          <cell r="U219" t="str">
            <v>Service</v>
          </cell>
          <cell r="V219" t="str">
            <v>M/O Garantie</v>
          </cell>
          <cell r="W219" t="str">
            <v>NB</v>
          </cell>
          <cell r="X219">
            <v>0</v>
          </cell>
        </row>
        <row r="220">
          <cell r="C220">
            <v>-156894.57</v>
          </cell>
          <cell r="O220">
            <v>-49785.77</v>
          </cell>
          <cell r="U220" t="str">
            <v>Service</v>
          </cell>
          <cell r="V220" t="str">
            <v>M/O Interne</v>
          </cell>
          <cell r="W220" t="str">
            <v>$</v>
          </cell>
          <cell r="X220" t="str">
            <v>Oui</v>
          </cell>
        </row>
        <row r="221">
          <cell r="O221">
            <v>-262</v>
          </cell>
          <cell r="U221" t="str">
            <v>Service</v>
          </cell>
          <cell r="V221" t="str">
            <v>M/O Interne</v>
          </cell>
          <cell r="W221" t="str">
            <v>NB</v>
          </cell>
          <cell r="X221">
            <v>0</v>
          </cell>
        </row>
        <row r="222">
          <cell r="C222">
            <v>-62323.08</v>
          </cell>
          <cell r="O222">
            <v>-22194.99</v>
          </cell>
          <cell r="U222" t="str">
            <v>Pièces</v>
          </cell>
          <cell r="V222" t="str">
            <v>Huiles et Graisse</v>
          </cell>
          <cell r="W222" t="str">
            <v>$</v>
          </cell>
          <cell r="X222" t="str">
            <v>Oui</v>
          </cell>
        </row>
        <row r="223">
          <cell r="O223">
            <v>-375</v>
          </cell>
          <cell r="U223" t="str">
            <v>Pièces</v>
          </cell>
          <cell r="V223" t="str">
            <v>Huiles et Graisse</v>
          </cell>
          <cell r="W223" t="str">
            <v>NB</v>
          </cell>
          <cell r="X223">
            <v>0</v>
          </cell>
        </row>
        <row r="224">
          <cell r="C224">
            <v>-18950.16</v>
          </cell>
          <cell r="O224">
            <v>-8125.29</v>
          </cell>
          <cell r="U224" t="str">
            <v>Service</v>
          </cell>
          <cell r="V224" t="str">
            <v>Sous-traitement</v>
          </cell>
          <cell r="W224" t="str">
            <v>$</v>
          </cell>
          <cell r="X224" t="str">
            <v>Oui</v>
          </cell>
        </row>
        <row r="225">
          <cell r="O225">
            <v>-56</v>
          </cell>
          <cell r="U225" t="str">
            <v>Service</v>
          </cell>
          <cell r="V225" t="str">
            <v>Sous-traitement</v>
          </cell>
          <cell r="W225" t="str">
            <v>NB</v>
          </cell>
          <cell r="X225">
            <v>0</v>
          </cell>
        </row>
        <row r="226">
          <cell r="C226">
            <v>-2664.56</v>
          </cell>
          <cell r="O226">
            <v>-455</v>
          </cell>
          <cell r="U226" t="str">
            <v>Service</v>
          </cell>
          <cell r="V226" t="str">
            <v>Sous-traitement</v>
          </cell>
          <cell r="W226" t="str">
            <v>$</v>
          </cell>
          <cell r="X226" t="str">
            <v>Oui</v>
          </cell>
        </row>
        <row r="227">
          <cell r="O227">
            <v>-3</v>
          </cell>
          <cell r="U227" t="str">
            <v>Service</v>
          </cell>
          <cell r="V227" t="str">
            <v>Sous-traitement</v>
          </cell>
          <cell r="W227" t="str">
            <v>NB</v>
          </cell>
          <cell r="X227">
            <v>0</v>
          </cell>
        </row>
        <row r="228">
          <cell r="C228">
            <v>-109515.75</v>
          </cell>
          <cell r="O228">
            <v>-43569.77</v>
          </cell>
          <cell r="U228" t="str">
            <v>Service</v>
          </cell>
          <cell r="V228" t="str">
            <v>Sous-traitement</v>
          </cell>
          <cell r="W228" t="str">
            <v>$</v>
          </cell>
          <cell r="X228" t="str">
            <v>Oui</v>
          </cell>
        </row>
        <row r="229">
          <cell r="O229">
            <v>-236</v>
          </cell>
          <cell r="U229" t="str">
            <v>Service</v>
          </cell>
          <cell r="V229" t="str">
            <v>Sous-traitement</v>
          </cell>
          <cell r="W229" t="str">
            <v>NB</v>
          </cell>
          <cell r="X229">
            <v>0</v>
          </cell>
        </row>
        <row r="230">
          <cell r="C230">
            <v>-192233.72</v>
          </cell>
          <cell r="O230">
            <v>-49674.19</v>
          </cell>
          <cell r="U230" t="str">
            <v>Carrosserie</v>
          </cell>
          <cell r="V230" t="str">
            <v>M/O Sous-traitement</v>
          </cell>
          <cell r="W230" t="str">
            <v>$</v>
          </cell>
          <cell r="X230" t="str">
            <v>Oui</v>
          </cell>
        </row>
        <row r="231">
          <cell r="O231">
            <v>-43</v>
          </cell>
          <cell r="U231" t="str">
            <v>Carrosserie</v>
          </cell>
          <cell r="V231" t="str">
            <v>M/O Sous-traitement</v>
          </cell>
          <cell r="W231" t="str">
            <v>NB</v>
          </cell>
          <cell r="X231">
            <v>0</v>
          </cell>
        </row>
        <row r="232">
          <cell r="C232">
            <v>-200926.58</v>
          </cell>
          <cell r="O232">
            <v>-63304.4</v>
          </cell>
          <cell r="U232" t="str">
            <v>Carrosserie</v>
          </cell>
          <cell r="V232" t="str">
            <v>M/O Sous-traitement</v>
          </cell>
          <cell r="W232" t="str">
            <v>$</v>
          </cell>
          <cell r="X232" t="str">
            <v>Oui</v>
          </cell>
        </row>
        <row r="233">
          <cell r="O233">
            <v>-41</v>
          </cell>
          <cell r="U233" t="str">
            <v>Carrosserie</v>
          </cell>
          <cell r="V233" t="str">
            <v>M/O Sous-traitement</v>
          </cell>
          <cell r="W233" t="str">
            <v>NB</v>
          </cell>
          <cell r="X233">
            <v>0</v>
          </cell>
        </row>
        <row r="234">
          <cell r="C234">
            <v>-31658.19</v>
          </cell>
          <cell r="O234">
            <v>-16217.25</v>
          </cell>
          <cell r="U234" t="str">
            <v>Carrosserie</v>
          </cell>
          <cell r="V234" t="str">
            <v>M/O Sous-traitement</v>
          </cell>
          <cell r="W234" t="str">
            <v>$</v>
          </cell>
          <cell r="X234" t="str">
            <v>Oui</v>
          </cell>
        </row>
        <row r="235">
          <cell r="O235">
            <v>-28</v>
          </cell>
          <cell r="U235" t="str">
            <v>Carrosserie</v>
          </cell>
          <cell r="V235" t="str">
            <v>M/O Sous-traitement</v>
          </cell>
          <cell r="W235" t="str">
            <v>NB</v>
          </cell>
          <cell r="X235">
            <v>0</v>
          </cell>
        </row>
        <row r="236">
          <cell r="C236">
            <v>-235325.43</v>
          </cell>
          <cell r="O236">
            <v>-60327.57</v>
          </cell>
          <cell r="U236" t="str">
            <v>Pièces</v>
          </cell>
          <cell r="V236" t="str">
            <v>Pièces Ro Clients</v>
          </cell>
          <cell r="W236" t="str">
            <v>$</v>
          </cell>
          <cell r="X236" t="str">
            <v>Oui</v>
          </cell>
        </row>
        <row r="237">
          <cell r="O237">
            <v>-638</v>
          </cell>
          <cell r="U237" t="str">
            <v>Pièces</v>
          </cell>
          <cell r="V237" t="str">
            <v>Pièces Ro Clients</v>
          </cell>
          <cell r="W237" t="str">
            <v>NB</v>
          </cell>
          <cell r="X237">
            <v>0</v>
          </cell>
        </row>
        <row r="238">
          <cell r="C238">
            <v>-299159.24</v>
          </cell>
          <cell r="O238">
            <v>-111735.39</v>
          </cell>
          <cell r="U238" t="str">
            <v>Pièces</v>
          </cell>
          <cell r="V238" t="str">
            <v>P/A Garantie</v>
          </cell>
          <cell r="W238" t="str">
            <v>$</v>
          </cell>
          <cell r="X238" t="str">
            <v>Oui</v>
          </cell>
        </row>
        <row r="239">
          <cell r="O239">
            <v>-379</v>
          </cell>
          <cell r="U239" t="str">
            <v>Pièces</v>
          </cell>
          <cell r="V239" t="str">
            <v>P/A Garantie</v>
          </cell>
          <cell r="W239" t="str">
            <v>NB</v>
          </cell>
          <cell r="X239">
            <v>0</v>
          </cell>
        </row>
        <row r="240">
          <cell r="C240">
            <v>-139266.35</v>
          </cell>
          <cell r="O240">
            <v>-52427.38</v>
          </cell>
          <cell r="U240" t="str">
            <v>Pièces</v>
          </cell>
          <cell r="V240" t="str">
            <v>Ventes Internes</v>
          </cell>
          <cell r="W240" t="str">
            <v>$</v>
          </cell>
          <cell r="X240" t="str">
            <v>Oui</v>
          </cell>
        </row>
        <row r="241">
          <cell r="O241">
            <v>-325</v>
          </cell>
          <cell r="U241" t="str">
            <v>Pièces</v>
          </cell>
          <cell r="V241" t="str">
            <v>Ventes Internes</v>
          </cell>
          <cell r="W241" t="str">
            <v>NB</v>
          </cell>
          <cell r="X241">
            <v>0</v>
          </cell>
        </row>
        <row r="242">
          <cell r="C242">
            <v>-13296.61</v>
          </cell>
          <cell r="O242">
            <v>-3775.24</v>
          </cell>
          <cell r="U242" t="str">
            <v>Pièces</v>
          </cell>
          <cell r="V242" t="str">
            <v>Pièces Ro Clients</v>
          </cell>
          <cell r="W242" t="str">
            <v>$</v>
          </cell>
          <cell r="X242" t="str">
            <v>Oui</v>
          </cell>
        </row>
        <row r="243">
          <cell r="O243">
            <v>-64</v>
          </cell>
          <cell r="U243" t="str">
            <v>Pièces</v>
          </cell>
          <cell r="V243" t="str">
            <v>Pièces Ro Clients</v>
          </cell>
          <cell r="W243" t="str">
            <v>NB</v>
          </cell>
          <cell r="X243">
            <v>0</v>
          </cell>
        </row>
        <row r="244">
          <cell r="C244">
            <v>-28861.34</v>
          </cell>
          <cell r="O244">
            <v>-7241.48</v>
          </cell>
          <cell r="U244" t="str">
            <v>Pièces</v>
          </cell>
          <cell r="V244" t="str">
            <v>Pièces Ro Clients</v>
          </cell>
          <cell r="W244" t="str">
            <v>$</v>
          </cell>
          <cell r="X244" t="str">
            <v>Oui</v>
          </cell>
        </row>
        <row r="245">
          <cell r="O245">
            <v>-18</v>
          </cell>
          <cell r="U245" t="str">
            <v>Pièces</v>
          </cell>
          <cell r="V245" t="str">
            <v>Pièces Ro Clients</v>
          </cell>
          <cell r="W245" t="str">
            <v>NB</v>
          </cell>
          <cell r="X245">
            <v>0</v>
          </cell>
        </row>
        <row r="246">
          <cell r="C246">
            <v>-87916.26</v>
          </cell>
          <cell r="O246">
            <v>-16644.04</v>
          </cell>
          <cell r="U246" t="str">
            <v>Pièces</v>
          </cell>
          <cell r="V246" t="str">
            <v>Pièces Ro Carrosserie</v>
          </cell>
          <cell r="W246" t="str">
            <v>$</v>
          </cell>
          <cell r="X246" t="str">
            <v>Oui</v>
          </cell>
        </row>
        <row r="247">
          <cell r="O247">
            <v>-23</v>
          </cell>
          <cell r="U247" t="str">
            <v>Pièces</v>
          </cell>
          <cell r="V247" t="str">
            <v>Pièces Ro Carrosserie</v>
          </cell>
          <cell r="W247" t="str">
            <v>NB</v>
          </cell>
          <cell r="X247">
            <v>0</v>
          </cell>
        </row>
        <row r="248">
          <cell r="C248">
            <v>-166124.04999999999</v>
          </cell>
          <cell r="O248">
            <v>-42685.29</v>
          </cell>
          <cell r="U248" t="str">
            <v>Pièces</v>
          </cell>
          <cell r="V248" t="str">
            <v>Pièces Ro Carrosserie</v>
          </cell>
          <cell r="W248" t="str">
            <v>$</v>
          </cell>
          <cell r="X248" t="str">
            <v>Oui</v>
          </cell>
        </row>
        <row r="249">
          <cell r="O249">
            <v>-31</v>
          </cell>
          <cell r="U249" t="str">
            <v>Pièces</v>
          </cell>
          <cell r="V249" t="str">
            <v>Pièces Ro Carrosserie</v>
          </cell>
          <cell r="W249" t="str">
            <v>NB</v>
          </cell>
          <cell r="X249">
            <v>0</v>
          </cell>
        </row>
        <row r="250">
          <cell r="C250">
            <v>-4565</v>
          </cell>
          <cell r="O250">
            <v>-2625.9</v>
          </cell>
          <cell r="U250" t="str">
            <v>Pièces</v>
          </cell>
          <cell r="V250" t="str">
            <v>Pièces Ro Carrosserie</v>
          </cell>
          <cell r="W250" t="str">
            <v>$</v>
          </cell>
          <cell r="X250" t="str">
            <v>Oui</v>
          </cell>
        </row>
        <row r="251">
          <cell r="O251">
            <v>-7</v>
          </cell>
          <cell r="U251" t="str">
            <v>Pièces</v>
          </cell>
          <cell r="V251" t="str">
            <v>Pièces Ro Carrosserie</v>
          </cell>
          <cell r="W251" t="str">
            <v>NB</v>
          </cell>
          <cell r="X251">
            <v>0</v>
          </cell>
        </row>
        <row r="252">
          <cell r="C252">
            <v>-43885.02</v>
          </cell>
          <cell r="O252">
            <v>-15606.28</v>
          </cell>
          <cell r="U252" t="str">
            <v>Pièces</v>
          </cell>
          <cell r="V252" t="str">
            <v>Ventes Détails</v>
          </cell>
          <cell r="W252" t="str">
            <v>$</v>
          </cell>
          <cell r="X252" t="str">
            <v>Oui</v>
          </cell>
        </row>
        <row r="253">
          <cell r="O253">
            <v>-211</v>
          </cell>
          <cell r="U253" t="str">
            <v>Pièces</v>
          </cell>
          <cell r="V253" t="str">
            <v>Ventes Détails</v>
          </cell>
          <cell r="W253" t="str">
            <v>NB</v>
          </cell>
          <cell r="X253">
            <v>0</v>
          </cell>
        </row>
        <row r="254">
          <cell r="C254">
            <v>-194012.54</v>
          </cell>
          <cell r="O254">
            <v>-54996.95</v>
          </cell>
          <cell r="U254" t="str">
            <v>Pièces</v>
          </cell>
          <cell r="V254" t="str">
            <v>Ventes de Gros</v>
          </cell>
          <cell r="W254" t="str">
            <v>$</v>
          </cell>
          <cell r="X254" t="str">
            <v>Oui</v>
          </cell>
        </row>
        <row r="255">
          <cell r="O255">
            <v>-262</v>
          </cell>
          <cell r="U255" t="str">
            <v>Pièces</v>
          </cell>
          <cell r="V255" t="str">
            <v>Ventes de Gros</v>
          </cell>
          <cell r="W255" t="str">
            <v>NB</v>
          </cell>
          <cell r="X255">
            <v>0</v>
          </cell>
        </row>
        <row r="256">
          <cell r="C256">
            <v>-130850.46</v>
          </cell>
          <cell r="O256">
            <v>-34672.89</v>
          </cell>
          <cell r="U256" t="str">
            <v>Pièces</v>
          </cell>
          <cell r="V256" t="str">
            <v>Ventes Pneus</v>
          </cell>
          <cell r="W256" t="str">
            <v>$</v>
          </cell>
          <cell r="X256" t="str">
            <v>Oui</v>
          </cell>
        </row>
        <row r="257">
          <cell r="O257">
            <v>-26</v>
          </cell>
          <cell r="U257" t="str">
            <v>Pièces</v>
          </cell>
          <cell r="V257" t="str">
            <v>Ventes Pneus</v>
          </cell>
          <cell r="W257" t="str">
            <v>NB</v>
          </cell>
          <cell r="X257">
            <v>0</v>
          </cell>
        </row>
        <row r="258">
          <cell r="C258">
            <v>-820.79</v>
          </cell>
          <cell r="O258">
            <v>0</v>
          </cell>
          <cell r="U258" t="str">
            <v>Pièces</v>
          </cell>
          <cell r="V258" t="str">
            <v>Ventes Pneus</v>
          </cell>
          <cell r="W258" t="str">
            <v>$</v>
          </cell>
          <cell r="X258" t="str">
            <v>Oui</v>
          </cell>
        </row>
        <row r="259">
          <cell r="C259">
            <v>324554.5</v>
          </cell>
          <cell r="O259">
            <v>73837.919999999998</v>
          </cell>
          <cell r="U259" t="str">
            <v>Véhicules neufs</v>
          </cell>
          <cell r="V259" t="str">
            <v>Rachat bail</v>
          </cell>
          <cell r="W259" t="str">
            <v>$</v>
          </cell>
          <cell r="X259">
            <v>0</v>
          </cell>
        </row>
        <row r="260">
          <cell r="C260">
            <v>380398.01</v>
          </cell>
          <cell r="O260">
            <v>83683.070000000007</v>
          </cell>
          <cell r="U260" t="str">
            <v>Véhicules neufs</v>
          </cell>
          <cell r="V260" t="str">
            <v>Autos détail</v>
          </cell>
          <cell r="W260" t="str">
            <v>$</v>
          </cell>
          <cell r="X260">
            <v>0</v>
          </cell>
        </row>
        <row r="261">
          <cell r="C261">
            <v>104779.37</v>
          </cell>
          <cell r="O261">
            <v>0</v>
          </cell>
          <cell r="U261" t="str">
            <v>Véhicules neufs</v>
          </cell>
          <cell r="V261" t="str">
            <v>Autos détail</v>
          </cell>
          <cell r="W261" t="str">
            <v>$</v>
          </cell>
          <cell r="X261">
            <v>0</v>
          </cell>
        </row>
        <row r="262">
          <cell r="C262">
            <v>777370.92</v>
          </cell>
          <cell r="O262">
            <v>285204.14</v>
          </cell>
          <cell r="U262" t="str">
            <v>Véhicules neufs</v>
          </cell>
          <cell r="V262" t="str">
            <v>Autos détail</v>
          </cell>
          <cell r="W262" t="str">
            <v>$</v>
          </cell>
          <cell r="X262">
            <v>0</v>
          </cell>
        </row>
        <row r="263">
          <cell r="C263">
            <v>431039.27</v>
          </cell>
          <cell r="O263">
            <v>221094.06</v>
          </cell>
          <cell r="U263" t="str">
            <v>Véhicules neufs</v>
          </cell>
          <cell r="V263" t="str">
            <v>Autos détail</v>
          </cell>
          <cell r="W263" t="str">
            <v>$</v>
          </cell>
          <cell r="X263">
            <v>0</v>
          </cell>
        </row>
        <row r="264">
          <cell r="C264">
            <v>1850260.97</v>
          </cell>
          <cell r="O264">
            <v>546744.31999999995</v>
          </cell>
          <cell r="U264" t="str">
            <v>Véhicules neufs</v>
          </cell>
          <cell r="V264" t="str">
            <v>Autos détail</v>
          </cell>
          <cell r="W264" t="str">
            <v>$</v>
          </cell>
          <cell r="X264">
            <v>0</v>
          </cell>
        </row>
        <row r="265">
          <cell r="C265">
            <v>591519.52</v>
          </cell>
          <cell r="O265">
            <v>215373.84</v>
          </cell>
          <cell r="U265" t="str">
            <v>Véhicules neufs</v>
          </cell>
          <cell r="V265" t="str">
            <v>Autos détail</v>
          </cell>
          <cell r="W265" t="str">
            <v>$</v>
          </cell>
          <cell r="X265">
            <v>0</v>
          </cell>
        </row>
        <row r="266">
          <cell r="C266">
            <v>37395.17</v>
          </cell>
          <cell r="O266">
            <v>0</v>
          </cell>
          <cell r="U266" t="str">
            <v>Véhicules neufs</v>
          </cell>
          <cell r="V266" t="str">
            <v>Autos détail</v>
          </cell>
          <cell r="W266" t="str">
            <v>$</v>
          </cell>
          <cell r="X266">
            <v>0</v>
          </cell>
        </row>
        <row r="267">
          <cell r="C267">
            <v>1132497.72</v>
          </cell>
          <cell r="O267">
            <v>161531.4</v>
          </cell>
          <cell r="U267" t="str">
            <v>Véhicules neufs</v>
          </cell>
          <cell r="V267" t="str">
            <v>Camions détail</v>
          </cell>
          <cell r="W267" t="str">
            <v>$</v>
          </cell>
          <cell r="X267">
            <v>0</v>
          </cell>
        </row>
        <row r="268">
          <cell r="C268">
            <v>218321.51</v>
          </cell>
          <cell r="O268">
            <v>174594.43</v>
          </cell>
          <cell r="U268" t="str">
            <v>Véhicules neufs</v>
          </cell>
          <cell r="V268" t="str">
            <v>Autos détail</v>
          </cell>
          <cell r="W268" t="str">
            <v>$</v>
          </cell>
          <cell r="X268">
            <v>0</v>
          </cell>
        </row>
        <row r="269">
          <cell r="C269">
            <v>3429157.95</v>
          </cell>
          <cell r="O269">
            <v>719556.64</v>
          </cell>
          <cell r="U269" t="str">
            <v>Véhicules neufs</v>
          </cell>
          <cell r="V269" t="str">
            <v>Camions détail</v>
          </cell>
          <cell r="W269" t="str">
            <v>$</v>
          </cell>
          <cell r="X269">
            <v>0</v>
          </cell>
        </row>
        <row r="270">
          <cell r="C270">
            <v>386422.51</v>
          </cell>
          <cell r="O270">
            <v>90624.33</v>
          </cell>
          <cell r="U270" t="str">
            <v>Véhicules neufs</v>
          </cell>
          <cell r="V270" t="str">
            <v>Autos détail</v>
          </cell>
          <cell r="W270" t="str">
            <v>$</v>
          </cell>
          <cell r="X270">
            <v>0</v>
          </cell>
        </row>
        <row r="271">
          <cell r="C271">
            <v>0</v>
          </cell>
          <cell r="O271">
            <v>132536.84</v>
          </cell>
          <cell r="U271" t="str">
            <v>Véhicules neufs</v>
          </cell>
          <cell r="V271" t="str">
            <v>Flottes</v>
          </cell>
          <cell r="W271" t="str">
            <v>$</v>
          </cell>
          <cell r="X271">
            <v>0</v>
          </cell>
        </row>
        <row r="272">
          <cell r="C272">
            <v>0</v>
          </cell>
          <cell r="O272">
            <v>394409.49</v>
          </cell>
          <cell r="U272" t="str">
            <v>Véhicules neufs</v>
          </cell>
          <cell r="V272" t="str">
            <v>Ex-Démos et courtoisies</v>
          </cell>
          <cell r="W272" t="str">
            <v>$</v>
          </cell>
          <cell r="X272">
            <v>0</v>
          </cell>
        </row>
        <row r="273">
          <cell r="C273">
            <v>1537608.75</v>
          </cell>
          <cell r="O273">
            <v>541135.61</v>
          </cell>
          <cell r="U273" t="str">
            <v>Véhicules usagés</v>
          </cell>
          <cell r="V273" t="str">
            <v>Non Certifié</v>
          </cell>
          <cell r="W273" t="str">
            <v>$</v>
          </cell>
          <cell r="X273">
            <v>0</v>
          </cell>
        </row>
        <row r="274">
          <cell r="C274">
            <v>132485.22</v>
          </cell>
          <cell r="O274">
            <v>47681.120000000003</v>
          </cell>
          <cell r="U274" t="str">
            <v>Véhicules usagés</v>
          </cell>
          <cell r="V274" t="str">
            <v>Non Certifié</v>
          </cell>
          <cell r="W274" t="str">
            <v>$</v>
          </cell>
          <cell r="X274">
            <v>0</v>
          </cell>
        </row>
        <row r="275">
          <cell r="C275">
            <v>391229.47</v>
          </cell>
          <cell r="O275">
            <v>113523.08</v>
          </cell>
          <cell r="U275" t="str">
            <v>Véhicules usagés</v>
          </cell>
          <cell r="V275" t="str">
            <v>Non Certifié</v>
          </cell>
          <cell r="W275" t="str">
            <v>$</v>
          </cell>
          <cell r="X275">
            <v>0</v>
          </cell>
        </row>
        <row r="276">
          <cell r="C276">
            <v>31480.91</v>
          </cell>
          <cell r="O276">
            <v>9279.4699999999993</v>
          </cell>
          <cell r="U276" t="str">
            <v>Véhicules usagés</v>
          </cell>
          <cell r="V276" t="str">
            <v>Non Certifié</v>
          </cell>
          <cell r="W276" t="str">
            <v>$</v>
          </cell>
          <cell r="X276">
            <v>0</v>
          </cell>
        </row>
        <row r="277">
          <cell r="C277">
            <v>643363.26</v>
          </cell>
          <cell r="O277">
            <v>378133.87</v>
          </cell>
          <cell r="U277" t="str">
            <v>Véhicules usagés</v>
          </cell>
          <cell r="V277" t="str">
            <v>Ventes au Gros</v>
          </cell>
          <cell r="W277" t="str">
            <v>$</v>
          </cell>
          <cell r="X277">
            <v>0</v>
          </cell>
        </row>
        <row r="278">
          <cell r="C278">
            <v>98085.71</v>
          </cell>
          <cell r="O278">
            <v>35960.67</v>
          </cell>
          <cell r="U278" t="str">
            <v>Service</v>
          </cell>
          <cell r="V278" t="str">
            <v>M/O Client</v>
          </cell>
          <cell r="W278" t="str">
            <v>$</v>
          </cell>
          <cell r="X278">
            <v>0</v>
          </cell>
        </row>
        <row r="279">
          <cell r="C279">
            <v>30.6</v>
          </cell>
          <cell r="O279">
            <v>0</v>
          </cell>
          <cell r="U279" t="str">
            <v>Service</v>
          </cell>
          <cell r="V279" t="str">
            <v>M/O Esthétique</v>
          </cell>
          <cell r="W279" t="str">
            <v>$</v>
          </cell>
          <cell r="X279">
            <v>0</v>
          </cell>
        </row>
        <row r="280">
          <cell r="C280">
            <v>74798.429999999993</v>
          </cell>
          <cell r="O280">
            <v>32287.05</v>
          </cell>
          <cell r="U280" t="str">
            <v>Service</v>
          </cell>
          <cell r="V280" t="str">
            <v>M/O Garantie</v>
          </cell>
          <cell r="W280" t="str">
            <v>$</v>
          </cell>
          <cell r="X280">
            <v>0</v>
          </cell>
        </row>
        <row r="281">
          <cell r="C281">
            <v>49579.46</v>
          </cell>
          <cell r="O281">
            <v>16929.3</v>
          </cell>
          <cell r="U281" t="str">
            <v>Service</v>
          </cell>
          <cell r="V281" t="str">
            <v>M/O Interne</v>
          </cell>
          <cell r="W281" t="str">
            <v>$</v>
          </cell>
          <cell r="X281">
            <v>0</v>
          </cell>
        </row>
        <row r="282">
          <cell r="C282">
            <v>13067.14</v>
          </cell>
          <cell r="O282">
            <v>6115.94</v>
          </cell>
          <cell r="U282" t="str">
            <v>Service</v>
          </cell>
          <cell r="V282" t="str">
            <v>Ajustement M/O</v>
          </cell>
          <cell r="W282" t="str">
            <v>$</v>
          </cell>
          <cell r="X282">
            <v>0</v>
          </cell>
        </row>
        <row r="283">
          <cell r="C283">
            <v>44147.839999999997</v>
          </cell>
          <cell r="O283">
            <v>15635</v>
          </cell>
          <cell r="U283" t="str">
            <v>Pièces</v>
          </cell>
          <cell r="V283" t="str">
            <v>Huiles et Graisse</v>
          </cell>
          <cell r="W283" t="str">
            <v>$</v>
          </cell>
          <cell r="X283">
            <v>0</v>
          </cell>
        </row>
        <row r="284">
          <cell r="C284">
            <v>13196.59</v>
          </cell>
          <cell r="O284">
            <v>5562.15</v>
          </cell>
          <cell r="U284" t="str">
            <v>Service</v>
          </cell>
          <cell r="V284" t="str">
            <v>Sous-traitement</v>
          </cell>
          <cell r="W284" t="str">
            <v>$</v>
          </cell>
          <cell r="X284">
            <v>0</v>
          </cell>
        </row>
        <row r="285">
          <cell r="C285">
            <v>4822.46</v>
          </cell>
          <cell r="O285">
            <v>1670.2</v>
          </cell>
          <cell r="U285" t="str">
            <v>Service</v>
          </cell>
          <cell r="V285" t="str">
            <v>Sous-traitement</v>
          </cell>
          <cell r="W285" t="str">
            <v>$</v>
          </cell>
          <cell r="X285">
            <v>0</v>
          </cell>
        </row>
        <row r="286">
          <cell r="C286">
            <v>78967.88</v>
          </cell>
          <cell r="O286">
            <v>32752.35</v>
          </cell>
          <cell r="U286" t="str">
            <v>Service</v>
          </cell>
          <cell r="V286" t="str">
            <v>Sous-traitement</v>
          </cell>
          <cell r="W286" t="str">
            <v>$</v>
          </cell>
          <cell r="X286">
            <v>0</v>
          </cell>
        </row>
        <row r="287">
          <cell r="C287">
            <v>104468.44</v>
          </cell>
          <cell r="O287">
            <v>24633.03</v>
          </cell>
          <cell r="U287" t="str">
            <v>Carrosserie</v>
          </cell>
          <cell r="V287" t="str">
            <v>M/O Sous-traitement</v>
          </cell>
          <cell r="W287" t="str">
            <v>$</v>
          </cell>
          <cell r="X287">
            <v>0</v>
          </cell>
        </row>
        <row r="288">
          <cell r="C288">
            <v>200926.58</v>
          </cell>
          <cell r="O288">
            <v>63304.4</v>
          </cell>
          <cell r="U288" t="str">
            <v>Carrosserie</v>
          </cell>
          <cell r="V288" t="str">
            <v>M/O Sous-traitement</v>
          </cell>
          <cell r="W288" t="str">
            <v>$</v>
          </cell>
          <cell r="X288">
            <v>0</v>
          </cell>
        </row>
        <row r="289">
          <cell r="C289">
            <v>24823.39</v>
          </cell>
          <cell r="O289">
            <v>12606.71</v>
          </cell>
          <cell r="U289" t="str">
            <v>Carrosserie</v>
          </cell>
          <cell r="V289" t="str">
            <v>M/O Sous-traitement</v>
          </cell>
          <cell r="W289" t="str">
            <v>$</v>
          </cell>
          <cell r="X289">
            <v>0</v>
          </cell>
        </row>
        <row r="290">
          <cell r="C290">
            <v>154513.22</v>
          </cell>
          <cell r="O290">
            <v>35480.92</v>
          </cell>
          <cell r="U290" t="str">
            <v>Pièces</v>
          </cell>
          <cell r="V290" t="str">
            <v>Pièces Ro Clients</v>
          </cell>
          <cell r="W290" t="str">
            <v>$</v>
          </cell>
          <cell r="X290">
            <v>0</v>
          </cell>
        </row>
        <row r="291">
          <cell r="C291">
            <v>227349.45</v>
          </cell>
          <cell r="O291">
            <v>84998.080000000002</v>
          </cell>
          <cell r="U291" t="str">
            <v>Pièces</v>
          </cell>
          <cell r="V291" t="str">
            <v>P/A Garantie</v>
          </cell>
          <cell r="W291" t="str">
            <v>$</v>
          </cell>
          <cell r="X291">
            <v>0</v>
          </cell>
        </row>
        <row r="292">
          <cell r="C292">
            <v>93513.37</v>
          </cell>
          <cell r="O292">
            <v>36449.31</v>
          </cell>
          <cell r="U292" t="str">
            <v>Pièces</v>
          </cell>
          <cell r="V292" t="str">
            <v>Ventes Internes</v>
          </cell>
          <cell r="W292" t="str">
            <v>$</v>
          </cell>
          <cell r="X292">
            <v>0</v>
          </cell>
        </row>
        <row r="293">
          <cell r="C293">
            <v>8887.35</v>
          </cell>
          <cell r="O293">
            <v>2579.8200000000002</v>
          </cell>
          <cell r="U293" t="str">
            <v>Pièces</v>
          </cell>
          <cell r="V293" t="str">
            <v>Pièces Ro Clients</v>
          </cell>
          <cell r="W293" t="str">
            <v>$</v>
          </cell>
          <cell r="X293">
            <v>0</v>
          </cell>
        </row>
        <row r="294">
          <cell r="C294">
            <v>27263.96</v>
          </cell>
          <cell r="O294">
            <v>6831.55</v>
          </cell>
          <cell r="U294" t="str">
            <v>Pièces</v>
          </cell>
          <cell r="V294" t="str">
            <v>Pièces Ro Clients</v>
          </cell>
          <cell r="W294" t="str">
            <v>$</v>
          </cell>
          <cell r="X294">
            <v>0</v>
          </cell>
        </row>
        <row r="295">
          <cell r="C295">
            <v>60833.120000000003</v>
          </cell>
          <cell r="O295">
            <v>10808.29</v>
          </cell>
          <cell r="U295" t="str">
            <v>Pièces</v>
          </cell>
          <cell r="V295" t="str">
            <v>Pièces Ro Carrosserie</v>
          </cell>
          <cell r="W295" t="str">
            <v>$</v>
          </cell>
          <cell r="X295">
            <v>0</v>
          </cell>
        </row>
        <row r="296">
          <cell r="C296">
            <v>127763.1</v>
          </cell>
          <cell r="O296">
            <v>32738</v>
          </cell>
          <cell r="U296" t="str">
            <v>Pièces</v>
          </cell>
          <cell r="V296" t="str">
            <v>Pièces Ro Carrosserie</v>
          </cell>
          <cell r="W296" t="str">
            <v>$</v>
          </cell>
          <cell r="X296">
            <v>0</v>
          </cell>
        </row>
        <row r="297">
          <cell r="C297">
            <v>3069.03</v>
          </cell>
          <cell r="O297">
            <v>1764.58</v>
          </cell>
          <cell r="U297" t="str">
            <v>Pièces</v>
          </cell>
          <cell r="V297" t="str">
            <v>Pièces Ro Carrosserie</v>
          </cell>
          <cell r="W297" t="str">
            <v>$</v>
          </cell>
          <cell r="X297">
            <v>0</v>
          </cell>
        </row>
        <row r="298">
          <cell r="C298">
            <v>30812.45</v>
          </cell>
          <cell r="O298">
            <v>10942.97</v>
          </cell>
          <cell r="U298" t="str">
            <v>Pièces</v>
          </cell>
          <cell r="V298" t="str">
            <v>Ventes Détails</v>
          </cell>
          <cell r="W298" t="str">
            <v>$</v>
          </cell>
          <cell r="X298">
            <v>0</v>
          </cell>
        </row>
        <row r="299">
          <cell r="C299">
            <v>158135.85</v>
          </cell>
          <cell r="O299">
            <v>43685.65</v>
          </cell>
          <cell r="U299" t="str">
            <v>Pièces</v>
          </cell>
          <cell r="V299" t="str">
            <v>Ventes de Gros</v>
          </cell>
          <cell r="W299" t="str">
            <v>$</v>
          </cell>
          <cell r="X299">
            <v>0</v>
          </cell>
        </row>
        <row r="300">
          <cell r="C300">
            <v>105387.56</v>
          </cell>
          <cell r="O300">
            <v>28690.17</v>
          </cell>
          <cell r="U300" t="str">
            <v>Pièces</v>
          </cell>
          <cell r="V300" t="str">
            <v>Ventes Pneus</v>
          </cell>
          <cell r="W300" t="str">
            <v>$</v>
          </cell>
          <cell r="X300">
            <v>0</v>
          </cell>
        </row>
        <row r="301">
          <cell r="C301">
            <v>703.28</v>
          </cell>
          <cell r="O301">
            <v>0</v>
          </cell>
          <cell r="U301" t="str">
            <v>Pièces</v>
          </cell>
          <cell r="V301" t="str">
            <v>Ventes Pneus</v>
          </cell>
          <cell r="W301" t="str">
            <v>$</v>
          </cell>
          <cell r="X301">
            <v>0</v>
          </cell>
        </row>
        <row r="302">
          <cell r="C302">
            <v>-45672.45</v>
          </cell>
          <cell r="O302">
            <v>-3973.99</v>
          </cell>
          <cell r="U302" t="str">
            <v>Pièces</v>
          </cell>
          <cell r="V302" t="str">
            <v>Escomptes</v>
          </cell>
          <cell r="W302" t="str">
            <v>$</v>
          </cell>
          <cell r="X302">
            <v>0</v>
          </cell>
        </row>
        <row r="303">
          <cell r="C303">
            <v>118949.52</v>
          </cell>
          <cell r="O303">
            <v>39040.51</v>
          </cell>
          <cell r="U303" t="str">
            <v>Véhicules neufs</v>
          </cell>
          <cell r="V303" t="str">
            <v>Comm. vendeurs</v>
          </cell>
          <cell r="W303" t="str">
            <v>$</v>
          </cell>
          <cell r="X303">
            <v>0</v>
          </cell>
        </row>
        <row r="304">
          <cell r="C304">
            <v>61801.56</v>
          </cell>
          <cell r="O304">
            <v>21559.83</v>
          </cell>
          <cell r="U304" t="str">
            <v>Véhicules neufs</v>
          </cell>
          <cell r="V304" t="str">
            <v>Comm. F&amp;I</v>
          </cell>
          <cell r="W304" t="str">
            <v>$</v>
          </cell>
          <cell r="X304">
            <v>0</v>
          </cell>
        </row>
        <row r="305">
          <cell r="C305">
            <v>1825.96</v>
          </cell>
          <cell r="O305">
            <v>336.14</v>
          </cell>
          <cell r="U305" t="str">
            <v>Véhicules neufs</v>
          </cell>
          <cell r="V305" t="str">
            <v>Service gratuit 1</v>
          </cell>
          <cell r="W305" t="str">
            <v>$</v>
          </cell>
          <cell r="X305">
            <v>0</v>
          </cell>
        </row>
        <row r="306">
          <cell r="C306">
            <v>9694.77</v>
          </cell>
          <cell r="O306">
            <v>2184.17</v>
          </cell>
          <cell r="U306" t="str">
            <v>Véhicules neufs</v>
          </cell>
          <cell r="V306" t="str">
            <v>Entretien stock</v>
          </cell>
          <cell r="W306" t="str">
            <v>$</v>
          </cell>
          <cell r="X306">
            <v>0</v>
          </cell>
        </row>
        <row r="307">
          <cell r="C307">
            <v>75073.850000000006</v>
          </cell>
          <cell r="O307">
            <v>21422.31</v>
          </cell>
          <cell r="U307" t="str">
            <v>Véhicules neufs</v>
          </cell>
          <cell r="V307" t="str">
            <v>Intérêt de gros</v>
          </cell>
          <cell r="W307" t="str">
            <v>$</v>
          </cell>
          <cell r="X307">
            <v>0</v>
          </cell>
        </row>
        <row r="308">
          <cell r="C308">
            <v>43779.45</v>
          </cell>
          <cell r="O308">
            <v>11557.39</v>
          </cell>
          <cell r="U308" t="str">
            <v>Véhicules neufs</v>
          </cell>
          <cell r="V308" t="str">
            <v>Frais de livraison</v>
          </cell>
          <cell r="W308" t="str">
            <v>$</v>
          </cell>
          <cell r="X308">
            <v>0</v>
          </cell>
        </row>
        <row r="309">
          <cell r="C309">
            <v>49980</v>
          </cell>
          <cell r="O309">
            <v>17000</v>
          </cell>
          <cell r="U309" t="str">
            <v>Véhicules neufs</v>
          </cell>
          <cell r="V309" t="str">
            <v>Publicité 1</v>
          </cell>
          <cell r="W309" t="str">
            <v>$</v>
          </cell>
          <cell r="X309">
            <v>0</v>
          </cell>
        </row>
        <row r="310">
          <cell r="C310">
            <v>-27800</v>
          </cell>
          <cell r="O310">
            <v>-8800</v>
          </cell>
          <cell r="U310" t="str">
            <v>Véhicules neufs</v>
          </cell>
          <cell r="V310" t="str">
            <v>Publicité 1</v>
          </cell>
          <cell r="W310" t="str">
            <v>$</v>
          </cell>
          <cell r="X310">
            <v>0</v>
          </cell>
        </row>
        <row r="311">
          <cell r="C311">
            <v>10412.32</v>
          </cell>
          <cell r="O311">
            <v>3339.76</v>
          </cell>
          <cell r="U311" t="str">
            <v>Véhicules neufs</v>
          </cell>
          <cell r="V311" t="str">
            <v>Salaires propriétaire</v>
          </cell>
          <cell r="W311" t="str">
            <v>$</v>
          </cell>
          <cell r="X311">
            <v>0</v>
          </cell>
        </row>
        <row r="312">
          <cell r="C312">
            <v>90031.16</v>
          </cell>
          <cell r="O312">
            <v>20435.45</v>
          </cell>
          <cell r="U312" t="str">
            <v>Véhicules neufs</v>
          </cell>
          <cell r="V312" t="str">
            <v>Salaires cadres</v>
          </cell>
          <cell r="W312" t="str">
            <v>$</v>
          </cell>
          <cell r="X312">
            <v>0</v>
          </cell>
        </row>
        <row r="313">
          <cell r="C313">
            <v>35984.21</v>
          </cell>
          <cell r="O313">
            <v>8999.0300000000007</v>
          </cell>
          <cell r="U313" t="str">
            <v>Véhicules neufs</v>
          </cell>
          <cell r="V313" t="str">
            <v>Salaires commis</v>
          </cell>
          <cell r="W313" t="str">
            <v>$</v>
          </cell>
          <cell r="X313">
            <v>0</v>
          </cell>
        </row>
        <row r="314">
          <cell r="C314">
            <v>24430.02</v>
          </cell>
          <cell r="O314">
            <v>6801.44</v>
          </cell>
          <cell r="U314" t="str">
            <v>Véhicules neufs</v>
          </cell>
          <cell r="V314" t="str">
            <v>Salaires autres</v>
          </cell>
          <cell r="W314" t="str">
            <v>$</v>
          </cell>
          <cell r="X314">
            <v>0</v>
          </cell>
        </row>
        <row r="315">
          <cell r="C315">
            <v>51612.74</v>
          </cell>
          <cell r="O315">
            <v>14250.71</v>
          </cell>
          <cell r="U315" t="str">
            <v>Véhicules neufs</v>
          </cell>
          <cell r="V315" t="str">
            <v>Salaires en absences</v>
          </cell>
          <cell r="W315" t="str">
            <v>$</v>
          </cell>
          <cell r="X315">
            <v>0</v>
          </cell>
        </row>
        <row r="316">
          <cell r="C316">
            <v>11677.81</v>
          </cell>
          <cell r="O316">
            <v>2822.32</v>
          </cell>
          <cell r="U316" t="str">
            <v>Véhicules neufs</v>
          </cell>
          <cell r="V316" t="str">
            <v>Csst</v>
          </cell>
          <cell r="W316" t="str">
            <v>$</v>
          </cell>
          <cell r="X316">
            <v>0</v>
          </cell>
        </row>
        <row r="317">
          <cell r="C317">
            <v>45542.39</v>
          </cell>
          <cell r="O317">
            <v>12500.8</v>
          </cell>
          <cell r="U317" t="str">
            <v>Véhicules neufs</v>
          </cell>
          <cell r="V317" t="str">
            <v>Déduction à la source</v>
          </cell>
          <cell r="W317" t="str">
            <v>$</v>
          </cell>
          <cell r="X317">
            <v>0</v>
          </cell>
        </row>
        <row r="318">
          <cell r="C318">
            <v>31288.11</v>
          </cell>
          <cell r="O318">
            <v>8350.9500000000007</v>
          </cell>
          <cell r="U318" t="str">
            <v>Véhicules neufs</v>
          </cell>
          <cell r="V318" t="str">
            <v>Bénéfices marginaux</v>
          </cell>
          <cell r="W318" t="str">
            <v>$</v>
          </cell>
          <cell r="X318">
            <v>0</v>
          </cell>
        </row>
        <row r="319">
          <cell r="C319">
            <v>882</v>
          </cell>
          <cell r="O319">
            <v>300</v>
          </cell>
          <cell r="U319" t="str">
            <v>Véhicules neufs</v>
          </cell>
          <cell r="V319" t="str">
            <v>Fournitures autres</v>
          </cell>
          <cell r="W319" t="str">
            <v>$</v>
          </cell>
          <cell r="X319">
            <v>0</v>
          </cell>
        </row>
        <row r="320">
          <cell r="C320">
            <v>140</v>
          </cell>
          <cell r="O320">
            <v>35</v>
          </cell>
          <cell r="U320" t="str">
            <v>Véhicules neufs</v>
          </cell>
          <cell r="V320" t="str">
            <v>Uniformes</v>
          </cell>
          <cell r="W320" t="str">
            <v>$</v>
          </cell>
          <cell r="X320">
            <v>0</v>
          </cell>
        </row>
        <row r="321">
          <cell r="C321">
            <v>18223.32</v>
          </cell>
          <cell r="O321">
            <v>4555.83</v>
          </cell>
          <cell r="U321" t="str">
            <v>Véhicules neufs</v>
          </cell>
          <cell r="V321" t="str">
            <v>Formation</v>
          </cell>
          <cell r="W321" t="str">
            <v>$</v>
          </cell>
          <cell r="X321">
            <v>0</v>
          </cell>
        </row>
        <row r="322">
          <cell r="C322">
            <v>50236.09</v>
          </cell>
          <cell r="O322">
            <v>18900.59</v>
          </cell>
          <cell r="U322" t="str">
            <v>Véhicules neufs</v>
          </cell>
          <cell r="V322" t="str">
            <v>Frais véhicules de cie</v>
          </cell>
          <cell r="W322" t="str">
            <v>$</v>
          </cell>
          <cell r="X322">
            <v>0</v>
          </cell>
        </row>
        <row r="323">
          <cell r="C323">
            <v>562.6</v>
          </cell>
          <cell r="O323">
            <v>81.69</v>
          </cell>
          <cell r="U323" t="str">
            <v>Véhicules neufs</v>
          </cell>
          <cell r="V323" t="str">
            <v>Frais postaux</v>
          </cell>
          <cell r="W323" t="str">
            <v>$</v>
          </cell>
          <cell r="X323">
            <v>0</v>
          </cell>
        </row>
        <row r="324">
          <cell r="C324">
            <v>27909.93</v>
          </cell>
          <cell r="O324">
            <v>6161.29</v>
          </cell>
          <cell r="U324" t="str">
            <v>Véhicules neufs</v>
          </cell>
          <cell r="V324" t="str">
            <v>Informatique</v>
          </cell>
          <cell r="W324" t="str">
            <v>$</v>
          </cell>
          <cell r="X324">
            <v>0</v>
          </cell>
        </row>
        <row r="325">
          <cell r="C325">
            <v>2368</v>
          </cell>
          <cell r="O325">
            <v>592</v>
          </cell>
          <cell r="U325" t="str">
            <v>Véhicules neufs</v>
          </cell>
          <cell r="V325" t="str">
            <v>Papeterie</v>
          </cell>
          <cell r="W325" t="str">
            <v>$</v>
          </cell>
          <cell r="X325">
            <v>0</v>
          </cell>
        </row>
        <row r="326">
          <cell r="C326">
            <v>2153.1999999999998</v>
          </cell>
          <cell r="O326">
            <v>520.07000000000005</v>
          </cell>
          <cell r="U326" t="str">
            <v>Véhicules neufs</v>
          </cell>
          <cell r="V326" t="str">
            <v>Téléphone</v>
          </cell>
          <cell r="W326" t="str">
            <v>$</v>
          </cell>
          <cell r="X326">
            <v>0</v>
          </cell>
        </row>
        <row r="327">
          <cell r="C327">
            <v>6910.12</v>
          </cell>
          <cell r="O327">
            <v>1720.31</v>
          </cell>
          <cell r="U327" t="str">
            <v>Véhicules neufs</v>
          </cell>
          <cell r="V327" t="str">
            <v>Divers</v>
          </cell>
          <cell r="W327" t="str">
            <v>$</v>
          </cell>
          <cell r="X327">
            <v>0</v>
          </cell>
        </row>
        <row r="328">
          <cell r="C328">
            <v>7778.56</v>
          </cell>
          <cell r="O328">
            <v>1944.64</v>
          </cell>
          <cell r="U328" t="str">
            <v>Véhicules neufs</v>
          </cell>
          <cell r="V328" t="str">
            <v>Frais de déplacement</v>
          </cell>
          <cell r="W328" t="str">
            <v>$</v>
          </cell>
          <cell r="X328">
            <v>0</v>
          </cell>
        </row>
        <row r="329">
          <cell r="C329">
            <v>30005.68</v>
          </cell>
          <cell r="O329">
            <v>7248.82</v>
          </cell>
          <cell r="U329" t="str">
            <v>Véhicules neufs</v>
          </cell>
          <cell r="V329" t="str">
            <v>Services extérieurs</v>
          </cell>
          <cell r="W329" t="str">
            <v>$</v>
          </cell>
          <cell r="X329">
            <v>0</v>
          </cell>
        </row>
        <row r="330">
          <cell r="C330">
            <v>11520</v>
          </cell>
          <cell r="O330">
            <v>2880</v>
          </cell>
          <cell r="U330" t="str">
            <v>Véhicules neufs</v>
          </cell>
          <cell r="V330" t="str">
            <v>Amortissement</v>
          </cell>
          <cell r="W330" t="str">
            <v>$</v>
          </cell>
          <cell r="X330">
            <v>0</v>
          </cell>
        </row>
        <row r="331">
          <cell r="C331">
            <v>512</v>
          </cell>
          <cell r="O331">
            <v>128</v>
          </cell>
          <cell r="U331" t="str">
            <v>Véhicules neufs</v>
          </cell>
          <cell r="V331" t="str">
            <v>Location équipement</v>
          </cell>
          <cell r="W331" t="str">
            <v>$</v>
          </cell>
          <cell r="X331">
            <v>0</v>
          </cell>
        </row>
        <row r="332">
          <cell r="C332">
            <v>4697.6000000000004</v>
          </cell>
          <cell r="O332">
            <v>1174.4000000000001</v>
          </cell>
          <cell r="U332" t="str">
            <v>Véhicules neufs</v>
          </cell>
          <cell r="V332" t="str">
            <v>Chauffage, éclairage</v>
          </cell>
          <cell r="W332" t="str">
            <v>$</v>
          </cell>
          <cell r="X332">
            <v>0</v>
          </cell>
        </row>
        <row r="333">
          <cell r="C333">
            <v>33280.129999999997</v>
          </cell>
          <cell r="O333">
            <v>8320.0300000000007</v>
          </cell>
          <cell r="U333" t="str">
            <v>Véhicules neufs</v>
          </cell>
          <cell r="V333" t="str">
            <v>Loyer</v>
          </cell>
          <cell r="W333" t="str">
            <v>$</v>
          </cell>
          <cell r="X333">
            <v>0</v>
          </cell>
        </row>
        <row r="334">
          <cell r="C334">
            <v>1920</v>
          </cell>
          <cell r="O334">
            <v>480</v>
          </cell>
          <cell r="U334" t="str">
            <v>Véhicules neufs</v>
          </cell>
          <cell r="V334" t="str">
            <v>Assurances</v>
          </cell>
          <cell r="W334" t="str">
            <v>$</v>
          </cell>
          <cell r="X334">
            <v>0</v>
          </cell>
        </row>
        <row r="335">
          <cell r="C335">
            <v>6016</v>
          </cell>
          <cell r="O335">
            <v>1504</v>
          </cell>
          <cell r="U335" t="str">
            <v>Véhicules neufs</v>
          </cell>
          <cell r="V335" t="str">
            <v>Taxes foncières</v>
          </cell>
          <cell r="W335" t="str">
            <v>$</v>
          </cell>
          <cell r="X335">
            <v>0</v>
          </cell>
        </row>
        <row r="336">
          <cell r="C336">
            <v>4032</v>
          </cell>
          <cell r="O336">
            <v>1008</v>
          </cell>
          <cell r="U336" t="str">
            <v>Véhicules neufs</v>
          </cell>
          <cell r="V336" t="str">
            <v>Taxes d`affaires</v>
          </cell>
          <cell r="W336" t="str">
            <v>$</v>
          </cell>
          <cell r="X336">
            <v>0</v>
          </cell>
        </row>
        <row r="337">
          <cell r="C337">
            <v>10272</v>
          </cell>
          <cell r="O337">
            <v>2568</v>
          </cell>
          <cell r="U337" t="str">
            <v>Véhicules neufs</v>
          </cell>
          <cell r="V337" t="str">
            <v>Honoraires</v>
          </cell>
          <cell r="W337" t="str">
            <v>$</v>
          </cell>
          <cell r="X337">
            <v>0</v>
          </cell>
        </row>
        <row r="338">
          <cell r="C338">
            <v>53616.6</v>
          </cell>
          <cell r="O338">
            <v>16580.63</v>
          </cell>
          <cell r="U338" t="str">
            <v>Véhicules usagés</v>
          </cell>
          <cell r="V338" t="str">
            <v>Comm. vendeurs</v>
          </cell>
          <cell r="W338" t="str">
            <v>$</v>
          </cell>
          <cell r="X338">
            <v>0</v>
          </cell>
        </row>
        <row r="339">
          <cell r="C339">
            <v>26882.92</v>
          </cell>
          <cell r="O339">
            <v>11855.96</v>
          </cell>
          <cell r="U339" t="str">
            <v>Véhicules usagés</v>
          </cell>
          <cell r="V339" t="str">
            <v>Comm. F&amp;I</v>
          </cell>
          <cell r="W339" t="str">
            <v>$</v>
          </cell>
          <cell r="X339">
            <v>0</v>
          </cell>
        </row>
        <row r="340">
          <cell r="C340">
            <v>6333.88</v>
          </cell>
          <cell r="O340">
            <v>0</v>
          </cell>
          <cell r="U340" t="str">
            <v>Véhicules usagés</v>
          </cell>
          <cell r="V340" t="str">
            <v>Service gratuit 1</v>
          </cell>
          <cell r="W340" t="str">
            <v>$</v>
          </cell>
          <cell r="X340">
            <v>0</v>
          </cell>
        </row>
        <row r="341">
          <cell r="C341">
            <v>6555.37</v>
          </cell>
          <cell r="O341">
            <v>2470</v>
          </cell>
          <cell r="U341" t="str">
            <v>Véhicules usagés</v>
          </cell>
          <cell r="V341" t="str">
            <v>Entretien stock</v>
          </cell>
          <cell r="W341" t="str">
            <v>$</v>
          </cell>
          <cell r="X341">
            <v>0</v>
          </cell>
        </row>
        <row r="342">
          <cell r="C342">
            <v>753.07</v>
          </cell>
          <cell r="O342">
            <v>305.62</v>
          </cell>
          <cell r="U342" t="str">
            <v>Véhicules usagés</v>
          </cell>
          <cell r="V342" t="str">
            <v>Intérêt de gros</v>
          </cell>
          <cell r="W342" t="str">
            <v>$</v>
          </cell>
          <cell r="X342">
            <v>0</v>
          </cell>
        </row>
        <row r="343">
          <cell r="C343">
            <v>6836.07</v>
          </cell>
          <cell r="O343">
            <v>322.51</v>
          </cell>
          <cell r="U343" t="str">
            <v>Véhicules usagés</v>
          </cell>
          <cell r="V343" t="str">
            <v>Frais de livraison</v>
          </cell>
          <cell r="W343" t="str">
            <v>$</v>
          </cell>
          <cell r="X343">
            <v>0</v>
          </cell>
        </row>
        <row r="344">
          <cell r="C344">
            <v>33750</v>
          </cell>
          <cell r="O344">
            <v>11250</v>
          </cell>
          <cell r="U344" t="str">
            <v>Véhicules usagés</v>
          </cell>
          <cell r="V344" t="str">
            <v>Publicité 1</v>
          </cell>
          <cell r="W344" t="str">
            <v>$</v>
          </cell>
          <cell r="X344">
            <v>0</v>
          </cell>
        </row>
        <row r="345">
          <cell r="C345">
            <v>-11770</v>
          </cell>
          <cell r="O345">
            <v>-3800</v>
          </cell>
          <cell r="U345" t="str">
            <v>Véhicules usagés</v>
          </cell>
          <cell r="V345" t="str">
            <v>Publicité 1</v>
          </cell>
          <cell r="W345" t="str">
            <v>$</v>
          </cell>
          <cell r="X345">
            <v>0</v>
          </cell>
        </row>
        <row r="346">
          <cell r="C346">
            <v>3211.66</v>
          </cell>
          <cell r="O346">
            <v>1431.33</v>
          </cell>
          <cell r="U346" t="str">
            <v>Véhicules usagés</v>
          </cell>
          <cell r="V346" t="str">
            <v>Salaires propriétaire</v>
          </cell>
          <cell r="W346" t="str">
            <v>$</v>
          </cell>
          <cell r="X346">
            <v>0</v>
          </cell>
        </row>
        <row r="347">
          <cell r="C347">
            <v>25349.17</v>
          </cell>
          <cell r="O347">
            <v>7464.96</v>
          </cell>
          <cell r="U347" t="str">
            <v>Véhicules usagés</v>
          </cell>
          <cell r="V347" t="str">
            <v>Salaires cadres</v>
          </cell>
          <cell r="W347" t="str">
            <v>$</v>
          </cell>
          <cell r="X347">
            <v>0</v>
          </cell>
        </row>
        <row r="348">
          <cell r="C348">
            <v>12226.53</v>
          </cell>
          <cell r="O348">
            <v>3423.71</v>
          </cell>
          <cell r="U348" t="str">
            <v>Véhicules usagés</v>
          </cell>
          <cell r="V348" t="str">
            <v>Salaires commis</v>
          </cell>
          <cell r="W348" t="str">
            <v>$</v>
          </cell>
          <cell r="X348">
            <v>0</v>
          </cell>
        </row>
        <row r="349">
          <cell r="C349">
            <v>39984.400000000001</v>
          </cell>
          <cell r="O349">
            <v>14461.09</v>
          </cell>
          <cell r="U349" t="str">
            <v>Véhicules usagés</v>
          </cell>
          <cell r="V349" t="str">
            <v>Salaires autres</v>
          </cell>
          <cell r="W349" t="str">
            <v>$</v>
          </cell>
          <cell r="X349">
            <v>0</v>
          </cell>
        </row>
        <row r="350">
          <cell r="C350">
            <v>21607.5</v>
          </cell>
          <cell r="O350">
            <v>5737.96</v>
          </cell>
          <cell r="U350" t="str">
            <v>Véhicules usagés</v>
          </cell>
          <cell r="V350" t="str">
            <v>Salaires en absences</v>
          </cell>
          <cell r="W350" t="str">
            <v>$</v>
          </cell>
          <cell r="X350">
            <v>0</v>
          </cell>
        </row>
        <row r="351">
          <cell r="C351">
            <v>5752.53</v>
          </cell>
          <cell r="O351">
            <v>1337.25</v>
          </cell>
          <cell r="U351" t="str">
            <v>Véhicules usagés</v>
          </cell>
          <cell r="V351" t="str">
            <v>Csst</v>
          </cell>
          <cell r="W351" t="str">
            <v>$</v>
          </cell>
          <cell r="X351">
            <v>0</v>
          </cell>
        </row>
        <row r="352">
          <cell r="C352">
            <v>22313.22</v>
          </cell>
          <cell r="O352">
            <v>5904.08</v>
          </cell>
          <cell r="U352" t="str">
            <v>Véhicules usagés</v>
          </cell>
          <cell r="V352" t="str">
            <v>Déduction à la source</v>
          </cell>
          <cell r="W352" t="str">
            <v>$</v>
          </cell>
          <cell r="X352">
            <v>0</v>
          </cell>
        </row>
        <row r="353">
          <cell r="C353">
            <v>14171.83</v>
          </cell>
          <cell r="O353">
            <v>3696.06</v>
          </cell>
          <cell r="U353" t="str">
            <v>Véhicules usagés</v>
          </cell>
          <cell r="V353" t="str">
            <v>Bénéfices marginaux</v>
          </cell>
          <cell r="W353" t="str">
            <v>$</v>
          </cell>
          <cell r="X353">
            <v>0</v>
          </cell>
        </row>
        <row r="354">
          <cell r="C354">
            <v>405</v>
          </cell>
          <cell r="O354">
            <v>135</v>
          </cell>
          <cell r="U354" t="str">
            <v>Véhicules usagés</v>
          </cell>
          <cell r="V354" t="str">
            <v>Fournitures autres</v>
          </cell>
          <cell r="W354" t="str">
            <v>$</v>
          </cell>
          <cell r="X354">
            <v>0</v>
          </cell>
        </row>
        <row r="355">
          <cell r="C355">
            <v>40</v>
          </cell>
          <cell r="O355">
            <v>10</v>
          </cell>
          <cell r="U355" t="str">
            <v>Véhicules usagés</v>
          </cell>
          <cell r="V355" t="str">
            <v>Uniformes</v>
          </cell>
          <cell r="W355" t="str">
            <v>$</v>
          </cell>
          <cell r="X355">
            <v>0</v>
          </cell>
        </row>
        <row r="356">
          <cell r="C356">
            <v>240</v>
          </cell>
          <cell r="O356">
            <v>60</v>
          </cell>
          <cell r="U356" t="str">
            <v>Véhicules usagés</v>
          </cell>
          <cell r="V356" t="str">
            <v>Formation</v>
          </cell>
          <cell r="W356" t="str">
            <v>$</v>
          </cell>
          <cell r="X356">
            <v>0</v>
          </cell>
        </row>
        <row r="357">
          <cell r="C357">
            <v>3254.74</v>
          </cell>
          <cell r="O357">
            <v>557.38</v>
          </cell>
          <cell r="U357" t="str">
            <v>Véhicules usagés</v>
          </cell>
          <cell r="V357" t="str">
            <v>Frais véhicules de cie</v>
          </cell>
          <cell r="W357" t="str">
            <v>$</v>
          </cell>
          <cell r="X357">
            <v>0</v>
          </cell>
        </row>
        <row r="358">
          <cell r="C358">
            <v>277.27</v>
          </cell>
          <cell r="O358">
            <v>24.8</v>
          </cell>
          <cell r="U358" t="str">
            <v>Véhicules usagés</v>
          </cell>
          <cell r="V358" t="str">
            <v>Frais postaux</v>
          </cell>
          <cell r="W358" t="str">
            <v>$</v>
          </cell>
          <cell r="X358">
            <v>0</v>
          </cell>
        </row>
        <row r="359">
          <cell r="C359">
            <v>9767.6200000000008</v>
          </cell>
          <cell r="O359">
            <v>2390.17</v>
          </cell>
          <cell r="U359" t="str">
            <v>Véhicules usagés</v>
          </cell>
          <cell r="V359" t="str">
            <v>Informatique</v>
          </cell>
          <cell r="W359" t="str">
            <v>$</v>
          </cell>
          <cell r="X359">
            <v>0</v>
          </cell>
        </row>
        <row r="360">
          <cell r="C360">
            <v>888</v>
          </cell>
          <cell r="O360">
            <v>222</v>
          </cell>
          <cell r="U360" t="str">
            <v>Véhicules usagés</v>
          </cell>
          <cell r="V360" t="str">
            <v>Papeterie</v>
          </cell>
          <cell r="W360" t="str">
            <v>$</v>
          </cell>
          <cell r="X360">
            <v>0</v>
          </cell>
        </row>
        <row r="361">
          <cell r="C361">
            <v>584.55999999999995</v>
          </cell>
          <cell r="O361">
            <v>136.69999999999999</v>
          </cell>
          <cell r="U361" t="str">
            <v>Véhicules usagés</v>
          </cell>
          <cell r="V361" t="str">
            <v>Téléphone</v>
          </cell>
          <cell r="W361" t="str">
            <v>$</v>
          </cell>
          <cell r="X361">
            <v>0</v>
          </cell>
        </row>
        <row r="362">
          <cell r="C362">
            <v>2653.7</v>
          </cell>
          <cell r="O362">
            <v>689.82</v>
          </cell>
          <cell r="U362" t="str">
            <v>Véhicules usagés</v>
          </cell>
          <cell r="V362" t="str">
            <v>Divers</v>
          </cell>
          <cell r="W362" t="str">
            <v>$</v>
          </cell>
          <cell r="X362">
            <v>0</v>
          </cell>
        </row>
        <row r="363">
          <cell r="C363">
            <v>2916.96</v>
          </cell>
          <cell r="O363">
            <v>729.24</v>
          </cell>
          <cell r="U363" t="str">
            <v>Véhicules usagés</v>
          </cell>
          <cell r="V363" t="str">
            <v>Frais de déplacement</v>
          </cell>
          <cell r="W363" t="str">
            <v>$</v>
          </cell>
          <cell r="X363">
            <v>0</v>
          </cell>
        </row>
        <row r="364">
          <cell r="C364">
            <v>7291.67</v>
          </cell>
          <cell r="O364">
            <v>1765.82</v>
          </cell>
          <cell r="U364" t="str">
            <v>Véhicules usagés</v>
          </cell>
          <cell r="V364" t="str">
            <v>Services extérieurs</v>
          </cell>
          <cell r="W364" t="str">
            <v>$</v>
          </cell>
          <cell r="X364">
            <v>0</v>
          </cell>
        </row>
        <row r="365">
          <cell r="C365">
            <v>4320</v>
          </cell>
          <cell r="O365">
            <v>1080</v>
          </cell>
          <cell r="U365" t="str">
            <v>Véhicules usagés</v>
          </cell>
          <cell r="V365" t="str">
            <v>Amortissement</v>
          </cell>
          <cell r="W365" t="str">
            <v>$</v>
          </cell>
          <cell r="X365">
            <v>0</v>
          </cell>
        </row>
        <row r="366">
          <cell r="C366">
            <v>192</v>
          </cell>
          <cell r="O366">
            <v>48</v>
          </cell>
          <cell r="U366" t="str">
            <v>Véhicules usagés</v>
          </cell>
          <cell r="V366" t="str">
            <v>Location équipement</v>
          </cell>
          <cell r="W366" t="str">
            <v>$</v>
          </cell>
          <cell r="X366">
            <v>0</v>
          </cell>
        </row>
        <row r="367">
          <cell r="C367">
            <v>1761.6</v>
          </cell>
          <cell r="O367">
            <v>440.4</v>
          </cell>
          <cell r="U367" t="str">
            <v>Véhicules usagés</v>
          </cell>
          <cell r="V367" t="str">
            <v>Chauffage, éclairage</v>
          </cell>
          <cell r="W367" t="str">
            <v>$</v>
          </cell>
          <cell r="X367">
            <v>0</v>
          </cell>
        </row>
        <row r="368">
          <cell r="C368">
            <v>12480.05</v>
          </cell>
          <cell r="O368">
            <v>3120.01</v>
          </cell>
          <cell r="U368" t="str">
            <v>Véhicules usagés</v>
          </cell>
          <cell r="V368" t="str">
            <v>Loyer</v>
          </cell>
          <cell r="W368" t="str">
            <v>$</v>
          </cell>
          <cell r="X368">
            <v>0</v>
          </cell>
        </row>
        <row r="369">
          <cell r="C369">
            <v>720</v>
          </cell>
          <cell r="O369">
            <v>180</v>
          </cell>
          <cell r="U369" t="str">
            <v>Véhicules usagés</v>
          </cell>
          <cell r="V369" t="str">
            <v>Assurances</v>
          </cell>
          <cell r="W369" t="str">
            <v>$</v>
          </cell>
          <cell r="X369">
            <v>0</v>
          </cell>
        </row>
        <row r="370">
          <cell r="C370">
            <v>2256</v>
          </cell>
          <cell r="O370">
            <v>564</v>
          </cell>
          <cell r="U370" t="str">
            <v>Véhicules usagés</v>
          </cell>
          <cell r="V370" t="str">
            <v>Taxes foncières</v>
          </cell>
          <cell r="W370" t="str">
            <v>$</v>
          </cell>
          <cell r="X370">
            <v>0</v>
          </cell>
        </row>
        <row r="371">
          <cell r="C371">
            <v>1512</v>
          </cell>
          <cell r="O371">
            <v>378</v>
          </cell>
          <cell r="U371" t="str">
            <v>Véhicules usagés</v>
          </cell>
          <cell r="V371" t="str">
            <v>Taxes d`affaires</v>
          </cell>
          <cell r="W371" t="str">
            <v>$</v>
          </cell>
          <cell r="X371">
            <v>0</v>
          </cell>
        </row>
        <row r="372">
          <cell r="C372">
            <v>3852</v>
          </cell>
          <cell r="O372">
            <v>963</v>
          </cell>
          <cell r="U372" t="str">
            <v>Véhicules usagés</v>
          </cell>
          <cell r="V372" t="str">
            <v>Honoraires</v>
          </cell>
          <cell r="W372" t="str">
            <v>$</v>
          </cell>
          <cell r="X372">
            <v>0</v>
          </cell>
        </row>
        <row r="373">
          <cell r="C373">
            <v>9682.7999999999993</v>
          </cell>
          <cell r="O373">
            <v>2686.35</v>
          </cell>
          <cell r="U373" t="str">
            <v>Service</v>
          </cell>
          <cell r="V373" t="str">
            <v>Service gratuit 2</v>
          </cell>
          <cell r="W373" t="str">
            <v>$</v>
          </cell>
          <cell r="X373">
            <v>0</v>
          </cell>
        </row>
        <row r="374">
          <cell r="C374">
            <v>601.38</v>
          </cell>
          <cell r="O374">
            <v>134.54</v>
          </cell>
          <cell r="U374" t="str">
            <v>Service</v>
          </cell>
          <cell r="V374" t="str">
            <v>Service gratuit 2</v>
          </cell>
          <cell r="W374" t="str">
            <v>$</v>
          </cell>
          <cell r="X374">
            <v>0</v>
          </cell>
        </row>
        <row r="375">
          <cell r="C375">
            <v>49131.1</v>
          </cell>
          <cell r="O375">
            <v>12055.76</v>
          </cell>
          <cell r="U375" t="str">
            <v>Service</v>
          </cell>
          <cell r="V375" t="str">
            <v>Publicité 2</v>
          </cell>
          <cell r="W375" t="str">
            <v>$</v>
          </cell>
          <cell r="X375">
            <v>0</v>
          </cell>
        </row>
        <row r="376">
          <cell r="C376">
            <v>6422.27</v>
          </cell>
          <cell r="O376">
            <v>2862.65</v>
          </cell>
          <cell r="U376" t="str">
            <v>Service</v>
          </cell>
          <cell r="V376" t="str">
            <v>Salaires propriétaire</v>
          </cell>
          <cell r="W376" t="str">
            <v>$</v>
          </cell>
          <cell r="X376">
            <v>0</v>
          </cell>
        </row>
        <row r="377">
          <cell r="C377">
            <v>57335.11</v>
          </cell>
          <cell r="O377">
            <v>12050.77</v>
          </cell>
          <cell r="U377" t="str">
            <v>Service</v>
          </cell>
          <cell r="V377" t="str">
            <v>Salaires cadres</v>
          </cell>
          <cell r="W377" t="str">
            <v>$</v>
          </cell>
          <cell r="X377">
            <v>0</v>
          </cell>
        </row>
        <row r="378">
          <cell r="C378">
            <v>32583.4</v>
          </cell>
          <cell r="O378">
            <v>11378.31</v>
          </cell>
          <cell r="U378" t="str">
            <v>Service</v>
          </cell>
          <cell r="V378" t="str">
            <v>Salaires commis</v>
          </cell>
          <cell r="W378" t="str">
            <v>$</v>
          </cell>
          <cell r="X378">
            <v>0</v>
          </cell>
        </row>
        <row r="379">
          <cell r="C379">
            <v>36728.93</v>
          </cell>
          <cell r="O379">
            <v>10353.65</v>
          </cell>
          <cell r="U379" t="str">
            <v>Service</v>
          </cell>
          <cell r="V379" t="str">
            <v>Salaires autres</v>
          </cell>
          <cell r="W379" t="str">
            <v>$</v>
          </cell>
          <cell r="X379">
            <v>0</v>
          </cell>
        </row>
        <row r="380">
          <cell r="C380">
            <v>83969.8</v>
          </cell>
          <cell r="O380">
            <v>24692.68</v>
          </cell>
          <cell r="U380" t="str">
            <v>Service</v>
          </cell>
          <cell r="V380" t="str">
            <v>Salaires spécialistes</v>
          </cell>
          <cell r="W380" t="str">
            <v>$</v>
          </cell>
          <cell r="X380">
            <v>0</v>
          </cell>
        </row>
        <row r="381">
          <cell r="C381">
            <v>58968.3</v>
          </cell>
          <cell r="O381">
            <v>17938.189999999999</v>
          </cell>
          <cell r="U381" t="str">
            <v>Service</v>
          </cell>
          <cell r="V381" t="str">
            <v>Salaires en absences</v>
          </cell>
          <cell r="W381" t="str">
            <v>$</v>
          </cell>
          <cell r="X381">
            <v>0</v>
          </cell>
        </row>
        <row r="382">
          <cell r="C382">
            <v>12445.79</v>
          </cell>
          <cell r="O382">
            <v>3304.97</v>
          </cell>
          <cell r="U382" t="str">
            <v>Service</v>
          </cell>
          <cell r="V382" t="str">
            <v>Csst</v>
          </cell>
          <cell r="W382" t="str">
            <v>$</v>
          </cell>
          <cell r="X382">
            <v>0</v>
          </cell>
        </row>
        <row r="383">
          <cell r="C383">
            <v>48552.84</v>
          </cell>
          <cell r="O383">
            <v>14557.74</v>
          </cell>
          <cell r="U383" t="str">
            <v>Service</v>
          </cell>
          <cell r="V383" t="str">
            <v>Déduction à la source</v>
          </cell>
          <cell r="W383" t="str">
            <v>$</v>
          </cell>
          <cell r="X383">
            <v>0</v>
          </cell>
        </row>
        <row r="384">
          <cell r="C384">
            <v>33745.79</v>
          </cell>
          <cell r="O384">
            <v>9555.3799999999992</v>
          </cell>
          <cell r="U384" t="str">
            <v>Service</v>
          </cell>
          <cell r="V384" t="str">
            <v>Bénéfices marginaux</v>
          </cell>
          <cell r="W384" t="str">
            <v>$</v>
          </cell>
          <cell r="X384">
            <v>0</v>
          </cell>
        </row>
        <row r="385">
          <cell r="C385">
            <v>3109.59</v>
          </cell>
          <cell r="O385">
            <v>440</v>
          </cell>
          <cell r="U385" t="str">
            <v>Service</v>
          </cell>
          <cell r="V385" t="str">
            <v>Fournitures autres</v>
          </cell>
          <cell r="W385" t="str">
            <v>$</v>
          </cell>
          <cell r="X385">
            <v>0</v>
          </cell>
        </row>
        <row r="386">
          <cell r="C386">
            <v>5200</v>
          </cell>
          <cell r="O386">
            <v>1300</v>
          </cell>
          <cell r="U386" t="str">
            <v>Service</v>
          </cell>
          <cell r="V386" t="str">
            <v>Uniformes</v>
          </cell>
          <cell r="W386" t="str">
            <v>$</v>
          </cell>
          <cell r="X386">
            <v>0</v>
          </cell>
        </row>
        <row r="387">
          <cell r="C387">
            <v>11146.68</v>
          </cell>
          <cell r="O387">
            <v>2786.67</v>
          </cell>
          <cell r="U387" t="str">
            <v>Service</v>
          </cell>
          <cell r="V387" t="str">
            <v>Formation</v>
          </cell>
          <cell r="W387" t="str">
            <v>$</v>
          </cell>
          <cell r="X387">
            <v>0</v>
          </cell>
        </row>
        <row r="388">
          <cell r="C388">
            <v>46312.39</v>
          </cell>
          <cell r="O388">
            <v>16710.490000000002</v>
          </cell>
          <cell r="U388" t="str">
            <v>Service</v>
          </cell>
          <cell r="V388" t="str">
            <v>Frais véhicules de cie</v>
          </cell>
          <cell r="W388" t="str">
            <v>$</v>
          </cell>
          <cell r="X388">
            <v>0</v>
          </cell>
        </row>
        <row r="389">
          <cell r="C389">
            <v>554.17999999999995</v>
          </cell>
          <cell r="O389">
            <v>49.62</v>
          </cell>
          <cell r="U389" t="str">
            <v>Service</v>
          </cell>
          <cell r="V389" t="str">
            <v>Frais postaux</v>
          </cell>
          <cell r="W389" t="str">
            <v>$</v>
          </cell>
          <cell r="X389">
            <v>0</v>
          </cell>
        </row>
        <row r="390">
          <cell r="C390">
            <v>15127.55</v>
          </cell>
          <cell r="O390">
            <v>3844.55</v>
          </cell>
          <cell r="U390" t="str">
            <v>Service</v>
          </cell>
          <cell r="V390" t="str">
            <v>Informatique</v>
          </cell>
          <cell r="W390" t="str">
            <v>$</v>
          </cell>
          <cell r="X390">
            <v>0</v>
          </cell>
        </row>
        <row r="391">
          <cell r="C391">
            <v>1776</v>
          </cell>
          <cell r="O391">
            <v>444</v>
          </cell>
          <cell r="U391" t="str">
            <v>Service</v>
          </cell>
          <cell r="V391" t="str">
            <v>Papeterie</v>
          </cell>
          <cell r="W391" t="str">
            <v>$</v>
          </cell>
          <cell r="X391">
            <v>0</v>
          </cell>
        </row>
        <row r="392">
          <cell r="C392">
            <v>2142.5100000000002</v>
          </cell>
          <cell r="O392">
            <v>544.4</v>
          </cell>
          <cell r="U392" t="str">
            <v>Service</v>
          </cell>
          <cell r="V392" t="str">
            <v>Téléphone</v>
          </cell>
          <cell r="W392" t="str">
            <v>$</v>
          </cell>
          <cell r="X392">
            <v>0</v>
          </cell>
        </row>
        <row r="393">
          <cell r="C393">
            <v>5092.59</v>
          </cell>
          <cell r="O393">
            <v>1272.23</v>
          </cell>
          <cell r="U393" t="str">
            <v>Service</v>
          </cell>
          <cell r="V393" t="str">
            <v>Divers</v>
          </cell>
          <cell r="W393" t="str">
            <v>$</v>
          </cell>
          <cell r="X393">
            <v>0</v>
          </cell>
        </row>
        <row r="394">
          <cell r="C394">
            <v>5833.92</v>
          </cell>
          <cell r="O394">
            <v>1458.48</v>
          </cell>
          <cell r="U394" t="str">
            <v>Service</v>
          </cell>
          <cell r="V394" t="str">
            <v>Frais de déplacement</v>
          </cell>
          <cell r="W394" t="str">
            <v>$</v>
          </cell>
          <cell r="X394">
            <v>0</v>
          </cell>
        </row>
        <row r="395">
          <cell r="C395">
            <v>41755.93</v>
          </cell>
          <cell r="O395">
            <v>12418.02</v>
          </cell>
          <cell r="U395" t="str">
            <v>Service</v>
          </cell>
          <cell r="V395" t="str">
            <v>Services extérieurs</v>
          </cell>
          <cell r="W395" t="str">
            <v>$</v>
          </cell>
          <cell r="X395">
            <v>0</v>
          </cell>
        </row>
        <row r="396">
          <cell r="C396">
            <v>8640</v>
          </cell>
          <cell r="O396">
            <v>2160</v>
          </cell>
          <cell r="U396" t="str">
            <v>Service</v>
          </cell>
          <cell r="V396" t="str">
            <v>Amortissement</v>
          </cell>
          <cell r="W396" t="str">
            <v>$</v>
          </cell>
          <cell r="X396">
            <v>0</v>
          </cell>
        </row>
        <row r="397">
          <cell r="C397">
            <v>1184</v>
          </cell>
          <cell r="O397">
            <v>296</v>
          </cell>
          <cell r="U397" t="str">
            <v>Service</v>
          </cell>
          <cell r="V397" t="str">
            <v>Location équipement</v>
          </cell>
          <cell r="W397" t="str">
            <v>$</v>
          </cell>
          <cell r="X397">
            <v>0</v>
          </cell>
        </row>
        <row r="398">
          <cell r="C398">
            <v>3536</v>
          </cell>
          <cell r="O398">
            <v>884</v>
          </cell>
          <cell r="U398" t="str">
            <v>Service</v>
          </cell>
          <cell r="V398" t="str">
            <v>Réparation équipement</v>
          </cell>
          <cell r="W398" t="str">
            <v>$</v>
          </cell>
          <cell r="X398">
            <v>0</v>
          </cell>
        </row>
        <row r="399">
          <cell r="C399">
            <v>3523.2</v>
          </cell>
          <cell r="O399">
            <v>880.8</v>
          </cell>
          <cell r="U399" t="str">
            <v>Service</v>
          </cell>
          <cell r="V399" t="str">
            <v>Chauffage, éclairage</v>
          </cell>
          <cell r="W399" t="str">
            <v>$</v>
          </cell>
          <cell r="X399">
            <v>0</v>
          </cell>
        </row>
        <row r="400">
          <cell r="C400">
            <v>24960.09</v>
          </cell>
          <cell r="O400">
            <v>6240.02</v>
          </cell>
          <cell r="U400" t="str">
            <v>Service</v>
          </cell>
          <cell r="V400" t="str">
            <v>Loyer</v>
          </cell>
          <cell r="W400" t="str">
            <v>$</v>
          </cell>
          <cell r="X400">
            <v>0</v>
          </cell>
        </row>
        <row r="401">
          <cell r="C401">
            <v>1440</v>
          </cell>
          <cell r="O401">
            <v>360</v>
          </cell>
          <cell r="U401" t="str">
            <v>Service</v>
          </cell>
          <cell r="V401" t="str">
            <v>Assurances</v>
          </cell>
          <cell r="W401" t="str">
            <v>$</v>
          </cell>
          <cell r="X401">
            <v>0</v>
          </cell>
        </row>
        <row r="402">
          <cell r="C402">
            <v>4512</v>
          </cell>
          <cell r="O402">
            <v>1128</v>
          </cell>
          <cell r="U402" t="str">
            <v>Service</v>
          </cell>
          <cell r="V402" t="str">
            <v>Taxes foncières</v>
          </cell>
          <cell r="W402" t="str">
            <v>$</v>
          </cell>
          <cell r="X402">
            <v>0</v>
          </cell>
        </row>
        <row r="403">
          <cell r="C403">
            <v>3024</v>
          </cell>
          <cell r="O403">
            <v>756</v>
          </cell>
          <cell r="U403" t="str">
            <v>Service</v>
          </cell>
          <cell r="V403" t="str">
            <v>Taxes d`affaires</v>
          </cell>
          <cell r="W403" t="str">
            <v>$</v>
          </cell>
          <cell r="X403">
            <v>0</v>
          </cell>
        </row>
        <row r="404">
          <cell r="C404">
            <v>7704</v>
          </cell>
          <cell r="O404">
            <v>1926</v>
          </cell>
          <cell r="U404" t="str">
            <v>Service</v>
          </cell>
          <cell r="V404" t="str">
            <v>Honoraires</v>
          </cell>
          <cell r="W404" t="str">
            <v>$</v>
          </cell>
          <cell r="X404">
            <v>0</v>
          </cell>
        </row>
        <row r="405">
          <cell r="C405">
            <v>2941.69</v>
          </cell>
          <cell r="O405">
            <v>308.31</v>
          </cell>
          <cell r="U405" t="str">
            <v>Carrosserie</v>
          </cell>
          <cell r="V405" t="str">
            <v>Service gratuit 2</v>
          </cell>
          <cell r="W405" t="str">
            <v>$</v>
          </cell>
          <cell r="X405">
            <v>0</v>
          </cell>
        </row>
        <row r="406">
          <cell r="C406">
            <v>3999.14</v>
          </cell>
          <cell r="O406">
            <v>286.27</v>
          </cell>
          <cell r="U406" t="str">
            <v>Carrosserie</v>
          </cell>
          <cell r="V406" t="str">
            <v>Salaires propriétaire</v>
          </cell>
          <cell r="W406" t="str">
            <v>$</v>
          </cell>
          <cell r="X406">
            <v>0</v>
          </cell>
        </row>
        <row r="407">
          <cell r="C407">
            <v>1725.89</v>
          </cell>
          <cell r="O407">
            <v>383.42</v>
          </cell>
          <cell r="U407" t="str">
            <v>Carrosserie</v>
          </cell>
          <cell r="V407" t="str">
            <v>Salaires cadres</v>
          </cell>
          <cell r="W407" t="str">
            <v>$</v>
          </cell>
          <cell r="X407">
            <v>0</v>
          </cell>
        </row>
        <row r="408">
          <cell r="C408">
            <v>4527.21</v>
          </cell>
          <cell r="O408">
            <v>1310.9</v>
          </cell>
          <cell r="U408" t="str">
            <v>Carrosserie</v>
          </cell>
          <cell r="V408" t="str">
            <v>Salaires commis</v>
          </cell>
          <cell r="W408" t="str">
            <v>$</v>
          </cell>
          <cell r="X408">
            <v>0</v>
          </cell>
        </row>
        <row r="409">
          <cell r="C409">
            <v>19741.64</v>
          </cell>
          <cell r="O409">
            <v>7020.54</v>
          </cell>
          <cell r="U409" t="str">
            <v>Carrosserie</v>
          </cell>
          <cell r="V409" t="str">
            <v>Salaires autres</v>
          </cell>
          <cell r="W409" t="str">
            <v>$</v>
          </cell>
          <cell r="X409">
            <v>0</v>
          </cell>
        </row>
        <row r="410">
          <cell r="C410">
            <v>21169.02</v>
          </cell>
          <cell r="O410">
            <v>6988.16</v>
          </cell>
          <cell r="U410" t="str">
            <v>Carrosserie</v>
          </cell>
          <cell r="V410" t="str">
            <v>Salaires spécialistes</v>
          </cell>
          <cell r="W410" t="str">
            <v>$</v>
          </cell>
          <cell r="X410">
            <v>0</v>
          </cell>
        </row>
        <row r="411">
          <cell r="C411">
            <v>4839.17</v>
          </cell>
          <cell r="O411">
            <v>1270.52</v>
          </cell>
          <cell r="U411" t="str">
            <v>Carrosserie</v>
          </cell>
          <cell r="V411" t="str">
            <v>Salaires en absences</v>
          </cell>
          <cell r="W411" t="str">
            <v>$</v>
          </cell>
          <cell r="X411">
            <v>0</v>
          </cell>
        </row>
        <row r="412">
          <cell r="C412">
            <v>1215.1500000000001</v>
          </cell>
          <cell r="O412">
            <v>278.86</v>
          </cell>
          <cell r="U412" t="str">
            <v>Carrosserie</v>
          </cell>
          <cell r="V412" t="str">
            <v>Csst</v>
          </cell>
          <cell r="W412" t="str">
            <v>$</v>
          </cell>
          <cell r="X412">
            <v>0</v>
          </cell>
        </row>
        <row r="413">
          <cell r="C413">
            <v>4811.66</v>
          </cell>
          <cell r="O413">
            <v>1258.19</v>
          </cell>
          <cell r="U413" t="str">
            <v>Carrosserie</v>
          </cell>
          <cell r="V413" t="str">
            <v>Déduction à la source</v>
          </cell>
          <cell r="W413" t="str">
            <v>$</v>
          </cell>
          <cell r="X413">
            <v>0</v>
          </cell>
        </row>
        <row r="414">
          <cell r="C414">
            <v>2129.3200000000002</v>
          </cell>
          <cell r="O414">
            <v>532.33000000000004</v>
          </cell>
          <cell r="U414" t="str">
            <v>Carrosserie</v>
          </cell>
          <cell r="V414" t="str">
            <v>Bénéfices marginaux</v>
          </cell>
          <cell r="W414" t="str">
            <v>$</v>
          </cell>
          <cell r="X414">
            <v>0</v>
          </cell>
        </row>
        <row r="415">
          <cell r="C415">
            <v>140</v>
          </cell>
          <cell r="O415">
            <v>35</v>
          </cell>
          <cell r="U415" t="str">
            <v>Carrosserie</v>
          </cell>
          <cell r="V415" t="str">
            <v>Formation</v>
          </cell>
          <cell r="W415" t="str">
            <v>$</v>
          </cell>
          <cell r="X415">
            <v>0</v>
          </cell>
        </row>
        <row r="416">
          <cell r="C416">
            <v>7081.33</v>
          </cell>
          <cell r="O416">
            <v>1714.81</v>
          </cell>
          <cell r="U416" t="str">
            <v>Carrosserie</v>
          </cell>
          <cell r="V416" t="str">
            <v>Frais véhicules de cie</v>
          </cell>
          <cell r="W416" t="str">
            <v>$</v>
          </cell>
          <cell r="X416">
            <v>0</v>
          </cell>
        </row>
        <row r="417">
          <cell r="C417">
            <v>118.2</v>
          </cell>
          <cell r="O417">
            <v>14.47</v>
          </cell>
          <cell r="U417" t="str">
            <v>Carrosserie</v>
          </cell>
          <cell r="V417" t="str">
            <v>Frais postaux</v>
          </cell>
          <cell r="W417" t="str">
            <v>$</v>
          </cell>
          <cell r="X417">
            <v>0</v>
          </cell>
        </row>
        <row r="418">
          <cell r="C418">
            <v>5515.41</v>
          </cell>
          <cell r="O418">
            <v>1349.59</v>
          </cell>
          <cell r="U418" t="str">
            <v>Carrosserie</v>
          </cell>
          <cell r="V418" t="str">
            <v>Informatique</v>
          </cell>
          <cell r="W418" t="str">
            <v>$</v>
          </cell>
          <cell r="X418">
            <v>0</v>
          </cell>
        </row>
        <row r="419">
          <cell r="C419">
            <v>518</v>
          </cell>
          <cell r="O419">
            <v>129.5</v>
          </cell>
          <cell r="U419" t="str">
            <v>Carrosserie</v>
          </cell>
          <cell r="V419" t="str">
            <v>Papeterie</v>
          </cell>
          <cell r="W419" t="str">
            <v>$</v>
          </cell>
          <cell r="X419">
            <v>0</v>
          </cell>
        </row>
        <row r="420">
          <cell r="C420">
            <v>464.65</v>
          </cell>
          <cell r="O420">
            <v>120.96</v>
          </cell>
          <cell r="U420" t="str">
            <v>Carrosserie</v>
          </cell>
          <cell r="V420" t="str">
            <v>Téléphone</v>
          </cell>
          <cell r="W420" t="str">
            <v>$</v>
          </cell>
          <cell r="X420">
            <v>0</v>
          </cell>
        </row>
        <row r="421">
          <cell r="C421">
            <v>1485.34</v>
          </cell>
          <cell r="O421">
            <v>371.07</v>
          </cell>
          <cell r="U421" t="str">
            <v>Carrosserie</v>
          </cell>
          <cell r="V421" t="str">
            <v>Divers</v>
          </cell>
          <cell r="W421" t="str">
            <v>$</v>
          </cell>
          <cell r="X421">
            <v>0</v>
          </cell>
        </row>
        <row r="422">
          <cell r="C422">
            <v>1701.56</v>
          </cell>
          <cell r="O422">
            <v>425.39</v>
          </cell>
          <cell r="U422" t="str">
            <v>Carrosserie</v>
          </cell>
          <cell r="V422" t="str">
            <v>Frais de déplacement</v>
          </cell>
          <cell r="W422" t="str">
            <v>$</v>
          </cell>
          <cell r="X422">
            <v>0</v>
          </cell>
        </row>
        <row r="423">
          <cell r="C423">
            <v>4253.5</v>
          </cell>
          <cell r="O423">
            <v>1030.07</v>
          </cell>
          <cell r="U423" t="str">
            <v>Carrosserie</v>
          </cell>
          <cell r="V423" t="str">
            <v>Services extérieurs</v>
          </cell>
          <cell r="W423" t="str">
            <v>$</v>
          </cell>
          <cell r="X423">
            <v>0</v>
          </cell>
        </row>
        <row r="424">
          <cell r="C424">
            <v>2520</v>
          </cell>
          <cell r="O424">
            <v>630</v>
          </cell>
          <cell r="U424" t="str">
            <v>Carrosserie</v>
          </cell>
          <cell r="V424" t="str">
            <v>Amortissement</v>
          </cell>
          <cell r="W424" t="str">
            <v>$</v>
          </cell>
          <cell r="X424">
            <v>0</v>
          </cell>
        </row>
        <row r="425">
          <cell r="C425">
            <v>112</v>
          </cell>
          <cell r="O425">
            <v>28</v>
          </cell>
          <cell r="U425" t="str">
            <v>Carrosserie</v>
          </cell>
          <cell r="V425" t="str">
            <v>Location équipement</v>
          </cell>
          <cell r="W425" t="str">
            <v>$</v>
          </cell>
          <cell r="X425">
            <v>0</v>
          </cell>
        </row>
        <row r="426">
          <cell r="C426">
            <v>1027.5999999999999</v>
          </cell>
          <cell r="O426">
            <v>256.89999999999998</v>
          </cell>
          <cell r="U426" t="str">
            <v>Carrosserie</v>
          </cell>
          <cell r="V426" t="str">
            <v>Chauffage, éclairage</v>
          </cell>
          <cell r="W426" t="str">
            <v>$</v>
          </cell>
          <cell r="X426">
            <v>0</v>
          </cell>
        </row>
        <row r="427">
          <cell r="C427">
            <v>7280.04</v>
          </cell>
          <cell r="O427">
            <v>1820.01</v>
          </cell>
          <cell r="U427" t="str">
            <v>Carrosserie</v>
          </cell>
          <cell r="V427" t="str">
            <v>Loyer</v>
          </cell>
          <cell r="W427" t="str">
            <v>$</v>
          </cell>
          <cell r="X427">
            <v>0</v>
          </cell>
        </row>
        <row r="428">
          <cell r="C428">
            <v>420</v>
          </cell>
          <cell r="O428">
            <v>105</v>
          </cell>
          <cell r="U428" t="str">
            <v>Carrosserie</v>
          </cell>
          <cell r="V428" t="str">
            <v>Assurances</v>
          </cell>
          <cell r="W428" t="str">
            <v>$</v>
          </cell>
          <cell r="X428">
            <v>0</v>
          </cell>
        </row>
        <row r="429">
          <cell r="C429">
            <v>1316</v>
          </cell>
          <cell r="O429">
            <v>329</v>
          </cell>
          <cell r="U429" t="str">
            <v>Carrosserie</v>
          </cell>
          <cell r="V429" t="str">
            <v>Taxes foncières</v>
          </cell>
          <cell r="W429" t="str">
            <v>$</v>
          </cell>
          <cell r="X429">
            <v>0</v>
          </cell>
        </row>
        <row r="430">
          <cell r="C430">
            <v>882</v>
          </cell>
          <cell r="O430">
            <v>220.5</v>
          </cell>
          <cell r="U430" t="str">
            <v>Carrosserie</v>
          </cell>
          <cell r="V430" t="str">
            <v>Taxes d`affaires</v>
          </cell>
          <cell r="W430" t="str">
            <v>$</v>
          </cell>
          <cell r="X430">
            <v>0</v>
          </cell>
        </row>
        <row r="431">
          <cell r="C431">
            <v>2247</v>
          </cell>
          <cell r="O431">
            <v>561.75</v>
          </cell>
          <cell r="U431" t="str">
            <v>Carrosserie</v>
          </cell>
          <cell r="V431" t="str">
            <v>Honoraires</v>
          </cell>
          <cell r="W431" t="str">
            <v>$</v>
          </cell>
          <cell r="X431">
            <v>0</v>
          </cell>
        </row>
        <row r="432">
          <cell r="C432">
            <v>5731.03</v>
          </cell>
          <cell r="O432">
            <v>8.52</v>
          </cell>
          <cell r="U432" t="str">
            <v>Pièces</v>
          </cell>
          <cell r="V432" t="str">
            <v>Service gratuit 2</v>
          </cell>
          <cell r="W432" t="str">
            <v>$</v>
          </cell>
          <cell r="X432">
            <v>0</v>
          </cell>
        </row>
        <row r="433">
          <cell r="C433">
            <v>26397.39</v>
          </cell>
          <cell r="O433">
            <v>9919.64</v>
          </cell>
          <cell r="U433" t="str">
            <v>Pièces</v>
          </cell>
          <cell r="V433" t="str">
            <v>Publicité 2</v>
          </cell>
          <cell r="W433" t="str">
            <v>$</v>
          </cell>
          <cell r="X433">
            <v>0</v>
          </cell>
        </row>
        <row r="434">
          <cell r="C434">
            <v>11957.95</v>
          </cell>
          <cell r="O434">
            <v>1622.17</v>
          </cell>
          <cell r="U434" t="str">
            <v>Pièces</v>
          </cell>
          <cell r="V434" t="str">
            <v>Salaires propriétaire</v>
          </cell>
          <cell r="W434" t="str">
            <v>$</v>
          </cell>
          <cell r="X434">
            <v>0</v>
          </cell>
        </row>
        <row r="435">
          <cell r="C435">
            <v>45602.89</v>
          </cell>
          <cell r="O435">
            <v>11960.17</v>
          </cell>
          <cell r="U435" t="str">
            <v>Pièces</v>
          </cell>
          <cell r="V435" t="str">
            <v>Salaires cadres</v>
          </cell>
          <cell r="W435" t="str">
            <v>$</v>
          </cell>
          <cell r="X435">
            <v>0</v>
          </cell>
        </row>
        <row r="436">
          <cell r="C436">
            <v>16083.5</v>
          </cell>
          <cell r="O436">
            <v>4664.2</v>
          </cell>
          <cell r="U436" t="str">
            <v>Pièces</v>
          </cell>
          <cell r="V436" t="str">
            <v>Salaires commis</v>
          </cell>
          <cell r="W436" t="str">
            <v>$</v>
          </cell>
          <cell r="X436">
            <v>0</v>
          </cell>
        </row>
        <row r="437">
          <cell r="C437">
            <v>61223.24</v>
          </cell>
          <cell r="O437">
            <v>15579.01</v>
          </cell>
          <cell r="U437" t="str">
            <v>Pièces</v>
          </cell>
          <cell r="V437" t="str">
            <v>Salaires autres</v>
          </cell>
          <cell r="W437" t="str">
            <v>$</v>
          </cell>
          <cell r="X437">
            <v>0</v>
          </cell>
        </row>
        <row r="438">
          <cell r="C438">
            <v>15134.34</v>
          </cell>
          <cell r="O438">
            <v>4137.8599999999997</v>
          </cell>
          <cell r="U438" t="str">
            <v>Pièces</v>
          </cell>
          <cell r="V438" t="str">
            <v>Salaires en absences</v>
          </cell>
          <cell r="W438" t="str">
            <v>$</v>
          </cell>
          <cell r="X438">
            <v>0</v>
          </cell>
        </row>
        <row r="439">
          <cell r="C439">
            <v>3763.09</v>
          </cell>
          <cell r="O439">
            <v>899.46</v>
          </cell>
          <cell r="U439" t="str">
            <v>Pièces</v>
          </cell>
          <cell r="V439" t="str">
            <v>Csst</v>
          </cell>
          <cell r="W439" t="str">
            <v>$</v>
          </cell>
          <cell r="X439">
            <v>0</v>
          </cell>
        </row>
        <row r="440">
          <cell r="C440">
            <v>15010.96</v>
          </cell>
          <cell r="O440">
            <v>4072.76</v>
          </cell>
          <cell r="U440" t="str">
            <v>Pièces</v>
          </cell>
          <cell r="V440" t="str">
            <v>Csst</v>
          </cell>
          <cell r="W440" t="str">
            <v>$</v>
          </cell>
          <cell r="X440">
            <v>0</v>
          </cell>
        </row>
        <row r="441">
          <cell r="C441">
            <v>16877.88</v>
          </cell>
          <cell r="O441">
            <v>4436.7700000000004</v>
          </cell>
          <cell r="U441" t="str">
            <v>Pièces</v>
          </cell>
          <cell r="V441" t="str">
            <v>Bénéfices marginaux</v>
          </cell>
          <cell r="W441" t="str">
            <v>$</v>
          </cell>
          <cell r="X441">
            <v>0</v>
          </cell>
        </row>
        <row r="442">
          <cell r="C442">
            <v>415</v>
          </cell>
          <cell r="O442">
            <v>110</v>
          </cell>
          <cell r="U442" t="str">
            <v>Pièces</v>
          </cell>
          <cell r="V442" t="str">
            <v>Fournitures autres</v>
          </cell>
          <cell r="W442" t="str">
            <v>$</v>
          </cell>
          <cell r="X442">
            <v>0</v>
          </cell>
        </row>
        <row r="443">
          <cell r="C443">
            <v>680</v>
          </cell>
          <cell r="O443">
            <v>170</v>
          </cell>
          <cell r="U443" t="str">
            <v>Pièces</v>
          </cell>
          <cell r="V443" t="str">
            <v>Uniformes</v>
          </cell>
          <cell r="W443" t="str">
            <v>$</v>
          </cell>
          <cell r="X443">
            <v>0</v>
          </cell>
        </row>
        <row r="444">
          <cell r="C444">
            <v>1300</v>
          </cell>
          <cell r="O444">
            <v>325</v>
          </cell>
          <cell r="U444" t="str">
            <v>Pièces</v>
          </cell>
          <cell r="V444" t="str">
            <v>Formation</v>
          </cell>
          <cell r="W444" t="str">
            <v>$</v>
          </cell>
          <cell r="X444">
            <v>0</v>
          </cell>
        </row>
        <row r="445">
          <cell r="C445">
            <v>4792.99</v>
          </cell>
          <cell r="O445">
            <v>1161.26</v>
          </cell>
          <cell r="U445" t="str">
            <v>Pièces</v>
          </cell>
          <cell r="V445" t="str">
            <v>Frais véhicules de cie</v>
          </cell>
          <cell r="W445" t="str">
            <v>$</v>
          </cell>
          <cell r="X445">
            <v>0</v>
          </cell>
        </row>
        <row r="446">
          <cell r="C446">
            <v>428.54</v>
          </cell>
          <cell r="O446">
            <v>51.68</v>
          </cell>
          <cell r="U446" t="str">
            <v>Pièces</v>
          </cell>
          <cell r="V446" t="str">
            <v>Frais postaux</v>
          </cell>
          <cell r="W446" t="str">
            <v>$</v>
          </cell>
          <cell r="X446">
            <v>0</v>
          </cell>
        </row>
        <row r="447">
          <cell r="C447">
            <v>15087.95</v>
          </cell>
          <cell r="O447">
            <v>3677.6</v>
          </cell>
          <cell r="U447" t="str">
            <v>Pièces</v>
          </cell>
          <cell r="V447" t="str">
            <v>Informatique</v>
          </cell>
          <cell r="W447" t="str">
            <v>$</v>
          </cell>
          <cell r="X447">
            <v>0</v>
          </cell>
        </row>
        <row r="448">
          <cell r="C448">
            <v>1850</v>
          </cell>
          <cell r="O448">
            <v>462.5</v>
          </cell>
          <cell r="U448" t="str">
            <v>Pièces</v>
          </cell>
          <cell r="V448" t="str">
            <v>Papeterie</v>
          </cell>
          <cell r="W448" t="str">
            <v>$</v>
          </cell>
          <cell r="X448">
            <v>0</v>
          </cell>
        </row>
        <row r="449">
          <cell r="C449">
            <v>1365.76</v>
          </cell>
          <cell r="O449">
            <v>334.11</v>
          </cell>
          <cell r="U449" t="str">
            <v>Pièces</v>
          </cell>
          <cell r="V449" t="str">
            <v>Téléphone</v>
          </cell>
          <cell r="W449" t="str">
            <v>$</v>
          </cell>
          <cell r="X449">
            <v>0</v>
          </cell>
        </row>
        <row r="450">
          <cell r="C450">
            <v>5304.77</v>
          </cell>
          <cell r="O450">
            <v>1325.23</v>
          </cell>
          <cell r="U450" t="str">
            <v>Pièces</v>
          </cell>
          <cell r="V450" t="str">
            <v>Divers</v>
          </cell>
          <cell r="W450" t="str">
            <v>$</v>
          </cell>
          <cell r="X450">
            <v>0</v>
          </cell>
        </row>
        <row r="451">
          <cell r="C451">
            <v>6077</v>
          </cell>
          <cell r="O451">
            <v>1519.25</v>
          </cell>
          <cell r="U451" t="str">
            <v>Pièces</v>
          </cell>
          <cell r="V451" t="str">
            <v>Frais de déplacement</v>
          </cell>
          <cell r="W451" t="str">
            <v>$</v>
          </cell>
          <cell r="X451">
            <v>0</v>
          </cell>
        </row>
        <row r="452">
          <cell r="C452">
            <v>41155.81</v>
          </cell>
          <cell r="O452">
            <v>12916.02</v>
          </cell>
          <cell r="U452" t="str">
            <v>Pièces</v>
          </cell>
          <cell r="V452" t="str">
            <v>Services extérieurs</v>
          </cell>
          <cell r="W452" t="str">
            <v>$</v>
          </cell>
          <cell r="X452">
            <v>0</v>
          </cell>
        </row>
        <row r="453">
          <cell r="C453">
            <v>9000</v>
          </cell>
          <cell r="O453">
            <v>2250</v>
          </cell>
          <cell r="U453" t="str">
            <v>Pièces</v>
          </cell>
          <cell r="V453" t="str">
            <v>Amortissement</v>
          </cell>
          <cell r="W453" t="str">
            <v>$</v>
          </cell>
          <cell r="X453">
            <v>0</v>
          </cell>
        </row>
        <row r="454">
          <cell r="C454">
            <v>1600</v>
          </cell>
          <cell r="O454">
            <v>400</v>
          </cell>
          <cell r="U454" t="str">
            <v>Pièces</v>
          </cell>
          <cell r="V454" t="str">
            <v>Location équipement</v>
          </cell>
          <cell r="W454" t="str">
            <v>$</v>
          </cell>
          <cell r="X454">
            <v>0</v>
          </cell>
        </row>
        <row r="455">
          <cell r="C455">
            <v>3670</v>
          </cell>
          <cell r="O455">
            <v>917.5</v>
          </cell>
          <cell r="U455" t="str">
            <v>Pièces</v>
          </cell>
          <cell r="V455" t="str">
            <v>Chauffage, éclairage</v>
          </cell>
          <cell r="W455" t="str">
            <v>$</v>
          </cell>
          <cell r="X455">
            <v>0</v>
          </cell>
        </row>
        <row r="456">
          <cell r="C456">
            <v>26000.03</v>
          </cell>
          <cell r="O456">
            <v>6500</v>
          </cell>
          <cell r="U456" t="str">
            <v>Pièces</v>
          </cell>
          <cell r="V456" t="str">
            <v>Loyer</v>
          </cell>
          <cell r="W456" t="str">
            <v>$</v>
          </cell>
          <cell r="X456">
            <v>0</v>
          </cell>
        </row>
        <row r="457">
          <cell r="C457">
            <v>1500</v>
          </cell>
          <cell r="O457">
            <v>375</v>
          </cell>
          <cell r="U457" t="str">
            <v>Pièces</v>
          </cell>
          <cell r="V457" t="str">
            <v>Assurances</v>
          </cell>
          <cell r="W457" t="str">
            <v>$</v>
          </cell>
          <cell r="X457">
            <v>0</v>
          </cell>
        </row>
        <row r="458">
          <cell r="C458">
            <v>4700</v>
          </cell>
          <cell r="O458">
            <v>1175</v>
          </cell>
          <cell r="U458" t="str">
            <v>Pièces</v>
          </cell>
          <cell r="V458" t="str">
            <v>Taxes foncières</v>
          </cell>
          <cell r="W458" t="str">
            <v>$</v>
          </cell>
          <cell r="X458">
            <v>0</v>
          </cell>
        </row>
        <row r="459">
          <cell r="C459">
            <v>3150</v>
          </cell>
          <cell r="O459">
            <v>787.5</v>
          </cell>
          <cell r="U459" t="str">
            <v>Pièces</v>
          </cell>
          <cell r="V459" t="str">
            <v>Taxes d`affaires</v>
          </cell>
          <cell r="W459" t="str">
            <v>$</v>
          </cell>
          <cell r="X459">
            <v>0</v>
          </cell>
        </row>
        <row r="460">
          <cell r="C460">
            <v>8025</v>
          </cell>
          <cell r="O460">
            <v>2006.25</v>
          </cell>
          <cell r="U460" t="str">
            <v>Pièces</v>
          </cell>
          <cell r="V460" t="str">
            <v>Honoraires</v>
          </cell>
          <cell r="W460" t="str">
            <v>$</v>
          </cell>
          <cell r="X460">
            <v>0</v>
          </cell>
        </row>
        <row r="461">
          <cell r="C461">
            <v>-335021.84999999998</v>
          </cell>
          <cell r="O461">
            <v>-72454</v>
          </cell>
          <cell r="U461" t="str">
            <v>Véhicules neufs</v>
          </cell>
          <cell r="V461" t="str">
            <v>Holdbacks</v>
          </cell>
          <cell r="W461" t="str">
            <v>$</v>
          </cell>
          <cell r="X461">
            <v>0</v>
          </cell>
        </row>
        <row r="462">
          <cell r="C462">
            <v>-12687.99</v>
          </cell>
          <cell r="O462">
            <v>-12847.1</v>
          </cell>
          <cell r="U462" t="str">
            <v>Pièces</v>
          </cell>
          <cell r="V462" t="str">
            <v>Escomptes</v>
          </cell>
          <cell r="W462" t="str">
            <v>$</v>
          </cell>
          <cell r="X462">
            <v>0</v>
          </cell>
        </row>
        <row r="463">
          <cell r="C463">
            <v>-63478</v>
          </cell>
          <cell r="O463">
            <v>-45750</v>
          </cell>
          <cell r="U463" t="str">
            <v>Véhicules neufs</v>
          </cell>
          <cell r="V463" t="str">
            <v>Programme neuf 1</v>
          </cell>
          <cell r="W463" t="str">
            <v>$</v>
          </cell>
          <cell r="X463">
            <v>0</v>
          </cell>
        </row>
        <row r="464">
          <cell r="C464">
            <v>-36620.49</v>
          </cell>
          <cell r="O464">
            <v>-5883.99</v>
          </cell>
          <cell r="U464" t="str">
            <v>Véhicules neufs</v>
          </cell>
          <cell r="V464" t="str">
            <v>Rev. Finances</v>
          </cell>
          <cell r="W464" t="str">
            <v>$</v>
          </cell>
          <cell r="X464" t="str">
            <v>Oui</v>
          </cell>
        </row>
        <row r="465">
          <cell r="C465">
            <v>-53758.61</v>
          </cell>
          <cell r="O465">
            <v>-23294.74</v>
          </cell>
          <cell r="U465" t="str">
            <v>Véhicules usagés</v>
          </cell>
          <cell r="V465" t="str">
            <v>Rev. Finances</v>
          </cell>
          <cell r="W465" t="str">
            <v>$</v>
          </cell>
          <cell r="X465" t="str">
            <v>Oui</v>
          </cell>
        </row>
        <row r="466">
          <cell r="C466">
            <v>-8437.77</v>
          </cell>
          <cell r="O466">
            <v>-546</v>
          </cell>
          <cell r="U466" t="str">
            <v>Véhicules neufs</v>
          </cell>
          <cell r="V466" t="str">
            <v>Rev. Autres</v>
          </cell>
          <cell r="W466" t="str">
            <v>$</v>
          </cell>
          <cell r="X466" t="str">
            <v>Oui</v>
          </cell>
        </row>
        <row r="467">
          <cell r="C467">
            <v>-4247.24</v>
          </cell>
          <cell r="O467">
            <v>-797.27</v>
          </cell>
          <cell r="U467" t="str">
            <v>Véhicules usagés</v>
          </cell>
          <cell r="V467" t="str">
            <v>Rev. Autres</v>
          </cell>
          <cell r="W467" t="str">
            <v>$</v>
          </cell>
          <cell r="X467" t="str">
            <v>Oui</v>
          </cell>
        </row>
        <row r="468">
          <cell r="C468">
            <v>-61873.95</v>
          </cell>
          <cell r="O468">
            <v>-6591.84</v>
          </cell>
          <cell r="U468" t="str">
            <v>Véhicules neufs</v>
          </cell>
          <cell r="V468" t="str">
            <v>Rev. Protections</v>
          </cell>
          <cell r="W468" t="str">
            <v>$</v>
          </cell>
          <cell r="X468" t="str">
            <v>Oui</v>
          </cell>
        </row>
        <row r="469">
          <cell r="C469">
            <v>-90431.3</v>
          </cell>
          <cell r="O469">
            <v>-27795.78</v>
          </cell>
          <cell r="U469" t="str">
            <v>Véhicules neufs</v>
          </cell>
          <cell r="V469" t="str">
            <v>Rev. Protections</v>
          </cell>
          <cell r="W469" t="str">
            <v>$</v>
          </cell>
          <cell r="X469" t="str">
            <v>Oui</v>
          </cell>
        </row>
        <row r="470">
          <cell r="C470">
            <v>-47561.56</v>
          </cell>
          <cell r="O470">
            <v>-17013</v>
          </cell>
          <cell r="U470" t="str">
            <v>Véhicules usagés</v>
          </cell>
          <cell r="V470" t="str">
            <v>Rev. Protections</v>
          </cell>
          <cell r="W470" t="str">
            <v>$</v>
          </cell>
          <cell r="X470" t="str">
            <v>Oui</v>
          </cell>
        </row>
        <row r="471">
          <cell r="C471">
            <v>-21683.32</v>
          </cell>
          <cell r="O471">
            <v>-5572.85</v>
          </cell>
          <cell r="U471" t="str">
            <v>Véhicules usagés</v>
          </cell>
          <cell r="V471" t="str">
            <v>Rev. Protections</v>
          </cell>
          <cell r="W471" t="str">
            <v>$</v>
          </cell>
          <cell r="X471" t="str">
            <v>Oui</v>
          </cell>
        </row>
        <row r="472">
          <cell r="C472">
            <v>-113757.25</v>
          </cell>
          <cell r="O472">
            <v>-23127</v>
          </cell>
          <cell r="U472" t="str">
            <v>Véhicules neufs</v>
          </cell>
          <cell r="V472" t="str">
            <v>Frais administration</v>
          </cell>
          <cell r="W472" t="str">
            <v>$</v>
          </cell>
          <cell r="X472">
            <v>0</v>
          </cell>
        </row>
        <row r="473">
          <cell r="C473">
            <v>-156768.12</v>
          </cell>
          <cell r="O473">
            <v>-19268.11</v>
          </cell>
          <cell r="U473" t="str">
            <v>TOTAL  DES  REVENUS  ET  DÉPENSES</v>
          </cell>
          <cell r="V473" t="str">
            <v>Revenus autres</v>
          </cell>
          <cell r="W473" t="str">
            <v>$</v>
          </cell>
          <cell r="X473">
            <v>0</v>
          </cell>
        </row>
        <row r="474">
          <cell r="C474">
            <v>15993.27</v>
          </cell>
          <cell r="O474">
            <v>4607.6400000000003</v>
          </cell>
          <cell r="U474" t="str">
            <v>TOTAL  DES  REVENUS  ET  DÉPENSES</v>
          </cell>
          <cell r="V474" t="str">
            <v>Intérêts sur prêt</v>
          </cell>
          <cell r="W474" t="str">
            <v>$</v>
          </cell>
          <cell r="X474">
            <v>0</v>
          </cell>
        </row>
        <row r="475">
          <cell r="C475">
            <v>27908.33</v>
          </cell>
          <cell r="O475">
            <v>8180.25</v>
          </cell>
          <cell r="U475" t="str">
            <v>Véhicules neufs</v>
          </cell>
          <cell r="V475" t="str">
            <v>Frais bancaires</v>
          </cell>
          <cell r="W475" t="str">
            <v>$</v>
          </cell>
          <cell r="X475">
            <v>0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M13" sqref="M13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bestFit="1" customWidth="1"/>
    <col min="7" max="7" width="12.625" customWidth="1"/>
    <col min="8" max="9" width="1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2" spans="1:17" ht="15">
      <c r="C2" s="433"/>
    </row>
    <row r="3" spans="1:17" ht="15">
      <c r="B3" t="s">
        <v>233</v>
      </c>
      <c r="C3" s="434"/>
      <c r="P3" s="509"/>
      <c r="Q3" s="510"/>
    </row>
    <row r="5" spans="1:17" s="465" customFormat="1" ht="16.5" customHeight="1"/>
    <row r="6" spans="1:17" s="465" customFormat="1" ht="16.5" customHeight="1">
      <c r="B6" s="512" t="s">
        <v>208</v>
      </c>
      <c r="C6" s="512"/>
      <c r="D6" s="512"/>
      <c r="E6" s="512"/>
      <c r="F6" s="513" t="s">
        <v>209</v>
      </c>
      <c r="G6" s="513"/>
      <c r="H6" s="513"/>
      <c r="I6" s="513"/>
      <c r="J6" s="514" t="s">
        <v>210</v>
      </c>
      <c r="K6" s="514"/>
      <c r="L6" s="514"/>
      <c r="M6" s="514"/>
      <c r="N6" s="515" t="s">
        <v>211</v>
      </c>
      <c r="O6" s="515"/>
      <c r="P6" s="515"/>
      <c r="Q6" s="515"/>
    </row>
    <row r="7" spans="1:17" s="465" customFormat="1" ht="16.5" customHeight="1">
      <c r="A7"/>
      <c r="B7" s="472" t="s">
        <v>201</v>
      </c>
      <c r="C7" s="472" t="s">
        <v>202</v>
      </c>
      <c r="D7" s="472" t="s">
        <v>203</v>
      </c>
      <c r="E7" s="472" t="s">
        <v>204</v>
      </c>
      <c r="F7" s="473" t="s">
        <v>201</v>
      </c>
      <c r="G7" s="473" t="s">
        <v>202</v>
      </c>
      <c r="H7" s="473" t="s">
        <v>203</v>
      </c>
      <c r="I7" s="473" t="s">
        <v>204</v>
      </c>
      <c r="J7" s="491" t="s">
        <v>201</v>
      </c>
      <c r="K7" s="491" t="s">
        <v>202</v>
      </c>
      <c r="L7" s="491" t="s">
        <v>203</v>
      </c>
      <c r="M7" s="491" t="s">
        <v>204</v>
      </c>
      <c r="N7" s="474" t="s">
        <v>201</v>
      </c>
      <c r="O7" s="474" t="s">
        <v>202</v>
      </c>
      <c r="P7" s="474" t="s">
        <v>203</v>
      </c>
      <c r="Q7" s="474" t="s">
        <v>204</v>
      </c>
    </row>
    <row r="8" spans="1:17" s="465" customFormat="1" ht="16.5" customHeight="1">
      <c r="A8" s="464" t="s">
        <v>207</v>
      </c>
      <c r="B8" s="475">
        <f>+B9-B10</f>
        <v>0</v>
      </c>
      <c r="C8" s="475">
        <f t="shared" ref="C8:F8" si="0">+C9-C10</f>
        <v>0</v>
      </c>
      <c r="D8" s="475">
        <f t="shared" si="0"/>
        <v>0</v>
      </c>
      <c r="E8" s="475">
        <f t="shared" si="0"/>
        <v>0</v>
      </c>
      <c r="F8" s="475">
        <f t="shared" si="0"/>
        <v>0</v>
      </c>
      <c r="G8" s="475">
        <f t="shared" ref="G8" si="1">+G9-G10</f>
        <v>0</v>
      </c>
      <c r="H8" s="475">
        <f t="shared" ref="H8" si="2">+H9-H10</f>
        <v>0</v>
      </c>
      <c r="I8" s="475">
        <f t="shared" ref="I8:J8" si="3">+I9-I10</f>
        <v>0</v>
      </c>
      <c r="J8" s="487">
        <f t="shared" si="3"/>
        <v>0</v>
      </c>
      <c r="K8" s="487">
        <f t="shared" ref="K8" si="4">+K9-K10</f>
        <v>0</v>
      </c>
      <c r="L8" s="487">
        <f t="shared" ref="L8" si="5">+L9-L10</f>
        <v>0</v>
      </c>
      <c r="M8" s="487">
        <f t="shared" ref="M8:N8" si="6">+M9-M10</f>
        <v>0</v>
      </c>
      <c r="N8" s="475">
        <f t="shared" si="6"/>
        <v>0</v>
      </c>
      <c r="O8" s="475">
        <f t="shared" ref="O8" si="7">+O9-O10</f>
        <v>0</v>
      </c>
      <c r="P8" s="475">
        <f t="shared" ref="P8" si="8">+P9-P10</f>
        <v>0</v>
      </c>
      <c r="Q8" s="475">
        <f t="shared" ref="Q8" si="9">+Q9-Q10</f>
        <v>0</v>
      </c>
    </row>
    <row r="9" spans="1:17" s="465" customFormat="1" ht="16.5" customHeight="1">
      <c r="A9" s="466" t="s">
        <v>205</v>
      </c>
      <c r="B9" s="468">
        <f>+Conso!$Z$405</f>
        <v>8038384.2232491253</v>
      </c>
      <c r="C9" s="468">
        <f>+Conso!$Z$406</f>
        <v>1712610.4907553252</v>
      </c>
      <c r="D9" s="468">
        <f>+Conso!$Z$482</f>
        <v>409156.35641350673</v>
      </c>
      <c r="E9" s="468">
        <f>+Conso!$Z$497</f>
        <v>378559.98818682198</v>
      </c>
      <c r="F9" s="468">
        <f>+Conso!$AC$405</f>
        <v>8038384.2232491253</v>
      </c>
      <c r="G9" s="468">
        <f>+Conso!$AC$406</f>
        <v>1778116.1486271881</v>
      </c>
      <c r="H9" s="468">
        <f>+Conso!$AC$482</f>
        <v>396422.32882332022</v>
      </c>
      <c r="I9" s="468">
        <f>+Conso!$AC$497</f>
        <v>365825.96059663547</v>
      </c>
      <c r="J9" s="468">
        <f>+Conso!$AF$405</f>
        <v>16048941.219999997</v>
      </c>
      <c r="K9" s="468">
        <f>+Conso!$AF$406</f>
        <v>1948196.6899999995</v>
      </c>
      <c r="L9" s="468">
        <f>+Conso!$AF$482</f>
        <v>633129.41999999934</v>
      </c>
      <c r="M9" s="468">
        <f>+Conso!$AF$497</f>
        <v>633961.80999999936</v>
      </c>
      <c r="N9" s="468">
        <f>+Conso!$AL$405</f>
        <v>15054918.41</v>
      </c>
      <c r="O9" s="468">
        <f>+Conso!$AL$406</f>
        <v>1646743.33</v>
      </c>
      <c r="P9" s="468">
        <f>+Conso!$AL$482</f>
        <v>270793.34000000026</v>
      </c>
      <c r="Q9" s="468">
        <f>+Conso!$AL$497</f>
        <v>231534.21000000025</v>
      </c>
    </row>
    <row r="10" spans="1:17" s="465" customFormat="1" ht="16.5" customHeight="1">
      <c r="A10" s="467" t="s">
        <v>206</v>
      </c>
      <c r="B10" s="486">
        <f t="shared" ref="B10:Q10" si="10">+SUM(B11:B13)</f>
        <v>8038384.2232491244</v>
      </c>
      <c r="C10" s="486">
        <f t="shared" si="10"/>
        <v>1712610.4907553256</v>
      </c>
      <c r="D10" s="486">
        <f t="shared" si="10"/>
        <v>409156.35641350702</v>
      </c>
      <c r="E10" s="486">
        <f t="shared" si="10"/>
        <v>378559.98818682221</v>
      </c>
      <c r="F10" s="486">
        <f t="shared" si="10"/>
        <v>8038384.2232491244</v>
      </c>
      <c r="G10" s="486">
        <f t="shared" si="10"/>
        <v>1778116.1486271885</v>
      </c>
      <c r="H10" s="486">
        <f t="shared" si="10"/>
        <v>396422.32882332033</v>
      </c>
      <c r="I10" s="486">
        <f t="shared" si="10"/>
        <v>365825.96059663559</v>
      </c>
      <c r="J10" s="486">
        <f t="shared" si="10"/>
        <v>16048941.219999999</v>
      </c>
      <c r="K10" s="486">
        <f t="shared" si="10"/>
        <v>1948196.6900000002</v>
      </c>
      <c r="L10" s="486">
        <f t="shared" si="10"/>
        <v>633129.42000000016</v>
      </c>
      <c r="M10" s="486">
        <f t="shared" si="10"/>
        <v>633961.81000000017</v>
      </c>
      <c r="N10" s="486">
        <f t="shared" si="10"/>
        <v>15054918.410000002</v>
      </c>
      <c r="O10" s="486">
        <f t="shared" si="10"/>
        <v>1646743.33</v>
      </c>
      <c r="P10" s="486">
        <f t="shared" si="10"/>
        <v>270793.3400000002</v>
      </c>
      <c r="Q10" s="486">
        <f t="shared" si="10"/>
        <v>231534.2100000002</v>
      </c>
    </row>
    <row r="11" spans="1:17" s="465" customFormat="1" ht="16.5" customHeight="1">
      <c r="A11" s="477" t="s">
        <v>230</v>
      </c>
      <c r="B11" s="469">
        <f>+'VW 4'!$Z$405</f>
        <v>2470120.3212222797</v>
      </c>
      <c r="C11" s="469">
        <f>+'VW 4'!$Z$406</f>
        <v>545848.99954707432</v>
      </c>
      <c r="D11" s="469">
        <f>+'VW 4'!$Z$482</f>
        <v>130720.25126673651</v>
      </c>
      <c r="E11" s="469">
        <f>+'VW 4'!$Z$497</f>
        <v>120519.67691482035</v>
      </c>
      <c r="F11" s="469">
        <f>+'VW 4'!$AC$405</f>
        <v>2470120.3212222797</v>
      </c>
      <c r="G11" s="469">
        <f>+'VW 4'!$AC$406</f>
        <v>574246.67272441753</v>
      </c>
      <c r="H11" s="469">
        <f>+'VW 4'!$AC$482</f>
        <v>121216.05031895958</v>
      </c>
      <c r="I11" s="469">
        <f>+'VW 4'!$AC$497</f>
        <v>111015.47596704341</v>
      </c>
      <c r="J11" s="488">
        <f>+'VW 4'!$AF$405</f>
        <v>5121135.46</v>
      </c>
      <c r="K11" s="488">
        <f>+'VW 4'!$AF$406</f>
        <v>640912.73999999987</v>
      </c>
      <c r="L11" s="488">
        <f>+'VW 4'!$AF$482</f>
        <v>194923.30999999994</v>
      </c>
      <c r="M11" s="488">
        <f>+'VW 4'!$AF$497</f>
        <v>187231.24999999994</v>
      </c>
      <c r="N11" s="469">
        <f>+'VW 4'!$AL$405</f>
        <v>4604575.2200000007</v>
      </c>
      <c r="O11" s="469">
        <f>+'VW 4'!$AL$406</f>
        <v>538002.03000000038</v>
      </c>
      <c r="P11" s="469">
        <f>+'VW 4'!$AL$482</f>
        <v>114960.78000000038</v>
      </c>
      <c r="Q11" s="469">
        <f>+'VW 4'!$AL$497</f>
        <v>102916.93000000037</v>
      </c>
    </row>
    <row r="12" spans="1:17" s="465" customFormat="1" ht="16.5" customHeight="1">
      <c r="A12" s="478" t="s">
        <v>231</v>
      </c>
      <c r="B12" s="470">
        <f>+'VW 5'!$Z$405</f>
        <v>3070578.4158225488</v>
      </c>
      <c r="C12" s="470">
        <f>+'VW 5'!$Z$406</f>
        <v>640640.25587218278</v>
      </c>
      <c r="D12" s="470">
        <f>+'VW 5'!$Z$482</f>
        <v>205500.38606289332</v>
      </c>
      <c r="E12" s="470">
        <f>+'VW 5'!$Z$497</f>
        <v>195297.69468896775</v>
      </c>
      <c r="F12" s="470">
        <f>+'VW 5'!$AC$405</f>
        <v>3070578.4158225488</v>
      </c>
      <c r="G12" s="470">
        <f>+'VW 5'!$AC$406</f>
        <v>677748.24056670244</v>
      </c>
      <c r="H12" s="470">
        <f>+'VW 5'!$AC$482</f>
        <v>202270.55942048362</v>
      </c>
      <c r="I12" s="470">
        <f>+'VW 5'!$AC$497</f>
        <v>192067.86804655805</v>
      </c>
      <c r="J12" s="489">
        <f>+'VW 5'!$AF$405</f>
        <v>5749670.9499999993</v>
      </c>
      <c r="K12" s="489">
        <f>+'VW 5'!$AF$406</f>
        <v>685822.65000000014</v>
      </c>
      <c r="L12" s="489">
        <f>+'VW 5'!$AF$482</f>
        <v>267930.12000000017</v>
      </c>
      <c r="M12" s="489">
        <f>+'VW 5'!$AF$497</f>
        <v>281298.69000000018</v>
      </c>
      <c r="N12" s="470">
        <f>+'VW 5'!$AL$405</f>
        <v>5181423.8600000003</v>
      </c>
      <c r="O12" s="470">
        <f>+'VW 5'!$AL$406</f>
        <v>554370.64999999991</v>
      </c>
      <c r="P12" s="470">
        <f>+'VW 5'!$AL$482</f>
        <v>77916.279999999912</v>
      </c>
      <c r="Q12" s="470">
        <f>+'VW 5'!$AL$497</f>
        <v>64308.639999999912</v>
      </c>
    </row>
    <row r="13" spans="1:17">
      <c r="A13" s="479" t="s">
        <v>232</v>
      </c>
      <c r="B13" s="471">
        <f>+'VW 6'!$Z$405</f>
        <v>2497685.4862042968</v>
      </c>
      <c r="C13" s="471">
        <f>+'VW 6'!$Z$406</f>
        <v>526121.23533606844</v>
      </c>
      <c r="D13" s="471">
        <f>+'VW 6'!$Z$482</f>
        <v>72935.719083877135</v>
      </c>
      <c r="E13" s="471">
        <f>+'VW 6'!$Z$497</f>
        <v>62742.61658303412</v>
      </c>
      <c r="F13" s="471">
        <f>+'VW 6'!$AC$405</f>
        <v>2497685.4862042968</v>
      </c>
      <c r="G13" s="471">
        <f>+'VW 6'!$AC$406</f>
        <v>526121.23533606844</v>
      </c>
      <c r="H13" s="471">
        <f>+'VW 6'!$AC$482</f>
        <v>72935.719083877135</v>
      </c>
      <c r="I13" s="471">
        <f>+'VW 6'!$AC$497</f>
        <v>62742.61658303412</v>
      </c>
      <c r="J13" s="490">
        <f>+'VW 6'!$AF$405</f>
        <v>5178134.8099999996</v>
      </c>
      <c r="K13" s="490">
        <f>+'VW 6'!$AF$406</f>
        <v>621461.30000000005</v>
      </c>
      <c r="L13" s="490">
        <f>+'VW 6'!$AF$482</f>
        <v>170275.99000000005</v>
      </c>
      <c r="M13" s="490">
        <f>+'VW 6'!$AF$497</f>
        <v>165431.87000000005</v>
      </c>
      <c r="N13" s="471">
        <f>+'VW 6'!$AL$405</f>
        <v>5268919.33</v>
      </c>
      <c r="O13" s="471">
        <f>+'VW 6'!$AL$406</f>
        <v>554370.64999999991</v>
      </c>
      <c r="P13" s="471">
        <f>+'VW 6'!$AL$482</f>
        <v>77916.279999999912</v>
      </c>
      <c r="Q13" s="471">
        <f>+'VW 6'!$AL$497</f>
        <v>64308.639999999912</v>
      </c>
    </row>
  </sheetData>
  <mergeCells count="4">
    <mergeCell ref="B6:E6"/>
    <mergeCell ref="F6:I6"/>
    <mergeCell ref="J6:M6"/>
    <mergeCell ref="N6:Q6"/>
  </mergeCells>
  <phoneticPr fontId="39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A302" zoomScale="50" zoomScaleNormal="50" workbookViewId="0">
      <selection activeCell="N352" activeCellId="2" sqref="N232 N288 N352"/>
    </sheetView>
  </sheetViews>
  <sheetFormatPr baseColWidth="10" defaultColWidth="12.625" defaultRowHeight="15" customHeight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195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 xml:space="preserve">Réalisé  </v>
      </c>
      <c r="T1" s="2" t="s">
        <v>1</v>
      </c>
      <c r="U1" s="6"/>
      <c r="V1" s="485" t="s">
        <v>208</v>
      </c>
      <c r="W1" s="485" t="s">
        <v>212</v>
      </c>
      <c r="X1" s="485" t="s">
        <v>210</v>
      </c>
      <c r="Y1" s="485" t="s">
        <v>213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" thickTop="1">
      <c r="B3" s="12"/>
      <c r="C3" s="13"/>
      <c r="D3" s="519" t="s">
        <v>5</v>
      </c>
      <c r="E3" s="520"/>
      <c r="F3" s="521"/>
      <c r="G3" s="522" t="s">
        <v>6</v>
      </c>
      <c r="H3" s="520"/>
      <c r="I3" s="521"/>
      <c r="J3" s="522" t="s">
        <v>7</v>
      </c>
      <c r="K3" s="520"/>
      <c r="L3" s="521"/>
      <c r="M3" s="522" t="s">
        <v>8</v>
      </c>
      <c r="N3" s="521"/>
      <c r="O3" s="519" t="s">
        <v>9</v>
      </c>
      <c r="P3" s="520"/>
      <c r="Q3" s="521"/>
      <c r="R3" s="522" t="s">
        <v>10</v>
      </c>
      <c r="S3" s="523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82">
        <f>+SUM(V5:V398)</f>
        <v>0</v>
      </c>
      <c r="W4" s="482">
        <f>+SUM(W5:W398)</f>
        <v>0</v>
      </c>
      <c r="X4" s="481">
        <f t="shared" ref="X4:Y4" si="0">+SUM(X5:X398)</f>
        <v>0</v>
      </c>
      <c r="Y4" s="481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1">+$K$1</f>
        <v>Véhicules neufs</v>
      </c>
      <c r="C5" s="21" t="s">
        <v>16</v>
      </c>
      <c r="D5" s="22"/>
      <c r="E5" s="22"/>
      <c r="F5" s="23">
        <f>+SUM(START:END!F5)</f>
        <v>2424853.6060726075</v>
      </c>
      <c r="G5" s="24"/>
      <c r="H5" s="22"/>
      <c r="I5" s="23">
        <f>+SUM(START:END!I5)</f>
        <v>2424853.6060726075</v>
      </c>
      <c r="J5" s="24"/>
      <c r="K5" s="26"/>
      <c r="L5" s="23">
        <f>+SUM(START:END!L5)</f>
        <v>9687349.9699999988</v>
      </c>
      <c r="M5" s="27"/>
      <c r="N5" s="28"/>
      <c r="O5" s="24"/>
      <c r="P5" s="26"/>
      <c r="Q5" s="23">
        <f>+SUM(START:END!Q5)</f>
        <v>9378048.6500000004</v>
      </c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2">+B6&amp;C6</f>
        <v>Véhicules neufsAutos détail</v>
      </c>
      <c r="B6" s="12" t="str">
        <f t="shared" si="1"/>
        <v>Véhicules neufs</v>
      </c>
      <c r="C6" s="30" t="s">
        <v>17</v>
      </c>
      <c r="D6" s="31">
        <f>+SUM(START:END!D6)</f>
        <v>98.886678704019999</v>
      </c>
      <c r="E6" s="31">
        <f>IF(D6=0,0,F6/D6)</f>
        <v>629.09316454049542</v>
      </c>
      <c r="F6" s="31">
        <f>+SUM(START:END!F6)</f>
        <v>62208.933636811154</v>
      </c>
      <c r="G6" s="32">
        <f>+SUM(START:END!G6)</f>
        <v>88.126469163979536</v>
      </c>
      <c r="H6" s="31">
        <f>IF(G6=0,0,I6/G6)</f>
        <v>957.16463159202942</v>
      </c>
      <c r="I6" s="31">
        <f>+SUM(START:END!I6)</f>
        <v>84351.53939084681</v>
      </c>
      <c r="J6" s="32">
        <f>+SUM(START:END!J6)</f>
        <v>72</v>
      </c>
      <c r="K6" s="31">
        <f>IF(J6=0,0,L6/J6)</f>
        <v>884.42152777777505</v>
      </c>
      <c r="L6" s="33">
        <f>+SUM(START:END!L6)</f>
        <v>63678.349999999802</v>
      </c>
      <c r="M6" s="32">
        <f t="shared" ref="M6:M12" si="3">J6-G6</f>
        <v>-16.126469163979536</v>
      </c>
      <c r="N6" s="34">
        <f>L6-I6</f>
        <v>-20673.189390847008</v>
      </c>
      <c r="O6" s="32">
        <f>+SUM(START:END!O6)</f>
        <v>164</v>
      </c>
      <c r="P6" s="31">
        <f>IF(O6=0,0,Q6/O6)</f>
        <v>634.9262195121978</v>
      </c>
      <c r="Q6" s="33">
        <f>+SUM(START:END!Q6)</f>
        <v>104127.90000000043</v>
      </c>
      <c r="R6" s="32">
        <f t="shared" ref="R6:R12" si="4">J6-O6</f>
        <v>-92</v>
      </c>
      <c r="S6" s="35">
        <f t="shared" ref="S6:S12" si="5">L6-Q6</f>
        <v>-40449.550000000629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2"/>
        <v>Véhicules neufsCamions détail</v>
      </c>
      <c r="B7" s="12" t="str">
        <f t="shared" si="1"/>
        <v>Véhicules neufs</v>
      </c>
      <c r="C7" s="30" t="s">
        <v>18</v>
      </c>
      <c r="D7" s="31">
        <f>+SUM(START:END!D7)</f>
        <v>132.8279809654658</v>
      </c>
      <c r="E7" s="31">
        <f t="shared" ref="E7:E12" si="6">IF(D7=0,0,F7/D7)</f>
        <v>1273.5737604103972</v>
      </c>
      <c r="F7" s="31">
        <f>+SUM(START:END!F7)</f>
        <v>169166.23120590893</v>
      </c>
      <c r="G7" s="32">
        <f>+SUM(START:END!G7)</f>
        <v>118.79364009815072</v>
      </c>
      <c r="H7" s="31">
        <f t="shared" ref="H7:H12" si="7">IF(G7=0,0,I7/G7)</f>
        <v>1700.4049303149186</v>
      </c>
      <c r="I7" s="31">
        <f>+SUM(START:END!I7)</f>
        <v>201997.29131295148</v>
      </c>
      <c r="J7" s="32">
        <f>+SUM(START:END!J7)</f>
        <v>131</v>
      </c>
      <c r="K7" s="31">
        <f t="shared" ref="K7:K12" si="8">IF(J7=0,0,L7/J7)</f>
        <v>2187.6411450381688</v>
      </c>
      <c r="L7" s="33">
        <f>+SUM(START:END!L7)</f>
        <v>286580.99000000011</v>
      </c>
      <c r="M7" s="32">
        <f t="shared" si="3"/>
        <v>12.206359901849282</v>
      </c>
      <c r="N7" s="34">
        <f t="shared" ref="N7:N12" si="9">L7-I7</f>
        <v>84583.698687048629</v>
      </c>
      <c r="O7" s="32">
        <f>+SUM(START:END!O7)</f>
        <v>74</v>
      </c>
      <c r="P7" s="31">
        <f t="shared" ref="P7:P12" si="10">IF(O7=0,0,Q7/O7)</f>
        <v>871.18499999999608</v>
      </c>
      <c r="Q7" s="33">
        <f>+SUM(START:END!Q7)</f>
        <v>64467.689999999711</v>
      </c>
      <c r="R7" s="32">
        <f t="shared" si="4"/>
        <v>57</v>
      </c>
      <c r="S7" s="35">
        <f t="shared" si="5"/>
        <v>222113.3000000004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2"/>
        <v>Véhicules neufsSprinter</v>
      </c>
      <c r="B8" s="12" t="str">
        <f t="shared" si="1"/>
        <v>Véhicules neufs</v>
      </c>
      <c r="C8" s="30" t="s">
        <v>19</v>
      </c>
      <c r="D8" s="31">
        <f>+SUM(START:END!D8)</f>
        <v>0</v>
      </c>
      <c r="E8" s="31">
        <f t="shared" si="6"/>
        <v>0</v>
      </c>
      <c r="F8" s="31">
        <f>+SUM(START:END!F8)</f>
        <v>0</v>
      </c>
      <c r="G8" s="32">
        <f>+SUM(START:END!G8)</f>
        <v>0</v>
      </c>
      <c r="H8" s="31">
        <f t="shared" si="7"/>
        <v>0</v>
      </c>
      <c r="I8" s="31">
        <f>+SUM(START:END!I8)</f>
        <v>0</v>
      </c>
      <c r="J8" s="32">
        <f>+SUM(START:END!J8)</f>
        <v>0</v>
      </c>
      <c r="K8" s="31">
        <f t="shared" si="8"/>
        <v>0</v>
      </c>
      <c r="L8" s="33">
        <f>+SUM(START:END!L8)</f>
        <v>0</v>
      </c>
      <c r="M8" s="32">
        <f t="shared" si="3"/>
        <v>0</v>
      </c>
      <c r="N8" s="34">
        <f t="shared" si="9"/>
        <v>0</v>
      </c>
      <c r="O8" s="32">
        <f>+SUM(START:END!O8)</f>
        <v>0</v>
      </c>
      <c r="P8" s="31">
        <f t="shared" si="10"/>
        <v>0</v>
      </c>
      <c r="Q8" s="33">
        <f>+SUM(START:END!Q8)</f>
        <v>0</v>
      </c>
      <c r="R8" s="32">
        <f t="shared" si="4"/>
        <v>0</v>
      </c>
      <c r="S8" s="35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2"/>
        <v>Véhicules neufsMoto détail</v>
      </c>
      <c r="B9" s="12" t="str">
        <f t="shared" si="1"/>
        <v>Véhicules neufs</v>
      </c>
      <c r="C9" s="30" t="s">
        <v>20</v>
      </c>
      <c r="D9" s="31">
        <f>+SUM(START:END!D9)</f>
        <v>0</v>
      </c>
      <c r="E9" s="31">
        <f t="shared" si="6"/>
        <v>0</v>
      </c>
      <c r="F9" s="31">
        <f>+SUM(START:END!F9)</f>
        <v>0</v>
      </c>
      <c r="G9" s="32">
        <f>+SUM(START:END!G9)</f>
        <v>0</v>
      </c>
      <c r="H9" s="31">
        <f t="shared" si="7"/>
        <v>0</v>
      </c>
      <c r="I9" s="31">
        <f>+SUM(START:END!I9)</f>
        <v>0</v>
      </c>
      <c r="J9" s="32">
        <f>+SUM(START:END!J9)</f>
        <v>0</v>
      </c>
      <c r="K9" s="31">
        <f t="shared" si="8"/>
        <v>0</v>
      </c>
      <c r="L9" s="33">
        <f>+SUM(START:END!L9)</f>
        <v>0</v>
      </c>
      <c r="M9" s="32">
        <f t="shared" si="3"/>
        <v>0</v>
      </c>
      <c r="N9" s="34">
        <f t="shared" si="9"/>
        <v>0</v>
      </c>
      <c r="O9" s="32">
        <f>+SUM(START:END!O9)</f>
        <v>0</v>
      </c>
      <c r="P9" s="31">
        <f t="shared" si="10"/>
        <v>0</v>
      </c>
      <c r="Q9" s="33">
        <f>+SUM(START:END!Q9)</f>
        <v>0</v>
      </c>
      <c r="R9" s="32">
        <f t="shared" si="4"/>
        <v>0</v>
      </c>
      <c r="S9" s="35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2"/>
        <v>Véhicules neufs[...]</v>
      </c>
      <c r="B10" s="12" t="str">
        <f t="shared" si="1"/>
        <v>Véhicules neufs</v>
      </c>
      <c r="C10" s="30" t="s">
        <v>21</v>
      </c>
      <c r="D10" s="31">
        <f>+SUM(START:END!D10)</f>
        <v>0</v>
      </c>
      <c r="E10" s="31">
        <f t="shared" si="6"/>
        <v>0</v>
      </c>
      <c r="F10" s="31">
        <f>+SUM(START:END!F10)</f>
        <v>0</v>
      </c>
      <c r="G10" s="32">
        <f>+SUM(START:END!G10)</f>
        <v>0</v>
      </c>
      <c r="H10" s="31">
        <f t="shared" si="7"/>
        <v>0</v>
      </c>
      <c r="I10" s="31">
        <f>+SUM(START:END!I10)</f>
        <v>0</v>
      </c>
      <c r="J10" s="32">
        <f>+SUM(START:END!J10)</f>
        <v>0</v>
      </c>
      <c r="K10" s="31">
        <f t="shared" si="8"/>
        <v>0</v>
      </c>
      <c r="L10" s="33">
        <f>+SUM(START:END!L10)</f>
        <v>0</v>
      </c>
      <c r="M10" s="32">
        <f t="shared" si="3"/>
        <v>0</v>
      </c>
      <c r="N10" s="34">
        <f t="shared" si="9"/>
        <v>0</v>
      </c>
      <c r="O10" s="32">
        <f>+SUM(START:END!O10)</f>
        <v>0</v>
      </c>
      <c r="P10" s="31">
        <f t="shared" si="10"/>
        <v>0</v>
      </c>
      <c r="Q10" s="33">
        <f>+SUM(START:END!Q10)</f>
        <v>0</v>
      </c>
      <c r="R10" s="32">
        <f t="shared" si="4"/>
        <v>0</v>
      </c>
      <c r="S10" s="35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2"/>
        <v>Véhicules neufs[...]</v>
      </c>
      <c r="B11" s="12" t="str">
        <f t="shared" si="1"/>
        <v>Véhicules neufs</v>
      </c>
      <c r="C11" s="30" t="s">
        <v>21</v>
      </c>
      <c r="D11" s="31">
        <f>+SUM(START:END!D11)</f>
        <v>0</v>
      </c>
      <c r="E11" s="31">
        <f t="shared" si="6"/>
        <v>0</v>
      </c>
      <c r="F11" s="31">
        <f>+SUM(START:END!F11)</f>
        <v>0</v>
      </c>
      <c r="G11" s="32">
        <f>+SUM(START:END!G11)</f>
        <v>0</v>
      </c>
      <c r="H11" s="31">
        <f t="shared" si="7"/>
        <v>0</v>
      </c>
      <c r="I11" s="31">
        <f>+SUM(START:END!I11)</f>
        <v>0</v>
      </c>
      <c r="J11" s="32">
        <f>+SUM(START:END!J11)</f>
        <v>0</v>
      </c>
      <c r="K11" s="31">
        <f t="shared" si="8"/>
        <v>0</v>
      </c>
      <c r="L11" s="33">
        <f>+SUM(START:END!L11)</f>
        <v>0</v>
      </c>
      <c r="M11" s="32">
        <f t="shared" si="3"/>
        <v>0</v>
      </c>
      <c r="N11" s="34">
        <f t="shared" si="9"/>
        <v>0</v>
      </c>
      <c r="O11" s="32">
        <f>+SUM(START:END!O11)</f>
        <v>0</v>
      </c>
      <c r="P11" s="31">
        <f t="shared" si="10"/>
        <v>0</v>
      </c>
      <c r="Q11" s="33">
        <f>+SUM(START:END!Q11)</f>
        <v>0</v>
      </c>
      <c r="R11" s="32">
        <f t="shared" si="4"/>
        <v>0</v>
      </c>
      <c r="S11" s="35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2"/>
        <v>Véhicules neufs[...]</v>
      </c>
      <c r="B12" s="12" t="str">
        <f t="shared" si="1"/>
        <v>Véhicules neufs</v>
      </c>
      <c r="C12" s="30" t="s">
        <v>21</v>
      </c>
      <c r="D12" s="31">
        <f>+SUM(START:END!D12)</f>
        <v>0</v>
      </c>
      <c r="E12" s="31">
        <f t="shared" si="6"/>
        <v>0</v>
      </c>
      <c r="F12" s="31">
        <f>+SUM(START:END!F12)</f>
        <v>0</v>
      </c>
      <c r="G12" s="32">
        <f>+SUM(START:END!G12)</f>
        <v>0</v>
      </c>
      <c r="H12" s="31">
        <f t="shared" si="7"/>
        <v>0</v>
      </c>
      <c r="I12" s="31">
        <f>+SUM(START:END!I12)</f>
        <v>0</v>
      </c>
      <c r="J12" s="32">
        <f>+SUM(START:END!J12)</f>
        <v>0</v>
      </c>
      <c r="K12" s="31">
        <f t="shared" si="8"/>
        <v>0</v>
      </c>
      <c r="L12" s="33">
        <f>+SUM(START:END!L12)</f>
        <v>0</v>
      </c>
      <c r="M12" s="32">
        <f t="shared" si="3"/>
        <v>0</v>
      </c>
      <c r="N12" s="34">
        <f t="shared" si="9"/>
        <v>0</v>
      </c>
      <c r="O12" s="32">
        <f>+SUM(START:END!O12)</f>
        <v>0</v>
      </c>
      <c r="P12" s="31">
        <f t="shared" si="10"/>
        <v>0</v>
      </c>
      <c r="Q12" s="33">
        <f>+SUM(START:END!Q12)</f>
        <v>0</v>
      </c>
      <c r="R12" s="32">
        <f t="shared" si="4"/>
        <v>0</v>
      </c>
      <c r="S12" s="35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2"/>
        <v>Véhicules neufsTotal Neufs</v>
      </c>
      <c r="B13" s="12" t="str">
        <f t="shared" si="1"/>
        <v>Véhicules neufs</v>
      </c>
      <c r="C13" s="36" t="s">
        <v>22</v>
      </c>
      <c r="D13" s="37">
        <f>+SUM(D6:D12)</f>
        <v>231.7146596694858</v>
      </c>
      <c r="E13" s="37">
        <f>IF(D13&lt;=0,0,F13/D13)</f>
        <v>998.53485822929827</v>
      </c>
      <c r="F13" s="38">
        <f>+SUM(F6:F12)</f>
        <v>231375.16484272009</v>
      </c>
      <c r="G13" s="39">
        <f>+SUM(G6:G12)</f>
        <v>206.92010926213027</v>
      </c>
      <c r="H13" s="37">
        <f>IF(G13&lt;=0,0,I13/G13)</f>
        <v>1383.8617799154852</v>
      </c>
      <c r="I13" s="38">
        <f>+SUM(I6:I12)</f>
        <v>286348.83070379827</v>
      </c>
      <c r="J13" s="39">
        <f>+SUM(J6:J12)</f>
        <v>203</v>
      </c>
      <c r="K13" s="37">
        <f>IF(J13&lt;=0,0,L13/J13)</f>
        <v>1725.415467980295</v>
      </c>
      <c r="L13" s="38">
        <f>+SUM(L6:L12)</f>
        <v>350259.33999999991</v>
      </c>
      <c r="M13" s="39">
        <f>+SUM(M6:M12)</f>
        <v>-3.9201092621302536</v>
      </c>
      <c r="N13" s="38">
        <f>+SUM(N6:N12)</f>
        <v>63910.509296201621</v>
      </c>
      <c r="O13" s="39">
        <f>+SUM(O6:O12)</f>
        <v>238</v>
      </c>
      <c r="P13" s="37">
        <f>IF(O13&lt;=0,0,Q13/O13)</f>
        <v>708.38483193277375</v>
      </c>
      <c r="Q13" s="38">
        <f>+SUM(Q6:Q12)</f>
        <v>168595.59000000014</v>
      </c>
      <c r="R13" s="39">
        <f>+SUM(R6:R12)</f>
        <v>-35</v>
      </c>
      <c r="S13" s="40">
        <f>+SUM(S6:S12)</f>
        <v>181663.74999999977</v>
      </c>
      <c r="T13" s="14"/>
      <c r="U13" s="14"/>
      <c r="V13" s="480">
        <f>+SUM(START:END!D13)-D13</f>
        <v>0</v>
      </c>
      <c r="W13" s="480">
        <f>+SUM(START:END!G13)-G13</f>
        <v>0</v>
      </c>
      <c r="X13" s="480">
        <f>+SUM(START:END!J13)-J13</f>
        <v>0</v>
      </c>
      <c r="Y13" s="480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2"/>
        <v>Véhicules neufs</v>
      </c>
      <c r="B14" s="12" t="str">
        <f t="shared" si="1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-1.8945037657815005E-2</v>
      </c>
      <c r="N14" s="44">
        <f>IF(I13=0,0,N13/I13)</f>
        <v>0.22319109576637736</v>
      </c>
      <c r="O14" s="42"/>
      <c r="P14" s="31"/>
      <c r="Q14" s="41"/>
      <c r="R14" s="43">
        <f>R13/O13</f>
        <v>-0.14705882352941177</v>
      </c>
      <c r="S14" s="45">
        <f>IF(Q13=0,0,(S13/Q13))</f>
        <v>1.0775118732346416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2"/>
        <v>Véhicules neufsEx-Démos et courtoisies</v>
      </c>
      <c r="B15" s="12" t="str">
        <f t="shared" si="1"/>
        <v>Véhicules neufs</v>
      </c>
      <c r="C15" s="46" t="s">
        <v>23</v>
      </c>
      <c r="D15" s="26">
        <f>+SUM(START:END!D15)</f>
        <v>24.150541993721056</v>
      </c>
      <c r="E15" s="26">
        <f t="shared" ref="E15" si="11">IF(D15=0,0,F15/D15)</f>
        <v>456.63515689931472</v>
      </c>
      <c r="F15" s="23">
        <f>+SUM(START:END!F15)</f>
        <v>11027.986532506304</v>
      </c>
      <c r="G15" s="47">
        <f>+SUM(START:END!G15)</f>
        <v>21.417025472391042</v>
      </c>
      <c r="H15" s="48">
        <f t="shared" ref="H15" si="12">IF(G15=0,0,I15/G15)</f>
        <v>795.68226368412695</v>
      </c>
      <c r="I15" s="49">
        <f>+SUM(START:END!I15)</f>
        <v>17041.147309252712</v>
      </c>
      <c r="J15" s="50">
        <f>+SUM(START:END!J15)</f>
        <v>16</v>
      </c>
      <c r="K15" s="51">
        <f>IF(J15=0,0,L15/J15)</f>
        <v>1493.6618750000016</v>
      </c>
      <c r="L15" s="51">
        <f>+SUM(START:END!L15)</f>
        <v>23898.590000000026</v>
      </c>
      <c r="M15" s="52">
        <f>J15-G15</f>
        <v>-5.4170254723910425</v>
      </c>
      <c r="N15" s="49">
        <f>L15-I15</f>
        <v>6857.4426907473135</v>
      </c>
      <c r="O15" s="50">
        <f>+SUM(START:END!O15)</f>
        <v>22</v>
      </c>
      <c r="P15" s="51">
        <f>IF(O15=0,0,Q15/O15)</f>
        <v>30.737272727271456</v>
      </c>
      <c r="Q15" s="51">
        <f>+SUM(START:END!Q15)</f>
        <v>676.21999999997206</v>
      </c>
      <c r="R15" s="52">
        <f>J15-O15</f>
        <v>-6</v>
      </c>
      <c r="S15" s="53">
        <f>L15-Q15</f>
        <v>23222.370000000054</v>
      </c>
      <c r="T15" s="14"/>
      <c r="U15" s="14"/>
      <c r="V15" s="480">
        <f>+SUM(START:END!D15)-D15</f>
        <v>0</v>
      </c>
      <c r="W15" s="480">
        <f>+SUM(START:END!G15)-G15</f>
        <v>0</v>
      </c>
      <c r="X15" s="480">
        <f>+SUM(START:END!J15)-J15</f>
        <v>0</v>
      </c>
      <c r="Y15" s="480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2"/>
        <v>Véhicules neufs</v>
      </c>
      <c r="B16" s="12" t="str">
        <f t="shared" si="1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2"/>
        <v>Véhicules neufsFlottes</v>
      </c>
      <c r="B17" s="12" t="str">
        <f t="shared" si="1"/>
        <v>Véhicules neufs</v>
      </c>
      <c r="C17" s="54" t="s">
        <v>24</v>
      </c>
      <c r="D17" s="31">
        <f>+SUM(START:END!D17)</f>
        <v>3.1998136824649825</v>
      </c>
      <c r="E17" s="31">
        <f t="shared" ref="E17" si="13">IF(D17=0,0,F17/D17)</f>
        <v>563.63318295792487</v>
      </c>
      <c r="F17" s="31">
        <f>+SUM(START:END!F17)</f>
        <v>1803.5211707200569</v>
      </c>
      <c r="G17" s="32">
        <f>+SUM(START:END!G17)</f>
        <v>7.6485390425477062</v>
      </c>
      <c r="H17" s="31">
        <f t="shared" ref="H17" si="14">IF(G17=0,0,I17/G17)</f>
        <v>826.60915628303633</v>
      </c>
      <c r="I17" s="31">
        <f>+SUM(START:END!I17)</f>
        <v>6322.3524047582223</v>
      </c>
      <c r="J17" s="52">
        <f>+SUM(START:END!J17)</f>
        <v>10</v>
      </c>
      <c r="K17" s="31">
        <f>IF(J17=0,0,L17/J17)</f>
        <v>2419.5029999999997</v>
      </c>
      <c r="L17" s="34">
        <f>+SUM(START:END!L17)</f>
        <v>24195.03</v>
      </c>
      <c r="M17" s="52">
        <f>J17-G17</f>
        <v>2.3514609574522938</v>
      </c>
      <c r="N17" s="34">
        <f>L17-I17</f>
        <v>17872.677595241777</v>
      </c>
      <c r="O17" s="52">
        <f>+SUM(START:END!O17)</f>
        <v>6</v>
      </c>
      <c r="P17" s="31">
        <f>IF(O17=0,0,Q17/O17)</f>
        <v>1624.1633333333302</v>
      </c>
      <c r="Q17" s="34">
        <f>+SUM(START:END!Q17)</f>
        <v>9744.9799999999814</v>
      </c>
      <c r="R17" s="32">
        <f>J17-O17</f>
        <v>4</v>
      </c>
      <c r="S17" s="35">
        <f>L17-Q17</f>
        <v>14450.050000000017</v>
      </c>
      <c r="T17" s="14"/>
      <c r="U17" s="14"/>
      <c r="V17" s="480">
        <f>+SUM(START:END!D17)-D17</f>
        <v>0</v>
      </c>
      <c r="W17" s="480">
        <f>+SUM(START:END!G17)-G17</f>
        <v>0</v>
      </c>
      <c r="X17" s="480">
        <f>+SUM(START:END!J17)-J17</f>
        <v>0</v>
      </c>
      <c r="Y17" s="480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2"/>
        <v>Véhicules neufs</v>
      </c>
      <c r="B18" s="12" t="str">
        <f t="shared" si="1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2"/>
        <v>Véhicules neufsRachat bail</v>
      </c>
      <c r="B19" s="12" t="str">
        <f t="shared" si="1"/>
        <v>Véhicules neufs</v>
      </c>
      <c r="C19" s="46" t="s">
        <v>25</v>
      </c>
      <c r="D19" s="31"/>
      <c r="E19" s="31"/>
      <c r="F19" s="31">
        <f>+SUM(START:END!F19)</f>
        <v>15000</v>
      </c>
      <c r="G19" s="32"/>
      <c r="H19" s="31"/>
      <c r="I19" s="31">
        <f>+SUM(START:END!I19)</f>
        <v>15000</v>
      </c>
      <c r="J19" s="47"/>
      <c r="K19" s="31"/>
      <c r="L19" s="34">
        <f>+SUM(START:END!L19)</f>
        <v>24413.879999999976</v>
      </c>
      <c r="M19" s="32"/>
      <c r="N19" s="34">
        <f>L19-I19</f>
        <v>9413.8799999999756</v>
      </c>
      <c r="O19" s="47"/>
      <c r="P19" s="31"/>
      <c r="Q19" s="34">
        <f>+SUM(START:END!Q19)</f>
        <v>14219.24000000002</v>
      </c>
      <c r="R19" s="32">
        <f>O19-K19</f>
        <v>0</v>
      </c>
      <c r="S19" s="35">
        <f>L19-Q19</f>
        <v>10194.639999999956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2"/>
        <v>Véhicules neufs</v>
      </c>
      <c r="B20" s="12" t="str">
        <f t="shared" si="1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30" t="s">
        <v>26</v>
      </c>
      <c r="D21" s="31">
        <v>0</v>
      </c>
      <c r="E21" s="31">
        <f t="shared" ref="E21:E23" si="15">IF(D21=0,0,F21/D21)</f>
        <v>0</v>
      </c>
      <c r="F21" s="31">
        <f>+SUM(START:END!F21)</f>
        <v>21499.772709310499</v>
      </c>
      <c r="G21" s="42">
        <v>0</v>
      </c>
      <c r="H21" s="31">
        <f t="shared" ref="H21:H23" si="16">IF(G21=0,0,I21/G21)</f>
        <v>0</v>
      </c>
      <c r="I21" s="31">
        <f>+SUM(START:END!I21)</f>
        <v>21499.772709310499</v>
      </c>
      <c r="J21" s="32"/>
      <c r="K21" s="31">
        <f>IF(J13=0,0,L21/(J13+J15))</f>
        <v>35.48502283105023</v>
      </c>
      <c r="L21" s="34">
        <f>+SUM(START:END!L21)</f>
        <v>7771.22</v>
      </c>
      <c r="M21" s="32"/>
      <c r="N21" s="34">
        <f t="shared" ref="N21:N24" si="17">L21-I21</f>
        <v>-13728.552709310497</v>
      </c>
      <c r="O21" s="32"/>
      <c r="P21" s="31">
        <f>IF(O13=0,0,Q21/(O13+O15))</f>
        <v>89.401038461538448</v>
      </c>
      <c r="Q21" s="34">
        <f>+SUM(START:END!Q21)</f>
        <v>23244.269999999997</v>
      </c>
      <c r="R21" s="32">
        <f t="shared" ref="R21:R23" si="18">O21-K21</f>
        <v>-35.48502283105023</v>
      </c>
      <c r="S21" s="35">
        <f t="shared" ref="S21:S24" si="19">L21-Q21</f>
        <v>-15473.049999999996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30" t="s">
        <v>27</v>
      </c>
      <c r="D22" s="31">
        <v>0</v>
      </c>
      <c r="E22" s="31">
        <f t="shared" si="15"/>
        <v>0</v>
      </c>
      <c r="F22" s="31">
        <f>+SUM(START:END!F22)</f>
        <v>168498.2186752939</v>
      </c>
      <c r="G22" s="42">
        <v>0</v>
      </c>
      <c r="H22" s="31">
        <f t="shared" si="16"/>
        <v>0</v>
      </c>
      <c r="I22" s="31">
        <f>+SUM(START:END!I22)</f>
        <v>168498.2186752939</v>
      </c>
      <c r="J22" s="32"/>
      <c r="K22" s="31">
        <f>IF(J13=0,0,L22/(J13+J15))</f>
        <v>797.75068493150684</v>
      </c>
      <c r="L22" s="34">
        <f>+SUM(START:END!L22)</f>
        <v>174707.4</v>
      </c>
      <c r="M22" s="32"/>
      <c r="N22" s="34">
        <f t="shared" si="17"/>
        <v>6209.1813247060927</v>
      </c>
      <c r="O22" s="32"/>
      <c r="P22" s="31">
        <f>IF(O13=0,0,Q22/(O13+O15))</f>
        <v>460.87234615384614</v>
      </c>
      <c r="Q22" s="34">
        <f>+SUM(START:END!Q22)</f>
        <v>119826.81</v>
      </c>
      <c r="R22" s="32">
        <f t="shared" si="18"/>
        <v>-797.75068493150684</v>
      </c>
      <c r="S22" s="35">
        <f t="shared" si="19"/>
        <v>54880.59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30" t="s">
        <v>28</v>
      </c>
      <c r="D23" s="31">
        <v>0</v>
      </c>
      <c r="E23" s="31">
        <f t="shared" si="15"/>
        <v>0</v>
      </c>
      <c r="F23" s="31">
        <f>+SUM(START:END!F23)</f>
        <v>4249.9550704450985</v>
      </c>
      <c r="G23" s="42">
        <v>0</v>
      </c>
      <c r="H23" s="31">
        <f t="shared" si="16"/>
        <v>0</v>
      </c>
      <c r="I23" s="31">
        <f>+SUM(START:END!I23)</f>
        <v>4249.9550704450985</v>
      </c>
      <c r="J23" s="32"/>
      <c r="K23" s="31">
        <f>IF(J13=0,0,L23/(J13+J15))</f>
        <v>20.952374429223742</v>
      </c>
      <c r="L23" s="34">
        <f>+SUM(START:END!L23)</f>
        <v>4588.57</v>
      </c>
      <c r="M23" s="52"/>
      <c r="N23" s="34">
        <f t="shared" si="17"/>
        <v>338.61492955490121</v>
      </c>
      <c r="O23" s="32"/>
      <c r="P23" s="31">
        <f>IF(O13=0,0,Q23/(O13+O15))</f>
        <v>7.2941923076923079</v>
      </c>
      <c r="Q23" s="34">
        <f>+SUM(START:END!Q23)</f>
        <v>1896.49</v>
      </c>
      <c r="R23" s="32">
        <f t="shared" si="18"/>
        <v>-20.952374429223742</v>
      </c>
      <c r="S23" s="35">
        <f t="shared" si="19"/>
        <v>2692.08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6" t="s">
        <v>29</v>
      </c>
      <c r="D24" s="37">
        <f>+D15+D13</f>
        <v>255.86520166320685</v>
      </c>
      <c r="E24" s="37">
        <f>IF(D24&lt;=0,0,F24/D24)</f>
        <v>759.18079204352455</v>
      </c>
      <c r="F24" s="38">
        <f>F21+F22+F23</f>
        <v>194247.9464550495</v>
      </c>
      <c r="G24" s="39">
        <f>+G15+G13</f>
        <v>228.3371347345213</v>
      </c>
      <c r="H24" s="37">
        <f>IF(G24&lt;=0,0,I24/G24)</f>
        <v>850.70677041162855</v>
      </c>
      <c r="I24" s="38">
        <f>I21+I22+I23</f>
        <v>194247.9464550495</v>
      </c>
      <c r="J24" s="39">
        <f>+J15+J13</f>
        <v>219</v>
      </c>
      <c r="K24" s="37">
        <f>IF(J24&lt;=0,0,L24/J24)</f>
        <v>854.18808219178084</v>
      </c>
      <c r="L24" s="38">
        <f>L21+L22+L23</f>
        <v>187067.19</v>
      </c>
      <c r="M24" s="59">
        <f>J24-G24</f>
        <v>-9.3371347345212996</v>
      </c>
      <c r="N24" s="38">
        <f t="shared" si="17"/>
        <v>-7180.7564550495008</v>
      </c>
      <c r="O24" s="39">
        <f>+O15+O13</f>
        <v>260</v>
      </c>
      <c r="P24" s="37">
        <f>IF(O24&lt;=0,0,Q24/O24)</f>
        <v>557.56757692307679</v>
      </c>
      <c r="Q24" s="38">
        <f>Q21+Q22+Q23</f>
        <v>144967.56999999998</v>
      </c>
      <c r="R24" s="57"/>
      <c r="S24" s="40">
        <f t="shared" si="19"/>
        <v>42099.620000000024</v>
      </c>
      <c r="T24" s="14"/>
      <c r="U24" s="14"/>
      <c r="V24" s="480">
        <f>+SUM(START:END!D24)-D24</f>
        <v>0</v>
      </c>
      <c r="W24" s="480">
        <f>+SUM(START:END!G24)-G24</f>
        <v>0</v>
      </c>
      <c r="X24" s="480">
        <f>+SUM(START:END!J24)-J24</f>
        <v>0</v>
      </c>
      <c r="Y24" s="480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-3.6966961999318662E-2</v>
      </c>
      <c r="O25" s="42"/>
      <c r="P25" s="14"/>
      <c r="Q25" s="60"/>
      <c r="R25" s="61"/>
      <c r="S25" s="45">
        <f>IF(Q24=0,0,(S24/Q24))</f>
        <v>0.29040715795953559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63" t="s">
        <v>30</v>
      </c>
      <c r="D27" s="64">
        <f>+D13+D15+D17</f>
        <v>259.06501534567184</v>
      </c>
      <c r="E27" s="65">
        <f>IF(D27&lt;=0,0,F27/D27)</f>
        <v>1750.3506538540105</v>
      </c>
      <c r="F27" s="66">
        <f>F13+F17+F24+F19+F15</f>
        <v>453454.61900099594</v>
      </c>
      <c r="G27" s="67">
        <f>+G13+G15+G17</f>
        <v>235.985673777069</v>
      </c>
      <c r="H27" s="68">
        <f>IF(G27&lt;=0,0,I27/G27)</f>
        <v>2199.1177200151151</v>
      </c>
      <c r="I27" s="66">
        <f>I13+I17+I24+I19+I15</f>
        <v>518960.2768728587</v>
      </c>
      <c r="J27" s="67">
        <f>+J13+J15+J17</f>
        <v>229</v>
      </c>
      <c r="K27" s="68">
        <f>IF(J27&lt;=0,0,L27/J27)</f>
        <v>2663.0306986899554</v>
      </c>
      <c r="L27" s="66">
        <f>L13+L17+L24+L19+L15</f>
        <v>609834.0299999998</v>
      </c>
      <c r="M27" s="67">
        <f>J27-G27</f>
        <v>-6.9856737770689961</v>
      </c>
      <c r="N27" s="66">
        <f>L27-I27</f>
        <v>90873.753127141099</v>
      </c>
      <c r="O27" s="67">
        <f>+O13+O15+O17</f>
        <v>266</v>
      </c>
      <c r="P27" s="68">
        <f>IF(O27&lt;=0,0,Q27/O27)</f>
        <v>1271.4421052631583</v>
      </c>
      <c r="Q27" s="66">
        <f>Q13+Q17+Q24+Q19+Q15</f>
        <v>338203.60000000009</v>
      </c>
      <c r="R27" s="67">
        <f>J27-O27</f>
        <v>-37</v>
      </c>
      <c r="S27" s="69">
        <f>L27-Q27</f>
        <v>271630.4299999997</v>
      </c>
      <c r="T27" s="14"/>
      <c r="U27" s="14"/>
      <c r="V27" s="480">
        <f>+SUM(START:END!D27)-D27</f>
        <v>0</v>
      </c>
      <c r="W27" s="480">
        <f>+SUM(START:END!G27)-G27</f>
        <v>0</v>
      </c>
      <c r="X27" s="480">
        <f>+SUM(START:END!J27)-J27</f>
        <v>0</v>
      </c>
      <c r="Y27" s="480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-2.9602109591060279E-2</v>
      </c>
      <c r="N28" s="75">
        <f>N27/I27</f>
        <v>0.17510733899466543</v>
      </c>
      <c r="O28" s="73"/>
      <c r="P28" s="71"/>
      <c r="Q28" s="72"/>
      <c r="R28" s="74">
        <f>R27/O27</f>
        <v>-0.13909774436090225</v>
      </c>
      <c r="S28" s="76">
        <f>IF(Q27=0,0,S27/Q27)</f>
        <v>0.80315653056324543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30" t="s">
        <v>32</v>
      </c>
      <c r="D31" s="82"/>
      <c r="E31" s="83">
        <f t="shared" ref="E31:E40" si="20">F31/D$24</f>
        <v>328.14375715867419</v>
      </c>
      <c r="F31" s="31">
        <f>+SUM(START:END!F31)</f>
        <v>83960.568599926541</v>
      </c>
      <c r="G31" s="84"/>
      <c r="H31" s="83">
        <f t="shared" ref="H31:H40" si="21">I31/G$24</f>
        <v>372.99134383454833</v>
      </c>
      <c r="I31" s="31">
        <f>+SUM(START:END!I31)</f>
        <v>85167.77473195942</v>
      </c>
      <c r="J31" s="85">
        <f>L31/L13</f>
        <v>0.38852736946286726</v>
      </c>
      <c r="K31" s="83">
        <f t="shared" ref="K31:K40" si="22">IF(L31=0,0,L31/J$24)</f>
        <v>621.39424657534244</v>
      </c>
      <c r="L31" s="31">
        <f>+SUM(START:END!L31)</f>
        <v>136085.34</v>
      </c>
      <c r="M31" s="42"/>
      <c r="N31" s="60">
        <f t="shared" ref="N31:N53" si="23">L31-I31</f>
        <v>50917.565268040576</v>
      </c>
      <c r="O31" s="42"/>
      <c r="P31" s="83">
        <f t="shared" ref="P31:P40" si="24">IF(Q31=0,0,Q31/O$24)</f>
        <v>415.49396153846152</v>
      </c>
      <c r="Q31" s="34">
        <f>+SUM(START:END!Q31)</f>
        <v>108028.43</v>
      </c>
      <c r="R31" s="42"/>
      <c r="S31" s="86">
        <f t="shared" ref="S31:S41" si="25">L31-Q31</f>
        <v>28056.910000000003</v>
      </c>
      <c r="T31" s="14"/>
      <c r="U31" s="14"/>
      <c r="V31" s="87"/>
      <c r="W31" s="87"/>
      <c r="X31" s="87"/>
      <c r="Y31" s="8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8" t="s">
        <v>33</v>
      </c>
      <c r="D32" s="89"/>
      <c r="E32" s="90">
        <f t="shared" si="20"/>
        <v>227.75423761305737</v>
      </c>
      <c r="F32" s="23">
        <f>+SUM(START:END!F32)</f>
        <v>58274.383936514852</v>
      </c>
      <c r="G32" s="91"/>
      <c r="H32" s="92">
        <f t="shared" si="21"/>
        <v>255.21203112348857</v>
      </c>
      <c r="I32" s="23">
        <f>+SUM(START:END!I32)</f>
        <v>58274.383936514852</v>
      </c>
      <c r="J32" s="93">
        <f>L32/L24</f>
        <v>0.30881374761656494</v>
      </c>
      <c r="K32" s="90">
        <f t="shared" si="22"/>
        <v>263.78502283105024</v>
      </c>
      <c r="L32" s="23">
        <f>+SUM(START:END!L32)</f>
        <v>57768.920000000006</v>
      </c>
      <c r="M32" s="24"/>
      <c r="N32" s="94">
        <f t="shared" si="23"/>
        <v>-505.46393651484686</v>
      </c>
      <c r="O32" s="24"/>
      <c r="P32" s="90">
        <f t="shared" si="24"/>
        <v>230.92250000000001</v>
      </c>
      <c r="Q32" s="23">
        <f>+SUM(START:END!Q32)</f>
        <v>60039.850000000006</v>
      </c>
      <c r="R32" s="24"/>
      <c r="S32" s="95">
        <f t="shared" si="25"/>
        <v>-2270.9300000000003</v>
      </c>
      <c r="T32" s="14"/>
      <c r="U32" s="14"/>
      <c r="V32" s="87"/>
      <c r="W32" s="87"/>
      <c r="X32" s="87"/>
      <c r="Y32" s="8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30" t="s">
        <v>34</v>
      </c>
      <c r="D33" s="82"/>
      <c r="E33" s="83">
        <f t="shared" si="20"/>
        <v>175.95131297949922</v>
      </c>
      <c r="F33" s="31">
        <f>+SUM(START:END!F33)</f>
        <v>45019.818178405592</v>
      </c>
      <c r="G33" s="84"/>
      <c r="H33" s="83">
        <f t="shared" si="21"/>
        <v>197.16380443657744</v>
      </c>
      <c r="I33" s="31">
        <f>+SUM(START:END!I33)</f>
        <v>45019.818178405592</v>
      </c>
      <c r="J33" s="42"/>
      <c r="K33" s="83">
        <f t="shared" si="22"/>
        <v>138.73657534246576</v>
      </c>
      <c r="L33" s="31">
        <f>+SUM(START:END!L33)</f>
        <v>30383.31</v>
      </c>
      <c r="M33" s="42"/>
      <c r="N33" s="60">
        <f t="shared" si="23"/>
        <v>-14636.508178405591</v>
      </c>
      <c r="O33" s="42"/>
      <c r="P33" s="83">
        <f t="shared" si="24"/>
        <v>140.66046153846153</v>
      </c>
      <c r="Q33" s="34">
        <f>+SUM(START:END!Q33)</f>
        <v>36571.72</v>
      </c>
      <c r="R33" s="42"/>
      <c r="S33" s="86">
        <f t="shared" si="25"/>
        <v>-6188.41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30" t="s">
        <v>35</v>
      </c>
      <c r="D34" s="82"/>
      <c r="E34" s="83">
        <f t="shared" si="20"/>
        <v>5.3589232379542917</v>
      </c>
      <c r="F34" s="31">
        <f>+SUM(START:END!F34)</f>
        <v>1371.1619749768201</v>
      </c>
      <c r="G34" s="84"/>
      <c r="H34" s="83">
        <f t="shared" si="21"/>
        <v>6.0049889676114958</v>
      </c>
      <c r="I34" s="31">
        <f>+SUM(START:END!I34)</f>
        <v>1371.1619749768201</v>
      </c>
      <c r="J34" s="42"/>
      <c r="K34" s="83">
        <f t="shared" si="22"/>
        <v>10.976894977168948</v>
      </c>
      <c r="L34" s="31">
        <f>+SUM(START:END!L34)</f>
        <v>2403.9399999999996</v>
      </c>
      <c r="M34" s="42"/>
      <c r="N34" s="60">
        <f t="shared" si="23"/>
        <v>1032.7780250231795</v>
      </c>
      <c r="O34" s="42"/>
      <c r="P34" s="83">
        <f t="shared" si="24"/>
        <v>2.5856923076923075</v>
      </c>
      <c r="Q34" s="34">
        <f>+SUM(START:END!Q34)</f>
        <v>672.28</v>
      </c>
      <c r="R34" s="42"/>
      <c r="S34" s="86">
        <f t="shared" si="25"/>
        <v>1731.6599999999996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8" t="s">
        <v>36</v>
      </c>
      <c r="D35" s="89"/>
      <c r="E35" s="90">
        <f t="shared" si="20"/>
        <v>30.367231681740982</v>
      </c>
      <c r="F35" s="23">
        <f>+SUM(START:END!F35)</f>
        <v>7769.9178582019804</v>
      </c>
      <c r="G35" s="91"/>
      <c r="H35" s="92">
        <f t="shared" si="21"/>
        <v>34.028270816465145</v>
      </c>
      <c r="I35" s="23">
        <f>+SUM(START:END!I35)</f>
        <v>7769.9178582019804</v>
      </c>
      <c r="J35" s="24"/>
      <c r="K35" s="90">
        <f t="shared" si="22"/>
        <v>9.8088127853881275</v>
      </c>
      <c r="L35" s="23">
        <f>+SUM(START:END!L35)</f>
        <v>2148.13</v>
      </c>
      <c r="M35" s="24"/>
      <c r="N35" s="94">
        <f t="shared" si="23"/>
        <v>-5621.7878582019803</v>
      </c>
      <c r="O35" s="24"/>
      <c r="P35" s="90">
        <f t="shared" si="24"/>
        <v>21.498423076923078</v>
      </c>
      <c r="Q35" s="34">
        <f>+SUM(START:END!Q35)</f>
        <v>5589.59</v>
      </c>
      <c r="R35" s="24"/>
      <c r="S35" s="95">
        <f t="shared" si="25"/>
        <v>-3441.46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30" t="s">
        <v>37</v>
      </c>
      <c r="D36" s="82"/>
      <c r="E36" s="83">
        <f t="shared" si="20"/>
        <v>161.36579125000753</v>
      </c>
      <c r="F36" s="31">
        <f>+SUM(START:END!F36)</f>
        <v>41287.890719726114</v>
      </c>
      <c r="G36" s="84"/>
      <c r="H36" s="83">
        <f t="shared" si="21"/>
        <v>180.81986868990862</v>
      </c>
      <c r="I36" s="31">
        <f>+SUM(START:END!I36)</f>
        <v>41287.890719726114</v>
      </c>
      <c r="J36" s="42"/>
      <c r="K36" s="83">
        <f t="shared" si="22"/>
        <v>160.28036529680367</v>
      </c>
      <c r="L36" s="436">
        <f>+SUM(START:END!L36)</f>
        <v>35101.4</v>
      </c>
      <c r="M36" s="14"/>
      <c r="N36" s="60">
        <f t="shared" si="23"/>
        <v>-6186.4907197261127</v>
      </c>
      <c r="O36" s="42"/>
      <c r="P36" s="83">
        <f t="shared" si="24"/>
        <v>87.65384615384616</v>
      </c>
      <c r="Q36" s="56">
        <f>+SUM(START:END!Q36)</f>
        <v>22790</v>
      </c>
      <c r="R36" s="42"/>
      <c r="S36" s="86">
        <f t="shared" si="25"/>
        <v>12311.400000000001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30" t="s">
        <v>38</v>
      </c>
      <c r="D37" s="82"/>
      <c r="E37" s="83">
        <f t="shared" si="20"/>
        <v>177.19171421053156</v>
      </c>
      <c r="F37" s="31">
        <f>+SUM(START:END!F37)</f>
        <v>45337.193689526968</v>
      </c>
      <c r="G37" s="84"/>
      <c r="H37" s="83">
        <f t="shared" si="21"/>
        <v>199.83587300620763</v>
      </c>
      <c r="I37" s="31">
        <f>+SUM(START:END!I37)</f>
        <v>45629.950659409122</v>
      </c>
      <c r="J37" s="42"/>
      <c r="K37" s="83">
        <f t="shared" si="22"/>
        <v>202.50958904109589</v>
      </c>
      <c r="L37" s="35">
        <f>+SUM(START:END!L37)</f>
        <v>44349.599999999999</v>
      </c>
      <c r="M37" s="14"/>
      <c r="N37" s="60">
        <f t="shared" si="23"/>
        <v>-1280.3506594091232</v>
      </c>
      <c r="O37" s="42"/>
      <c r="P37" s="83">
        <f t="shared" si="24"/>
        <v>241.01169230769227</v>
      </c>
      <c r="Q37" s="34">
        <f>+SUM(START:END!Q37)</f>
        <v>62663.039999999994</v>
      </c>
      <c r="R37" s="42"/>
      <c r="S37" s="86">
        <f t="shared" si="25"/>
        <v>-18313.439999999995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30" t="s">
        <v>21</v>
      </c>
      <c r="D38" s="82"/>
      <c r="E38" s="83">
        <f t="shared" si="20"/>
        <v>0</v>
      </c>
      <c r="F38" s="31">
        <f>+SUM(START:END!F38)</f>
        <v>0</v>
      </c>
      <c r="G38" s="84"/>
      <c r="H38" s="83">
        <f t="shared" si="21"/>
        <v>0</v>
      </c>
      <c r="I38" s="31">
        <f>+SUM(START:END!I38)</f>
        <v>0</v>
      </c>
      <c r="J38" s="42"/>
      <c r="K38" s="83">
        <f t="shared" si="22"/>
        <v>0</v>
      </c>
      <c r="L38" s="35">
        <f>+SUM(START:END!L38)</f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f>+SUM(START:END!Q38)</f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30" t="s">
        <v>21</v>
      </c>
      <c r="D39" s="82"/>
      <c r="E39" s="83">
        <f t="shared" si="20"/>
        <v>0</v>
      </c>
      <c r="F39" s="31">
        <f>+SUM(START:END!F39)</f>
        <v>0</v>
      </c>
      <c r="G39" s="84"/>
      <c r="H39" s="83">
        <f t="shared" si="21"/>
        <v>0</v>
      </c>
      <c r="I39" s="31">
        <f>+SUM(START:END!I39)</f>
        <v>0</v>
      </c>
      <c r="J39" s="42"/>
      <c r="K39" s="83">
        <f t="shared" si="22"/>
        <v>0</v>
      </c>
      <c r="L39" s="35">
        <f>+SUM(START:END!L39)</f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f>+SUM(START:END!Q39)</f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30" t="s">
        <v>21</v>
      </c>
      <c r="D40" s="82"/>
      <c r="E40" s="83">
        <f t="shared" si="20"/>
        <v>0</v>
      </c>
      <c r="F40" s="31">
        <f>+SUM(START:END!F40)</f>
        <v>0</v>
      </c>
      <c r="G40" s="84"/>
      <c r="H40" s="83">
        <f t="shared" si="21"/>
        <v>0</v>
      </c>
      <c r="I40" s="31">
        <f>+SUM(START:END!I40)</f>
        <v>0</v>
      </c>
      <c r="J40" s="42"/>
      <c r="K40" s="83">
        <f t="shared" si="22"/>
        <v>0</v>
      </c>
      <c r="L40" s="53">
        <f>+SUM(START:END!L40)</f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f>+SUM(START:END!Q40)</f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9" t="s">
        <v>39</v>
      </c>
      <c r="D41" s="100" t="s">
        <v>40</v>
      </c>
      <c r="E41" s="101">
        <f>F41/F$27</f>
        <v>0.62414390128123776</v>
      </c>
      <c r="F41" s="102">
        <f>SUM(F31:F40)</f>
        <v>283020.93495727889</v>
      </c>
      <c r="G41" s="103" t="s">
        <v>40</v>
      </c>
      <c r="H41" s="101">
        <f>I41/I$27</f>
        <v>0.54825178484498793</v>
      </c>
      <c r="I41" s="102">
        <f>SUM(I31:I40)</f>
        <v>284520.89805919392</v>
      </c>
      <c r="J41" s="103" t="s">
        <v>40</v>
      </c>
      <c r="K41" s="101">
        <f>L41/L$27</f>
        <v>0.50545004843366992</v>
      </c>
      <c r="L41" s="102">
        <f>SUM(L31:L40)</f>
        <v>308240.64000000001</v>
      </c>
      <c r="M41" s="104"/>
      <c r="N41" s="102">
        <f>SUM(N31:N40)</f>
        <v>23719.7419408061</v>
      </c>
      <c r="O41" s="103" t="s">
        <v>40</v>
      </c>
      <c r="P41" s="101">
        <f>Q41/Q$27</f>
        <v>0.87626184345760927</v>
      </c>
      <c r="Q41" s="105">
        <f>SUM(Q31:Q40)</f>
        <v>296354.90999999997</v>
      </c>
      <c r="R41" s="106"/>
      <c r="S41" s="107">
        <f t="shared" si="25"/>
        <v>11885.73000000004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108" t="s">
        <v>42</v>
      </c>
      <c r="D42" s="14"/>
      <c r="E42" s="14"/>
      <c r="F42" s="31">
        <f>+SUM(START:END!F42)</f>
        <v>74657.232758620681</v>
      </c>
      <c r="G42" s="42">
        <f>I41/(I27+I83)</f>
        <v>0.3435289796851797</v>
      </c>
      <c r="H42" s="14"/>
      <c r="I42" s="31">
        <f>+SUM(START:END!I42)</f>
        <v>74657.232758620681</v>
      </c>
      <c r="J42" s="42">
        <f>L41/(L27+L83)</f>
        <v>0.34013659925438255</v>
      </c>
      <c r="K42" s="14"/>
      <c r="L42" s="34">
        <f>+SUM(START:END!L42)</f>
        <v>69242.63</v>
      </c>
      <c r="M42" s="42"/>
      <c r="N42" s="60">
        <f t="shared" si="23"/>
        <v>-5414.6027586206765</v>
      </c>
      <c r="O42" s="42"/>
      <c r="P42" s="14"/>
      <c r="Q42" s="34">
        <f>+SUM(START:END!Q42)</f>
        <v>59127.619999999995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9" t="s">
        <v>43</v>
      </c>
      <c r="D43" s="82"/>
      <c r="E43" s="14"/>
      <c r="F43" s="23">
        <f>+SUM(START:END!F43)</f>
        <v>29632.201595862072</v>
      </c>
      <c r="G43" s="84"/>
      <c r="H43" s="14"/>
      <c r="I43" s="23">
        <f>+SUM(START:END!I43)</f>
        <v>29632.201595862072</v>
      </c>
      <c r="J43" s="42"/>
      <c r="K43" s="14"/>
      <c r="L43" s="34">
        <f>+SUM(START:END!L43)</f>
        <v>28323.91</v>
      </c>
      <c r="M43" s="42"/>
      <c r="N43" s="60">
        <f t="shared" si="23"/>
        <v>-1308.2915958620724</v>
      </c>
      <c r="O43" s="42"/>
      <c r="P43" s="14"/>
      <c r="Q43" s="34">
        <f>+SUM(START:END!Q43)</f>
        <v>26579.870000000003</v>
      </c>
      <c r="R43" s="42"/>
      <c r="S43" s="86">
        <f t="shared" ref="S43:S53" si="26">L43-Q43</f>
        <v>1744.0399999999972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108" t="s">
        <v>44</v>
      </c>
      <c r="D44" s="110"/>
      <c r="E44" s="111"/>
      <c r="F44" s="31">
        <f>+SUM(START:END!F44)</f>
        <v>18672.541481563218</v>
      </c>
      <c r="G44" s="112"/>
      <c r="H44" s="111"/>
      <c r="I44" s="31">
        <f>+SUM(START:END!I44)</f>
        <v>18672.541481563218</v>
      </c>
      <c r="J44" s="113"/>
      <c r="K44" s="111"/>
      <c r="L44" s="114">
        <f>+SUM(START:END!L44)</f>
        <v>28675.69</v>
      </c>
      <c r="M44" s="113"/>
      <c r="N44" s="115">
        <f t="shared" si="23"/>
        <v>10003.148518436781</v>
      </c>
      <c r="O44" s="113"/>
      <c r="P44" s="111"/>
      <c r="Q44" s="114">
        <f>+SUM(START:END!Q44)</f>
        <v>20387.559999999998</v>
      </c>
      <c r="R44" s="113"/>
      <c r="S44" s="116">
        <f t="shared" si="26"/>
        <v>8288.130000000001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108" t="s">
        <v>45</v>
      </c>
      <c r="D45" s="82"/>
      <c r="E45" s="14"/>
      <c r="F45" s="31">
        <f>+SUM(START:END!F45)</f>
        <v>0</v>
      </c>
      <c r="G45" s="84"/>
      <c r="H45" s="14"/>
      <c r="I45" s="31">
        <f>+SUM(START:END!I45)</f>
        <v>0</v>
      </c>
      <c r="J45" s="42"/>
      <c r="K45" s="14"/>
      <c r="L45" s="34">
        <f>+SUM(START:END!L45)</f>
        <v>0</v>
      </c>
      <c r="M45" s="42"/>
      <c r="N45" s="60">
        <f t="shared" si="23"/>
        <v>0</v>
      </c>
      <c r="O45" s="42"/>
      <c r="P45" s="14"/>
      <c r="Q45" s="34">
        <f>+SUM(START:END!Q45)</f>
        <v>0</v>
      </c>
      <c r="R45" s="42"/>
      <c r="S45" s="86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108" t="s">
        <v>21</v>
      </c>
      <c r="D46" s="82"/>
      <c r="E46" s="14"/>
      <c r="F46" s="31">
        <f>+SUM(START:END!F46)</f>
        <v>0</v>
      </c>
      <c r="G46" s="84"/>
      <c r="H46" s="14"/>
      <c r="I46" s="31">
        <f>+SUM(START:END!I46)</f>
        <v>0</v>
      </c>
      <c r="J46" s="42"/>
      <c r="K46" s="14"/>
      <c r="L46" s="34">
        <f>+SUM(START:END!L46)</f>
        <v>0</v>
      </c>
      <c r="M46" s="42"/>
      <c r="N46" s="60">
        <f t="shared" si="23"/>
        <v>0</v>
      </c>
      <c r="O46" s="42"/>
      <c r="P46" s="14"/>
      <c r="Q46" s="34">
        <f>+SUM(START:END!Q46)</f>
        <v>0</v>
      </c>
      <c r="R46" s="42"/>
      <c r="S46" s="86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108" t="s">
        <v>21</v>
      </c>
      <c r="D47" s="82"/>
      <c r="E47" s="14"/>
      <c r="F47" s="31">
        <f>+SUM(START:END!F47)</f>
        <v>0</v>
      </c>
      <c r="G47" s="84"/>
      <c r="H47" s="14"/>
      <c r="I47" s="31">
        <f>+SUM(START:END!I47)</f>
        <v>0</v>
      </c>
      <c r="J47" s="42"/>
      <c r="K47" s="14"/>
      <c r="L47" s="34">
        <f>+SUM(START:END!L47)</f>
        <v>0</v>
      </c>
      <c r="M47" s="42"/>
      <c r="N47" s="60">
        <f t="shared" si="23"/>
        <v>0</v>
      </c>
      <c r="O47" s="42"/>
      <c r="P47" s="14"/>
      <c r="Q47" s="34">
        <f>+SUM(START:END!Q47)</f>
        <v>0</v>
      </c>
      <c r="R47" s="42"/>
      <c r="S47" s="86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108" t="s">
        <v>21</v>
      </c>
      <c r="D48" s="82"/>
      <c r="E48" s="14"/>
      <c r="F48" s="31">
        <f>+SUM(START:END!F48)</f>
        <v>0</v>
      </c>
      <c r="G48" s="84"/>
      <c r="H48" s="14"/>
      <c r="I48" s="31">
        <f>+SUM(START:END!I48)</f>
        <v>0</v>
      </c>
      <c r="J48" s="42"/>
      <c r="K48" s="14"/>
      <c r="L48" s="34">
        <f>+SUM(START:END!L48)</f>
        <v>0</v>
      </c>
      <c r="M48" s="42"/>
      <c r="N48" s="60">
        <f t="shared" si="23"/>
        <v>0</v>
      </c>
      <c r="O48" s="42"/>
      <c r="P48" s="14"/>
      <c r="Q48" s="34">
        <f>+SUM(START:END!Q48)</f>
        <v>0</v>
      </c>
      <c r="R48" s="42"/>
      <c r="S48" s="86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9" t="s">
        <v>46</v>
      </c>
      <c r="D49" s="82"/>
      <c r="E49" s="14"/>
      <c r="F49" s="23">
        <f>+SUM(START:END!F49)</f>
        <v>31823.631404698481</v>
      </c>
      <c r="G49" s="84"/>
      <c r="H49" s="14"/>
      <c r="I49" s="23">
        <f>+SUM(START:END!I49)</f>
        <v>31968.496140542429</v>
      </c>
      <c r="J49" s="42"/>
      <c r="K49" s="14"/>
      <c r="L49" s="23">
        <f>+SUM(START:END!L49)</f>
        <v>45416.31</v>
      </c>
      <c r="M49" s="42"/>
      <c r="N49" s="60">
        <f t="shared" si="23"/>
        <v>13447.813859457568</v>
      </c>
      <c r="O49" s="42"/>
      <c r="P49" s="14"/>
      <c r="Q49" s="23">
        <f>+SUM(START:END!Q49)</f>
        <v>41945.32</v>
      </c>
      <c r="R49" s="42"/>
      <c r="S49" s="86">
        <f t="shared" si="26"/>
        <v>3470.989999999998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108" t="s">
        <v>47</v>
      </c>
      <c r="D50" s="110"/>
      <c r="E50" s="111"/>
      <c r="F50" s="31">
        <f>+SUM(START:END!F50)</f>
        <v>31823.631404698481</v>
      </c>
      <c r="G50" s="112"/>
      <c r="H50" s="111"/>
      <c r="I50" s="31">
        <f>+SUM(START:END!I50)</f>
        <v>31968.496140542429</v>
      </c>
      <c r="J50" s="113"/>
      <c r="K50" s="111"/>
      <c r="L50" s="34">
        <f>+SUM(START:END!L50)</f>
        <v>35101.300000000003</v>
      </c>
      <c r="M50" s="113"/>
      <c r="N50" s="115">
        <f t="shared" si="23"/>
        <v>3132.8038594575737</v>
      </c>
      <c r="O50" s="113"/>
      <c r="P50" s="111"/>
      <c r="Q50" s="34">
        <f>+SUM(START:END!Q50)</f>
        <v>36809.179999999993</v>
      </c>
      <c r="R50" s="113"/>
      <c r="S50" s="116">
        <f t="shared" si="26"/>
        <v>-1707.8799999999901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108" t="s">
        <v>48</v>
      </c>
      <c r="D51" s="82"/>
      <c r="E51" s="14"/>
      <c r="F51" s="31">
        <f>+SUM(START:END!F51)</f>
        <v>22806.935840033912</v>
      </c>
      <c r="G51" s="84"/>
      <c r="H51" s="14"/>
      <c r="I51" s="31">
        <f>+SUM(START:END!I51)</f>
        <v>22910.75556738874</v>
      </c>
      <c r="J51" s="42"/>
      <c r="K51" s="14"/>
      <c r="L51" s="34">
        <f>+SUM(START:END!L51)</f>
        <v>25155.93</v>
      </c>
      <c r="M51" s="42"/>
      <c r="N51" s="60">
        <f t="shared" si="23"/>
        <v>2245.1744326112603</v>
      </c>
      <c r="O51" s="42"/>
      <c r="P51" s="14"/>
      <c r="Q51" s="34">
        <f>+SUM(START:END!Q51)</f>
        <v>24721.15</v>
      </c>
      <c r="R51" s="42"/>
      <c r="S51" s="86">
        <f t="shared" si="26"/>
        <v>434.77999999999884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108" t="s">
        <v>49</v>
      </c>
      <c r="D52" s="82"/>
      <c r="E52" s="14"/>
      <c r="F52" s="31">
        <f>+SUM(START:END!F52)</f>
        <v>5303.938567449748</v>
      </c>
      <c r="G52" s="84"/>
      <c r="H52" s="14"/>
      <c r="I52" s="31">
        <f>+SUM(START:END!I52)</f>
        <v>5328.0826900904049</v>
      </c>
      <c r="J52" s="42"/>
      <c r="K52" s="14"/>
      <c r="L52" s="34">
        <f>+SUM(START:END!L52)</f>
        <v>5850.22</v>
      </c>
      <c r="M52" s="42"/>
      <c r="N52" s="60">
        <f t="shared" si="23"/>
        <v>522.13730990959539</v>
      </c>
      <c r="O52" s="42"/>
      <c r="P52" s="14"/>
      <c r="Q52" s="34">
        <f>+SUM(START:END!Q52)</f>
        <v>8383.49</v>
      </c>
      <c r="R52" s="42"/>
      <c r="S52" s="86">
        <f t="shared" si="26"/>
        <v>-2533.2699999999995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30" t="s">
        <v>21</v>
      </c>
      <c r="D53" s="89"/>
      <c r="E53" s="117"/>
      <c r="F53" s="31">
        <f>+SUM(START:END!F53)</f>
        <v>0</v>
      </c>
      <c r="G53" s="91"/>
      <c r="H53" s="117"/>
      <c r="I53" s="31">
        <f>+SUM(START:END!I53)</f>
        <v>0</v>
      </c>
      <c r="J53" s="24"/>
      <c r="K53" s="117"/>
      <c r="L53" s="34">
        <f>+SUM(START:END!L53)</f>
        <v>0</v>
      </c>
      <c r="M53" s="24"/>
      <c r="N53" s="94">
        <f t="shared" si="23"/>
        <v>0</v>
      </c>
      <c r="O53" s="24"/>
      <c r="P53" s="117"/>
      <c r="Q53" s="34">
        <f>+SUM(START:END!Q53)</f>
        <v>0</v>
      </c>
      <c r="R53" s="24"/>
      <c r="S53" s="95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9" t="s">
        <v>50</v>
      </c>
      <c r="D54" s="100" t="s">
        <v>40</v>
      </c>
      <c r="E54" s="101">
        <f>F54/F$27</f>
        <v>0.47352062159158426</v>
      </c>
      <c r="F54" s="102">
        <f>+SUM(F42:F53)</f>
        <v>214720.11305292661</v>
      </c>
      <c r="G54" s="103" t="s">
        <v>40</v>
      </c>
      <c r="H54" s="101">
        <f>I54/I$27</f>
        <v>0.41455544087301527</v>
      </c>
      <c r="I54" s="102">
        <f>+SUM(I42:I53)</f>
        <v>215137.80637460999</v>
      </c>
      <c r="J54" s="103" t="s">
        <v>40</v>
      </c>
      <c r="K54" s="101">
        <f>L54/L$27</f>
        <v>0.38988639253207974</v>
      </c>
      <c r="L54" s="102">
        <f>+SUM(L42:L53)</f>
        <v>237765.99000000002</v>
      </c>
      <c r="M54" s="106"/>
      <c r="N54" s="102">
        <f>+SUM(N42:N53)</f>
        <v>22628.183625390029</v>
      </c>
      <c r="O54" s="103" t="s">
        <v>40</v>
      </c>
      <c r="P54" s="101">
        <f>Q54/Q$27</f>
        <v>0.64444668832620322</v>
      </c>
      <c r="Q54" s="102">
        <f>+SUM(Q42:Q53)</f>
        <v>217954.18999999997</v>
      </c>
      <c r="R54" s="106"/>
      <c r="S54" s="107">
        <f>+SUM(S42:S53)</f>
        <v>9696.7900000000045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30" t="s">
        <v>51</v>
      </c>
      <c r="D55" s="82"/>
      <c r="E55" s="14"/>
      <c r="F55" s="31">
        <f>+SUM(START:END!F55)</f>
        <v>0</v>
      </c>
      <c r="G55" s="42">
        <f>I54/(I27+I83)</f>
        <v>0.25975621340897614</v>
      </c>
      <c r="H55" s="14"/>
      <c r="I55" s="31">
        <f>+SUM(START:END!I55)</f>
        <v>0</v>
      </c>
      <c r="J55" s="42">
        <f>L54/(L27+L83)</f>
        <v>0.26236941130459479</v>
      </c>
      <c r="K55" s="14"/>
      <c r="L55" s="34">
        <f>+SUM(START:END!L55)</f>
        <v>0</v>
      </c>
      <c r="M55" s="42"/>
      <c r="N55" s="60">
        <f t="shared" ref="N55:N71" si="27">L55-I55</f>
        <v>0</v>
      </c>
      <c r="O55" s="42"/>
      <c r="P55" s="14"/>
      <c r="Q55" s="34">
        <f>+SUM(START:END!Q55)</f>
        <v>0</v>
      </c>
      <c r="R55" s="42"/>
      <c r="S55" s="86">
        <f t="shared" ref="S55:S71" si="28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30" t="s">
        <v>52</v>
      </c>
      <c r="D56" s="82"/>
      <c r="E56" s="14"/>
      <c r="F56" s="31">
        <f>+SUM(START:END!F56)</f>
        <v>0</v>
      </c>
      <c r="G56" s="84"/>
      <c r="H56" s="14"/>
      <c r="I56" s="31">
        <f>+SUM(START:END!I56)</f>
        <v>0</v>
      </c>
      <c r="J56" s="42"/>
      <c r="K56" s="14"/>
      <c r="L56" s="34">
        <f>+SUM(START:END!L56)</f>
        <v>0</v>
      </c>
      <c r="M56" s="42"/>
      <c r="N56" s="60">
        <f t="shared" si="27"/>
        <v>0</v>
      </c>
      <c r="O56" s="42"/>
      <c r="P56" s="14"/>
      <c r="Q56" s="34">
        <f>+SUM(START:END!Q56)</f>
        <v>0</v>
      </c>
      <c r="R56" s="42"/>
      <c r="S56" s="86">
        <f t="shared" si="28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8" t="s">
        <v>53</v>
      </c>
      <c r="D57" s="89"/>
      <c r="E57" s="117"/>
      <c r="F57" s="23">
        <f>+SUM(START:END!F57)</f>
        <v>27266.6325</v>
      </c>
      <c r="G57" s="91"/>
      <c r="H57" s="117"/>
      <c r="I57" s="23">
        <f>+SUM(START:END!I57)</f>
        <v>27266.6325</v>
      </c>
      <c r="J57" s="24"/>
      <c r="K57" s="117"/>
      <c r="L57" s="23">
        <f>+SUM(START:END!L57)</f>
        <v>19849.399999999998</v>
      </c>
      <c r="M57" s="24"/>
      <c r="N57" s="94">
        <f t="shared" si="27"/>
        <v>-7417.2325000000019</v>
      </c>
      <c r="O57" s="24"/>
      <c r="P57" s="117"/>
      <c r="Q57" s="23">
        <f>+SUM(START:END!Q57)</f>
        <v>48680.240000000005</v>
      </c>
      <c r="R57" s="24"/>
      <c r="S57" s="95">
        <f t="shared" si="28"/>
        <v>-28830.840000000007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30" t="s">
        <v>54</v>
      </c>
      <c r="D58" s="82"/>
      <c r="E58" s="14"/>
      <c r="F58" s="31">
        <f>+SUM(START:END!F58)</f>
        <v>20032.188800000004</v>
      </c>
      <c r="G58" s="84"/>
      <c r="H58" s="14"/>
      <c r="I58" s="31">
        <f>+SUM(START:END!I58)</f>
        <v>20032.188800000004</v>
      </c>
      <c r="J58" s="42"/>
      <c r="K58" s="14"/>
      <c r="L58" s="34">
        <f>+SUM(START:END!L58)</f>
        <v>16133.59</v>
      </c>
      <c r="M58" s="42"/>
      <c r="N58" s="60">
        <f t="shared" si="27"/>
        <v>-3898.5988000000034</v>
      </c>
      <c r="O58" s="42"/>
      <c r="P58" s="14"/>
      <c r="Q58" s="34">
        <f>+SUM(START:END!Q58)</f>
        <v>19740.72</v>
      </c>
      <c r="R58" s="42"/>
      <c r="S58" s="86">
        <f t="shared" si="28"/>
        <v>-3607.130000000001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30" t="s">
        <v>55</v>
      </c>
      <c r="D59" s="82"/>
      <c r="E59" s="14"/>
      <c r="F59" s="31">
        <f>+SUM(START:END!F59)</f>
        <v>4789.4903999999997</v>
      </c>
      <c r="G59" s="84"/>
      <c r="H59" s="14"/>
      <c r="I59" s="31">
        <f>+SUM(START:END!I59)</f>
        <v>4789.4903999999997</v>
      </c>
      <c r="J59" s="42"/>
      <c r="K59" s="14"/>
      <c r="L59" s="34">
        <f>+SUM(START:END!L59)</f>
        <v>1577.97</v>
      </c>
      <c r="M59" s="42"/>
      <c r="N59" s="60">
        <f t="shared" si="27"/>
        <v>-3211.5203999999994</v>
      </c>
      <c r="O59" s="42"/>
      <c r="P59" s="14"/>
      <c r="Q59" s="34">
        <f>+SUM(START:END!Q59)</f>
        <v>5833.92</v>
      </c>
      <c r="R59" s="42"/>
      <c r="S59" s="86">
        <f t="shared" si="28"/>
        <v>-4255.95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8" t="s">
        <v>56</v>
      </c>
      <c r="D60" s="89"/>
      <c r="E60" s="117"/>
      <c r="F60" s="23">
        <f>+SUM(START:END!F60)</f>
        <v>29125.684000000001</v>
      </c>
      <c r="G60" s="91"/>
      <c r="H60" s="117"/>
      <c r="I60" s="23">
        <f>+SUM(START:END!I60)</f>
        <v>29125.684000000001</v>
      </c>
      <c r="J60" s="24"/>
      <c r="K60" s="117"/>
      <c r="L60" s="23">
        <f>+SUM(START:END!L60)</f>
        <v>22452.67</v>
      </c>
      <c r="M60" s="24"/>
      <c r="N60" s="94">
        <f t="shared" si="27"/>
        <v>-6673.0140000000029</v>
      </c>
      <c r="O60" s="24"/>
      <c r="P60" s="117"/>
      <c r="Q60" s="23">
        <f>+SUM(START:END!Q60)</f>
        <v>20452.8</v>
      </c>
      <c r="R60" s="24"/>
      <c r="S60" s="95">
        <f t="shared" si="28"/>
        <v>1999.869999999999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30" t="s">
        <v>57</v>
      </c>
      <c r="D61" s="82"/>
      <c r="E61" s="14"/>
      <c r="F61" s="31">
        <f>+SUM(START:END!F61)</f>
        <v>914.1079833178801</v>
      </c>
      <c r="G61" s="84"/>
      <c r="H61" s="14"/>
      <c r="I61" s="31">
        <f>+SUM(START:END!I61)</f>
        <v>914.1079833178801</v>
      </c>
      <c r="J61" s="42"/>
      <c r="K61" s="14"/>
      <c r="L61" s="34">
        <f>+SUM(START:END!L61)</f>
        <v>560.86</v>
      </c>
      <c r="M61" s="42"/>
      <c r="N61" s="60">
        <f t="shared" si="27"/>
        <v>-353.24798331788008</v>
      </c>
      <c r="O61" s="42"/>
      <c r="P61" s="14"/>
      <c r="Q61" s="34">
        <f>+SUM(START:END!Q61)</f>
        <v>861</v>
      </c>
      <c r="R61" s="42"/>
      <c r="S61" s="86">
        <f t="shared" si="28"/>
        <v>-300.14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30" t="s">
        <v>58</v>
      </c>
      <c r="D62" s="82"/>
      <c r="E62" s="14"/>
      <c r="F62" s="31">
        <f>+SUM(START:END!F62)</f>
        <v>105</v>
      </c>
      <c r="G62" s="84"/>
      <c r="H62" s="14"/>
      <c r="I62" s="31">
        <f>+SUM(START:END!I62)</f>
        <v>105</v>
      </c>
      <c r="J62" s="42"/>
      <c r="K62" s="14"/>
      <c r="L62" s="34">
        <f>+SUM(START:END!L62)</f>
        <v>0</v>
      </c>
      <c r="M62" s="42"/>
      <c r="N62" s="60">
        <f t="shared" si="27"/>
        <v>-105</v>
      </c>
      <c r="O62" s="42"/>
      <c r="P62" s="14"/>
      <c r="Q62" s="34">
        <f>+SUM(START:END!Q62)</f>
        <v>105</v>
      </c>
      <c r="R62" s="42"/>
      <c r="S62" s="86">
        <f t="shared" si="28"/>
        <v>-105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30" t="s">
        <v>59</v>
      </c>
      <c r="D63" s="82"/>
      <c r="E63" s="14"/>
      <c r="F63" s="31">
        <f>+SUM(START:END!F63)</f>
        <v>2092.8000000000002</v>
      </c>
      <c r="G63" s="84"/>
      <c r="H63" s="14"/>
      <c r="I63" s="31">
        <f>+SUM(START:END!I63)</f>
        <v>2092.8000000000002</v>
      </c>
      <c r="J63" s="42"/>
      <c r="K63" s="14"/>
      <c r="L63" s="33">
        <f>+SUM(START:END!L63)</f>
        <v>1944.11</v>
      </c>
      <c r="M63" s="42"/>
      <c r="N63" s="60">
        <f t="shared" si="27"/>
        <v>-148.69000000000028</v>
      </c>
      <c r="O63" s="42"/>
      <c r="P63" s="14"/>
      <c r="Q63" s="33">
        <f>+SUM(START:END!Q63)</f>
        <v>1776</v>
      </c>
      <c r="R63" s="42"/>
      <c r="S63" s="86">
        <f t="shared" si="28"/>
        <v>168.1099999999999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30" t="s">
        <v>60</v>
      </c>
      <c r="D64" s="82"/>
      <c r="E64" s="14"/>
      <c r="F64" s="31">
        <f>+SUM(START:END!F64)</f>
        <v>1769.7360000000001</v>
      </c>
      <c r="G64" s="84"/>
      <c r="H64" s="14"/>
      <c r="I64" s="31">
        <f>+SUM(START:END!I64)</f>
        <v>1769.7360000000001</v>
      </c>
      <c r="J64" s="42"/>
      <c r="K64" s="14"/>
      <c r="L64" s="34">
        <f>+SUM(START:END!L64)</f>
        <v>615.72</v>
      </c>
      <c r="M64" s="42"/>
      <c r="N64" s="60">
        <f t="shared" si="27"/>
        <v>-1154.0160000000001</v>
      </c>
      <c r="O64" s="42"/>
      <c r="P64" s="14"/>
      <c r="Q64" s="34">
        <f>+SUM(START:END!Q64)</f>
        <v>1564.04</v>
      </c>
      <c r="R64" s="42"/>
      <c r="S64" s="86">
        <f t="shared" si="28"/>
        <v>-948.31999999999994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30" t="s">
        <v>61</v>
      </c>
      <c r="D65" s="82"/>
      <c r="E65" s="14"/>
      <c r="F65" s="31">
        <f>+SUM(START:END!F65)</f>
        <v>830.40000000000009</v>
      </c>
      <c r="G65" s="84"/>
      <c r="H65" s="14"/>
      <c r="I65" s="31">
        <f>+SUM(START:END!I65)</f>
        <v>830.40000000000009</v>
      </c>
      <c r="J65" s="42"/>
      <c r="K65" s="14"/>
      <c r="L65" s="34">
        <f>+SUM(START:END!L65)</f>
        <v>488.48999999999995</v>
      </c>
      <c r="M65" s="42"/>
      <c r="N65" s="60">
        <f t="shared" si="27"/>
        <v>-341.91000000000014</v>
      </c>
      <c r="O65" s="42"/>
      <c r="P65" s="14"/>
      <c r="Q65" s="34">
        <f>+SUM(START:END!Q65)</f>
        <v>342.25</v>
      </c>
      <c r="R65" s="42"/>
      <c r="S65" s="86">
        <f t="shared" si="28"/>
        <v>146.23999999999995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30" t="s">
        <v>62</v>
      </c>
      <c r="D66" s="82"/>
      <c r="E66" s="14"/>
      <c r="F66" s="31">
        <f>+SUM(START:END!F66)</f>
        <v>4047.3600000000006</v>
      </c>
      <c r="G66" s="84"/>
      <c r="H66" s="14"/>
      <c r="I66" s="31">
        <f>+SUM(START:END!I66)</f>
        <v>4047.3600000000006</v>
      </c>
      <c r="J66" s="42"/>
      <c r="K66" s="14"/>
      <c r="L66" s="34">
        <f>+SUM(START:END!L66)</f>
        <v>1503.45</v>
      </c>
      <c r="M66" s="42"/>
      <c r="N66" s="60">
        <f t="shared" si="27"/>
        <v>-2543.9100000000008</v>
      </c>
      <c r="O66" s="42"/>
      <c r="P66" s="14"/>
      <c r="Q66" s="34">
        <f>+SUM(START:END!Q66)</f>
        <v>5180.91</v>
      </c>
      <c r="R66" s="42"/>
      <c r="S66" s="86">
        <f t="shared" si="28"/>
        <v>-3677.46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30" t="s">
        <v>63</v>
      </c>
      <c r="D67" s="82"/>
      <c r="E67" s="14"/>
      <c r="F67" s="31">
        <f>+SUM(START:END!F67)</f>
        <v>4315.0400000000009</v>
      </c>
      <c r="G67" s="84"/>
      <c r="H67" s="14"/>
      <c r="I67" s="31">
        <f>+SUM(START:END!I67)</f>
        <v>4315.0400000000009</v>
      </c>
      <c r="J67" s="42"/>
      <c r="K67" s="14"/>
      <c r="L67" s="34">
        <f>+SUM(START:END!L67)</f>
        <v>4289.99</v>
      </c>
      <c r="M67" s="42"/>
      <c r="N67" s="60">
        <f t="shared" si="27"/>
        <v>-25.050000000001091</v>
      </c>
      <c r="O67" s="42"/>
      <c r="P67" s="14"/>
      <c r="Q67" s="34">
        <f>+SUM(START:END!Q67)</f>
        <v>13667.49</v>
      </c>
      <c r="R67" s="42"/>
      <c r="S67" s="86">
        <f t="shared" si="28"/>
        <v>-9377.5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30" t="s">
        <v>64</v>
      </c>
      <c r="D68" s="82"/>
      <c r="E68" s="14"/>
      <c r="F68" s="31">
        <f>+SUM(START:END!F68)</f>
        <v>10101.831395822926</v>
      </c>
      <c r="G68" s="84"/>
      <c r="H68" s="14"/>
      <c r="I68" s="31">
        <f>+SUM(START:END!I68)</f>
        <v>10101.831395822926</v>
      </c>
      <c r="J68" s="42"/>
      <c r="K68" s="14"/>
      <c r="L68" s="33">
        <f>+SUM(START:END!L68)</f>
        <v>9812.8665000000001</v>
      </c>
      <c r="M68" s="42"/>
      <c r="N68" s="60">
        <f t="shared" si="27"/>
        <v>-288.96489582292634</v>
      </c>
      <c r="O68" s="42"/>
      <c r="P68" s="14"/>
      <c r="Q68" s="34">
        <f>+SUM(START:END!Q68)</f>
        <v>12980.880000000001</v>
      </c>
      <c r="R68" s="42"/>
      <c r="S68" s="86">
        <f t="shared" si="28"/>
        <v>-3168.0135000000009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30" t="s">
        <v>21</v>
      </c>
      <c r="D69" s="82"/>
      <c r="E69" s="14"/>
      <c r="F69" s="31">
        <f>+SUM(START:END!F69)</f>
        <v>0</v>
      </c>
      <c r="G69" s="84"/>
      <c r="H69" s="14"/>
      <c r="I69" s="31">
        <f>+SUM(START:END!I69)</f>
        <v>0</v>
      </c>
      <c r="J69" s="42"/>
      <c r="K69" s="14"/>
      <c r="L69" s="34">
        <f>+SUM(START:END!L69)</f>
        <v>0</v>
      </c>
      <c r="M69" s="42"/>
      <c r="N69" s="60">
        <f t="shared" si="27"/>
        <v>0</v>
      </c>
      <c r="O69" s="42"/>
      <c r="P69" s="14"/>
      <c r="Q69" s="34">
        <f>+SUM(START:END!Q69)</f>
        <v>0</v>
      </c>
      <c r="R69" s="42"/>
      <c r="S69" s="86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30" t="s">
        <v>21</v>
      </c>
      <c r="D70" s="82"/>
      <c r="E70" s="14"/>
      <c r="F70" s="31">
        <f>+SUM(START:END!F70)</f>
        <v>0</v>
      </c>
      <c r="G70" s="84"/>
      <c r="H70" s="14"/>
      <c r="I70" s="31">
        <f>+SUM(START:END!I70)</f>
        <v>0</v>
      </c>
      <c r="J70" s="42"/>
      <c r="K70" s="14"/>
      <c r="L70" s="34">
        <f>+SUM(START:END!L70)</f>
        <v>0</v>
      </c>
      <c r="M70" s="42"/>
      <c r="N70" s="60">
        <f t="shared" si="27"/>
        <v>0</v>
      </c>
      <c r="O70" s="42"/>
      <c r="P70" s="14"/>
      <c r="Q70" s="34">
        <f>+SUM(START:END!Q70)</f>
        <v>0</v>
      </c>
      <c r="R70" s="42"/>
      <c r="S70" s="86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30" t="s">
        <v>21</v>
      </c>
      <c r="D71" s="82"/>
      <c r="E71" s="14"/>
      <c r="F71" s="31">
        <f>+SUM(START:END!F71)</f>
        <v>0</v>
      </c>
      <c r="G71" s="84"/>
      <c r="H71" s="14"/>
      <c r="I71" s="31">
        <f>+SUM(START:END!I71)</f>
        <v>0</v>
      </c>
      <c r="J71" s="42"/>
      <c r="K71" s="14"/>
      <c r="L71" s="34">
        <f>+SUM(START:END!L71)</f>
        <v>0</v>
      </c>
      <c r="M71" s="42"/>
      <c r="N71" s="60">
        <f t="shared" si="27"/>
        <v>0</v>
      </c>
      <c r="O71" s="42"/>
      <c r="P71" s="14"/>
      <c r="Q71" s="34">
        <f>+SUM(START:END!Q71)</f>
        <v>0</v>
      </c>
      <c r="R71" s="42"/>
      <c r="S71" s="86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9" t="s">
        <v>65</v>
      </c>
      <c r="D72" s="100" t="s">
        <v>40</v>
      </c>
      <c r="E72" s="101">
        <f>F72/F$27</f>
        <v>0.23241635802790075</v>
      </c>
      <c r="F72" s="102">
        <f>+SUM(F55:F71)</f>
        <v>105390.2710791408</v>
      </c>
      <c r="G72" s="103" t="s">
        <v>40</v>
      </c>
      <c r="H72" s="101">
        <f>I72/I$27</f>
        <v>0.20307964939860054</v>
      </c>
      <c r="I72" s="102">
        <f>+SUM(I55:I71)</f>
        <v>105390.2710791408</v>
      </c>
      <c r="J72" s="103" t="s">
        <v>40</v>
      </c>
      <c r="K72" s="101">
        <f>L72/L$27</f>
        <v>0.12991914619785982</v>
      </c>
      <c r="L72" s="102">
        <f>+SUM(L55:L71)</f>
        <v>79229.116500000004</v>
      </c>
      <c r="M72" s="106"/>
      <c r="N72" s="102">
        <f>+SUM(N55:N71)</f>
        <v>-26161.154579140817</v>
      </c>
      <c r="O72" s="103" t="s">
        <v>40</v>
      </c>
      <c r="P72" s="101">
        <f>Q72/Q$27</f>
        <v>0.38788839030690381</v>
      </c>
      <c r="Q72" s="102">
        <f>+SUM(Q55:Q71)</f>
        <v>131185.25</v>
      </c>
      <c r="R72" s="106"/>
      <c r="S72" s="107">
        <f>+SUM(S55:S71)</f>
        <v>-51956.133500000004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9" t="s">
        <v>66</v>
      </c>
      <c r="D74" s="100" t="s">
        <v>40</v>
      </c>
      <c r="E74" s="101">
        <f>F74/F$27</f>
        <v>1.3300808809007227</v>
      </c>
      <c r="F74" s="102">
        <f>F41+F54+F72</f>
        <v>603131.31908934633</v>
      </c>
      <c r="G74" s="103" t="s">
        <v>40</v>
      </c>
      <c r="H74" s="101">
        <f>I74/I$27</f>
        <v>1.1658868751166038</v>
      </c>
      <c r="I74" s="102">
        <f>I41+I54+I72</f>
        <v>605048.97551294474</v>
      </c>
      <c r="J74" s="103" t="s">
        <v>40</v>
      </c>
      <c r="K74" s="101">
        <f>L74/L$27</f>
        <v>1.0252555871636095</v>
      </c>
      <c r="L74" s="102">
        <f>L41+L54+L72</f>
        <v>625235.74650000001</v>
      </c>
      <c r="M74" s="106"/>
      <c r="N74" s="119">
        <f>L74-I74</f>
        <v>20186.770987055264</v>
      </c>
      <c r="O74" s="103" t="s">
        <v>40</v>
      </c>
      <c r="P74" s="101">
        <f>Q74/Q$27</f>
        <v>1.9085969220907164</v>
      </c>
      <c r="Q74" s="102">
        <f>Q41+Q54+Q72</f>
        <v>645494.35</v>
      </c>
      <c r="R74" s="106"/>
      <c r="S74" s="120">
        <f>L74-Q74</f>
        <v>-20258.603499999968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30" t="s">
        <v>200</v>
      </c>
      <c r="D75" s="82"/>
      <c r="E75" s="14"/>
      <c r="F75" s="31">
        <f>+SUM(START:END!F75)</f>
        <v>101841.47886898088</v>
      </c>
      <c r="G75" s="84"/>
      <c r="H75" s="14"/>
      <c r="I75" s="31">
        <f>+SUM(START:END!I75)</f>
        <v>23103.18592934401</v>
      </c>
      <c r="J75" s="42"/>
      <c r="K75" s="14"/>
      <c r="L75" s="33">
        <f>+SUM(START:END!L75)</f>
        <v>19500</v>
      </c>
      <c r="M75" s="42"/>
      <c r="N75" s="60">
        <f t="shared" ref="N75:N82" si="29">L75-I75</f>
        <v>-3603.1859293440102</v>
      </c>
      <c r="O75" s="42"/>
      <c r="P75" s="14"/>
      <c r="Q75" s="33">
        <f>+SUM(START:END!Q75)</f>
        <v>128898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30" t="s">
        <v>197</v>
      </c>
      <c r="D76" s="82"/>
      <c r="E76" s="14"/>
      <c r="F76" s="31">
        <f>+SUM(START:END!F76)</f>
        <v>0</v>
      </c>
      <c r="G76" s="84"/>
      <c r="H76" s="14"/>
      <c r="I76" s="31">
        <f>+SUM(START:END!I76)</f>
        <v>0</v>
      </c>
      <c r="J76" s="42"/>
      <c r="K76" s="14"/>
      <c r="L76" s="33">
        <f>+SUM(START:END!L76)</f>
        <v>0</v>
      </c>
      <c r="M76" s="42"/>
      <c r="N76" s="60">
        <f>L76-I76</f>
        <v>0</v>
      </c>
      <c r="O76" s="42"/>
      <c r="P76" s="14"/>
      <c r="Q76" s="33">
        <f>+SUM(START:END!Q76)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30" t="s">
        <v>69</v>
      </c>
      <c r="D77" s="82"/>
      <c r="E77" s="14"/>
      <c r="F77" s="31">
        <f>+SUM(START:END!F77)</f>
        <v>0</v>
      </c>
      <c r="G77" s="84"/>
      <c r="H77" s="14"/>
      <c r="I77" s="31">
        <f>+SUM(START:END!I77)</f>
        <v>0</v>
      </c>
      <c r="J77" s="42"/>
      <c r="K77" s="14"/>
      <c r="L77" s="33">
        <f>+SUM(START:END!L77)</f>
        <v>0</v>
      </c>
      <c r="M77" s="42"/>
      <c r="N77" s="60">
        <f t="shared" si="29"/>
        <v>0</v>
      </c>
      <c r="O77" s="42"/>
      <c r="P77" s="14"/>
      <c r="Q77" s="33">
        <f>+SUM(START:END!Q77)</f>
        <v>0</v>
      </c>
      <c r="R77" s="42"/>
      <c r="S77" s="86">
        <f t="shared" ref="S77:S82" si="30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30" t="s">
        <v>70</v>
      </c>
      <c r="D78" s="82"/>
      <c r="E78" s="14"/>
      <c r="F78" s="31">
        <f>+SUM(START:END!F78)</f>
        <v>211969.62723616601</v>
      </c>
      <c r="G78" s="84"/>
      <c r="H78" s="14"/>
      <c r="I78" s="31">
        <f>+SUM(START:END!I78)</f>
        <v>214385.89113735178</v>
      </c>
      <c r="J78" s="42"/>
      <c r="K78" s="14"/>
      <c r="L78" s="34">
        <f>+SUM(START:END!L78)</f>
        <v>213351</v>
      </c>
      <c r="M78" s="42"/>
      <c r="N78" s="60">
        <f t="shared" si="29"/>
        <v>-1034.8911373517767</v>
      </c>
      <c r="O78" s="42"/>
      <c r="P78" s="14"/>
      <c r="Q78" s="33">
        <f>+SUM(START:END!Q78)</f>
        <v>238950.75</v>
      </c>
      <c r="R78" s="42"/>
      <c r="S78" s="86">
        <f t="shared" si="30"/>
        <v>-25599.75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30" t="s">
        <v>21</v>
      </c>
      <c r="D79" s="82"/>
      <c r="E79" s="14"/>
      <c r="F79" s="31">
        <f>+SUM(START:END!F79)</f>
        <v>0</v>
      </c>
      <c r="G79" s="84"/>
      <c r="H79" s="14"/>
      <c r="I79" s="31">
        <f>+SUM(START:END!I79)</f>
        <v>0</v>
      </c>
      <c r="J79" s="42"/>
      <c r="K79" s="14"/>
      <c r="L79" s="34">
        <f>+SUM(START:END!L79)</f>
        <v>0</v>
      </c>
      <c r="M79" s="42"/>
      <c r="N79" s="60">
        <f t="shared" si="29"/>
        <v>0</v>
      </c>
      <c r="O79" s="42"/>
      <c r="P79" s="14"/>
      <c r="Q79" s="33">
        <f>+SUM(START:END!Q79)</f>
        <v>0</v>
      </c>
      <c r="R79" s="42"/>
      <c r="S79" s="86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30" t="s">
        <v>21</v>
      </c>
      <c r="D80" s="82"/>
      <c r="E80" s="14"/>
      <c r="F80" s="31">
        <f>+SUM(START:END!F80)</f>
        <v>0</v>
      </c>
      <c r="G80" s="84"/>
      <c r="H80" s="14"/>
      <c r="I80" s="31">
        <f>+SUM(START:END!I80)</f>
        <v>0</v>
      </c>
      <c r="J80" s="42"/>
      <c r="K80" s="14"/>
      <c r="L80" s="34">
        <f>+SUM(START:END!L80)</f>
        <v>0</v>
      </c>
      <c r="M80" s="42"/>
      <c r="N80" s="60">
        <f t="shared" si="29"/>
        <v>0</v>
      </c>
      <c r="O80" s="42"/>
      <c r="P80" s="14"/>
      <c r="Q80" s="33">
        <f>+SUM(START:END!Q80)</f>
        <v>0</v>
      </c>
      <c r="R80" s="42"/>
      <c r="S80" s="86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30" t="s">
        <v>21</v>
      </c>
      <c r="D81" s="82"/>
      <c r="E81" s="14"/>
      <c r="F81" s="31">
        <f>+SUM(START:END!F81)</f>
        <v>0</v>
      </c>
      <c r="G81" s="84"/>
      <c r="H81" s="14"/>
      <c r="I81" s="31">
        <f>+SUM(START:END!I81)</f>
        <v>0</v>
      </c>
      <c r="J81" s="42"/>
      <c r="K81" s="14"/>
      <c r="L81" s="34">
        <f>+SUM(START:END!L81)</f>
        <v>0</v>
      </c>
      <c r="M81" s="42"/>
      <c r="N81" s="60">
        <f t="shared" si="29"/>
        <v>0</v>
      </c>
      <c r="O81" s="42"/>
      <c r="P81" s="14"/>
      <c r="Q81" s="33">
        <f>+SUM(START:END!Q81)</f>
        <v>0</v>
      </c>
      <c r="R81" s="42"/>
      <c r="S81" s="86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30" t="s">
        <v>71</v>
      </c>
      <c r="D82" s="82"/>
      <c r="E82" s="14"/>
      <c r="F82" s="31">
        <f>+SUM(START:END!F82)</f>
        <v>71780.329390036539</v>
      </c>
      <c r="G82" s="84"/>
      <c r="H82" s="14"/>
      <c r="I82" s="31">
        <f>+SUM(START:END!I82)</f>
        <v>71780.329390036524</v>
      </c>
      <c r="J82" s="42"/>
      <c r="K82" s="14"/>
      <c r="L82" s="33">
        <f>+SUM(START:END!L82)</f>
        <v>63541</v>
      </c>
      <c r="M82" s="42"/>
      <c r="N82" s="60">
        <f t="shared" si="29"/>
        <v>-8239.3293900365243</v>
      </c>
      <c r="O82" s="42"/>
      <c r="P82" s="14"/>
      <c r="Q82" s="33">
        <f>+SUM(START:END!Q82)</f>
        <v>37176</v>
      </c>
      <c r="R82" s="42"/>
      <c r="S82" s="86">
        <f t="shared" si="30"/>
        <v>26365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9" t="s">
        <v>72</v>
      </c>
      <c r="D83" s="100"/>
      <c r="E83" s="101"/>
      <c r="F83" s="102">
        <f>+SUM(F75:F82)</f>
        <v>385591.4354951834</v>
      </c>
      <c r="G83" s="103"/>
      <c r="H83" s="101"/>
      <c r="I83" s="102">
        <f>+SUM(I75:I82)</f>
        <v>309269.40645673231</v>
      </c>
      <c r="J83" s="103"/>
      <c r="K83" s="101"/>
      <c r="L83" s="102">
        <f>+SUM(L75:L82)</f>
        <v>296392</v>
      </c>
      <c r="M83" s="106"/>
      <c r="N83" s="102">
        <f>+SUM(N75:N82)</f>
        <v>-12877.406456732311</v>
      </c>
      <c r="O83" s="103"/>
      <c r="P83" s="101"/>
      <c r="Q83" s="102">
        <f>+SUM(Q75:Q82)</f>
        <v>405024.75</v>
      </c>
      <c r="R83" s="106"/>
      <c r="S83" s="107">
        <f>+SUM(S75:S82)</f>
        <v>765.25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30" t="s">
        <v>73</v>
      </c>
      <c r="D85" s="131"/>
      <c r="E85" s="132"/>
      <c r="F85" s="133">
        <f>F27-F74+F83</f>
        <v>235914.735406833</v>
      </c>
      <c r="G85" s="134"/>
      <c r="H85" s="132"/>
      <c r="I85" s="133">
        <f>I27-I74+I83</f>
        <v>223180.70781664626</v>
      </c>
      <c r="J85" s="134"/>
      <c r="K85" s="131"/>
      <c r="L85" s="133">
        <f>L27-L74+L83</f>
        <v>280990.28349999979</v>
      </c>
      <c r="M85" s="134"/>
      <c r="N85" s="133">
        <f>N27-N41-N54-N72+N83</f>
        <v>57809.575683353483</v>
      </c>
      <c r="O85" s="134"/>
      <c r="P85" s="131"/>
      <c r="Q85" s="133">
        <f>Q27-Q74+Q83</f>
        <v>97734.000000000116</v>
      </c>
      <c r="R85" s="134"/>
      <c r="S85" s="135">
        <f>S27-S41-S54-S72+S83</f>
        <v>302769.29349999968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 xml:space="preserve">Réalisé  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19" t="s">
        <v>5</v>
      </c>
      <c r="E91" s="520"/>
      <c r="F91" s="521"/>
      <c r="G91" s="522" t="s">
        <v>75</v>
      </c>
      <c r="H91" s="520"/>
      <c r="I91" s="521"/>
      <c r="J91" s="522" t="s">
        <v>7</v>
      </c>
      <c r="K91" s="520"/>
      <c r="L91" s="521"/>
      <c r="M91" s="522" t="s">
        <v>8</v>
      </c>
      <c r="N91" s="521"/>
      <c r="O91" s="519" t="s">
        <v>9</v>
      </c>
      <c r="P91" s="520"/>
      <c r="Q91" s="521"/>
      <c r="R91" s="522" t="s">
        <v>10</v>
      </c>
      <c r="S91" s="52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+SUM(START:END!F93)</f>
        <v>3362839.7042774716</v>
      </c>
      <c r="G93" s="47"/>
      <c r="H93" s="26"/>
      <c r="I93" s="23">
        <f>+SUM(START:END!I93)</f>
        <v>3362839.7042774716</v>
      </c>
      <c r="J93" s="24"/>
      <c r="K93" s="26"/>
      <c r="L93" s="23">
        <f>+SUM(START:END!L93)</f>
        <v>4150682.08</v>
      </c>
      <c r="M93" s="143"/>
      <c r="N93" s="144"/>
      <c r="O93" s="24"/>
      <c r="P93" s="26"/>
      <c r="Q93" s="23">
        <f>+SUM(START:END!Q93)</f>
        <v>3109305.3099999996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74</v>
      </c>
      <c r="C94" s="30" t="s">
        <v>76</v>
      </c>
      <c r="D94" s="31">
        <f>+SUM(START:END!D94)</f>
        <v>100.92719716108647</v>
      </c>
      <c r="E94" s="31">
        <f>IF(D94=0,0,F94/D94)</f>
        <v>750.00000000000011</v>
      </c>
      <c r="F94" s="436">
        <f>+SUM(START:END!F94)</f>
        <v>75695.397870814864</v>
      </c>
      <c r="G94" s="31">
        <f>+SUM(START:END!G94)</f>
        <v>100.92719716108647</v>
      </c>
      <c r="H94" s="31">
        <f>IF(G94=0,0,I94/G94)</f>
        <v>750.00000000000011</v>
      </c>
      <c r="I94" s="436">
        <f>+SUM(START:END!I94)</f>
        <v>75695.397870814864</v>
      </c>
      <c r="J94" s="31">
        <f>+SUM(START:END!J94)</f>
        <v>113</v>
      </c>
      <c r="K94" s="31">
        <f>IF(J94=0,0,L94/J94)</f>
        <v>1072.4797345132754</v>
      </c>
      <c r="L94" s="31">
        <f>+SUM(START:END!L94)</f>
        <v>121190.21000000012</v>
      </c>
      <c r="M94" s="32">
        <f>J94-G94</f>
        <v>12.072802838913532</v>
      </c>
      <c r="N94" s="34">
        <f>L94-I94</f>
        <v>45494.812129185259</v>
      </c>
      <c r="O94" s="31">
        <f>+SUM(START:END!O94)</f>
        <v>0</v>
      </c>
      <c r="P94" s="31">
        <f>IF(O94=0,0,Q94/O94)</f>
        <v>0</v>
      </c>
      <c r="Q94" s="31">
        <f>+SUM(START:END!Q94)</f>
        <v>0</v>
      </c>
      <c r="R94" s="32">
        <f t="shared" ref="R94:R95" si="32">J94-O94</f>
        <v>113</v>
      </c>
      <c r="S94" s="35">
        <f t="shared" ref="S94:S95" si="33">L94-Q94</f>
        <v>121190.21000000012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74</v>
      </c>
      <c r="C95" s="30" t="s">
        <v>77</v>
      </c>
      <c r="D95" s="31">
        <f>+SUM(START:END!D95)</f>
        <v>5.7563040205942846</v>
      </c>
      <c r="E95" s="26">
        <f t="shared" ref="E95:E104" si="34">IF(D95=0,0,F95/D95)</f>
        <v>749.99999999999989</v>
      </c>
      <c r="F95" s="53">
        <f>+SUM(START:END!F95)</f>
        <v>4317.228015445713</v>
      </c>
      <c r="G95" s="31">
        <f>+SUM(START:END!G95)</f>
        <v>5.7563040205942846</v>
      </c>
      <c r="H95" s="26">
        <f t="shared" ref="H95" si="35">IF(G95=0,0,I95/G95)</f>
        <v>749.99999999999989</v>
      </c>
      <c r="I95" s="53">
        <f>+SUM(START:END!I95)</f>
        <v>4317.228015445713</v>
      </c>
      <c r="J95" s="31">
        <f>+SUM(START:END!J95)</f>
        <v>4</v>
      </c>
      <c r="K95" s="26">
        <f t="shared" ref="K95" si="36">IF(J95=0,0,L95/J95)</f>
        <v>279.19250000000045</v>
      </c>
      <c r="L95" s="31">
        <f>+SUM(START:END!L95)</f>
        <v>1116.7700000000018</v>
      </c>
      <c r="M95" s="32"/>
      <c r="N95" s="34"/>
      <c r="O95" s="31">
        <f>+SUM(START:END!O95)</f>
        <v>115</v>
      </c>
      <c r="P95" s="26">
        <f t="shared" ref="P95" si="37">IF(O95=0,0,Q95/O95)</f>
        <v>516.94513043478241</v>
      </c>
      <c r="Q95" s="31">
        <f>+SUM(START:END!Q95)</f>
        <v>59448.689999999973</v>
      </c>
      <c r="R95" s="32">
        <f t="shared" si="32"/>
        <v>-111</v>
      </c>
      <c r="S95" s="35">
        <f t="shared" si="33"/>
        <v>-58331.919999999969</v>
      </c>
      <c r="T95" s="14"/>
      <c r="U95" s="14"/>
      <c r="V95" s="146"/>
      <c r="W95" s="146"/>
      <c r="X95" s="146"/>
      <c r="Y95" s="146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74</v>
      </c>
      <c r="C96" s="36" t="s">
        <v>78</v>
      </c>
      <c r="D96" s="37">
        <f>+D95+D94</f>
        <v>106.68350118168075</v>
      </c>
      <c r="E96" s="31">
        <f t="shared" si="34"/>
        <v>750.00000000000011</v>
      </c>
      <c r="F96" s="38">
        <f t="shared" ref="F96" si="38">+F94+F95</f>
        <v>80012.625886260575</v>
      </c>
      <c r="G96" s="39">
        <f>+G95+G94</f>
        <v>106.68350118168075</v>
      </c>
      <c r="H96" s="37">
        <f t="shared" ref="H96:H98" si="39">IF(G96=0,0,I96/G96)</f>
        <v>750.00000000000011</v>
      </c>
      <c r="I96" s="38">
        <f t="shared" ref="I96:J96" si="40">+I94+I95</f>
        <v>80012.625886260575</v>
      </c>
      <c r="J96" s="39">
        <f t="shared" si="40"/>
        <v>117</v>
      </c>
      <c r="K96" s="37">
        <f>IF(J96&lt;=0,0,L96/J96)</f>
        <v>1045.3588034188044</v>
      </c>
      <c r="L96" s="38">
        <f>+L94+L95</f>
        <v>122306.98000000013</v>
      </c>
      <c r="M96" s="39">
        <f>J96-G96</f>
        <v>10.316498818319246</v>
      </c>
      <c r="N96" s="38">
        <f>L96-I96</f>
        <v>42294.354113739551</v>
      </c>
      <c r="O96" s="39">
        <f t="shared" ref="O96" si="41">+O94+O95</f>
        <v>115</v>
      </c>
      <c r="P96" s="37">
        <f>IF(O96&lt;=0,0,Q96/O96)</f>
        <v>516.94513043478241</v>
      </c>
      <c r="Q96" s="38">
        <f>+Q94+Q95</f>
        <v>59448.689999999973</v>
      </c>
      <c r="R96" s="39">
        <f t="shared" ref="R96:S96" si="42">R94+R95</f>
        <v>2</v>
      </c>
      <c r="S96" s="40">
        <f t="shared" si="42"/>
        <v>62858.290000000154</v>
      </c>
      <c r="T96" s="14"/>
      <c r="U96" s="14"/>
      <c r="V96" s="480">
        <f>+SUM(START:END!D96)-D96</f>
        <v>0</v>
      </c>
      <c r="W96" s="480">
        <f>+SUM(START:END!G96)-G96</f>
        <v>0</v>
      </c>
      <c r="X96" s="480">
        <f>+SUM(START:END!J96)-J96</f>
        <v>0</v>
      </c>
      <c r="Y96" s="480">
        <f>+SUM(START:END!O96)-O96</f>
        <v>0</v>
      </c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74</v>
      </c>
      <c r="C97" s="30"/>
      <c r="D97" s="14"/>
      <c r="E97" s="31">
        <f t="shared" si="34"/>
        <v>0</v>
      </c>
      <c r="F97" s="41"/>
      <c r="G97" s="42"/>
      <c r="H97" s="14">
        <f t="shared" si="39"/>
        <v>0</v>
      </c>
      <c r="I97" s="41"/>
      <c r="J97" s="42"/>
      <c r="K97" s="14"/>
      <c r="L97" s="41"/>
      <c r="M97" s="43">
        <f>M96/G96</f>
        <v>9.6701914579559678E-2</v>
      </c>
      <c r="N97" s="44">
        <f>N96/I96</f>
        <v>0.52859600150933372</v>
      </c>
      <c r="O97" s="42"/>
      <c r="P97" s="14"/>
      <c r="Q97" s="41"/>
      <c r="R97" s="43">
        <f>R96/O96</f>
        <v>1.7391304347826087E-2</v>
      </c>
      <c r="S97" s="45">
        <f>IF(Q96=0,0,(S96/Q96))</f>
        <v>1.057353660778735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74</v>
      </c>
      <c r="C98" s="30" t="s">
        <v>196</v>
      </c>
      <c r="D98" s="31">
        <f>+SUM(START:END!D98)</f>
        <v>0</v>
      </c>
      <c r="E98" s="31">
        <f t="shared" si="34"/>
        <v>0</v>
      </c>
      <c r="F98" s="31">
        <f>+SUM(START:END!F98)</f>
        <v>0</v>
      </c>
      <c r="G98" s="163">
        <f>+SUM(START:END!G98)</f>
        <v>0</v>
      </c>
      <c r="H98" s="31">
        <f t="shared" si="39"/>
        <v>0</v>
      </c>
      <c r="I98" s="31">
        <f>+SUM(START:END!I98)</f>
        <v>0</v>
      </c>
      <c r="J98" s="32">
        <f>+SUM(START:END!J98)</f>
        <v>0</v>
      </c>
      <c r="K98" s="31">
        <f t="shared" ref="K98" si="43">IF(J98=0,0,L98/J98)</f>
        <v>0</v>
      </c>
      <c r="L98" s="34">
        <f>+SUM(START:END!L98)</f>
        <v>0</v>
      </c>
      <c r="M98" s="32">
        <f t="shared" ref="M98" si="44">J98-G98</f>
        <v>0</v>
      </c>
      <c r="N98" s="34">
        <f t="shared" ref="N98" si="45">L98-I98</f>
        <v>0</v>
      </c>
      <c r="O98" s="32">
        <f>+SUM(START:END!O98)</f>
        <v>0</v>
      </c>
      <c r="P98" s="31">
        <f t="shared" ref="P98" si="46">IF(O98=0,0,Q98/O98)</f>
        <v>0</v>
      </c>
      <c r="Q98" s="33">
        <f>+SUM(START:END!Q98)</f>
        <v>0</v>
      </c>
      <c r="R98" s="32"/>
      <c r="S98" s="35"/>
      <c r="T98" s="14"/>
      <c r="U98" s="14"/>
      <c r="V98" s="480">
        <f>+SUM(START:END!D98)-D98</f>
        <v>0</v>
      </c>
      <c r="W98" s="480">
        <f>+SUM(START:END!G98)-G98</f>
        <v>0</v>
      </c>
      <c r="X98" s="480">
        <f>+SUM(START:END!J98)-J98</f>
        <v>0</v>
      </c>
      <c r="Y98" s="480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74</v>
      </c>
      <c r="C99" s="30" t="s">
        <v>79</v>
      </c>
      <c r="D99" s="31">
        <f>+SUM(START:END!D99)</f>
        <v>90.400229948687382</v>
      </c>
      <c r="E99" s="31">
        <f t="shared" ref="E99" si="47">IF(D99=0,0,F99/D99)</f>
        <v>120</v>
      </c>
      <c r="F99" s="31">
        <f>+SUM(START:END!F99)</f>
        <v>10848.027593842486</v>
      </c>
      <c r="G99" s="163">
        <f>+SUM(START:END!G99)</f>
        <v>90.400229948687382</v>
      </c>
      <c r="H99" s="31">
        <f t="shared" ref="H99" si="48">IF(G99=0,0,I99/G99)</f>
        <v>120</v>
      </c>
      <c r="I99" s="31">
        <f>+SUM(START:END!I99)</f>
        <v>10848.027593842486</v>
      </c>
      <c r="J99" s="32">
        <f>+SUM(START:END!J99)</f>
        <v>113</v>
      </c>
      <c r="K99" s="31">
        <f t="shared" ref="K99" si="49">IF(J99=0,0,L99/J99)</f>
        <v>393.30628318584058</v>
      </c>
      <c r="L99" s="34">
        <f>+SUM(START:END!L99)</f>
        <v>44443.609999999986</v>
      </c>
      <c r="M99" s="32">
        <f t="shared" ref="M99" si="50">J99-G99</f>
        <v>22.599770051312618</v>
      </c>
      <c r="N99" s="34">
        <f t="shared" ref="N99" si="51">L99-I99</f>
        <v>33595.582406157497</v>
      </c>
      <c r="O99" s="32">
        <f>+SUM(START:END!O99)</f>
        <v>92</v>
      </c>
      <c r="P99" s="31">
        <f t="shared" ref="P99" si="52">IF(O99=0,0,Q99/O99)</f>
        <v>364.65326086956526</v>
      </c>
      <c r="Q99" s="33">
        <f>+SUM(START:END!Q99)</f>
        <v>33548.100000000006</v>
      </c>
      <c r="R99" s="32">
        <f t="shared" ref="R99" si="53">J99-O99</f>
        <v>21</v>
      </c>
      <c r="S99" s="35">
        <f t="shared" ref="S99" si="54">L99-Q99</f>
        <v>10895.50999999998</v>
      </c>
      <c r="T99" s="14"/>
      <c r="U99" s="14"/>
      <c r="V99" s="480">
        <f>+SUM(START:END!D99)-D99</f>
        <v>0</v>
      </c>
      <c r="W99" s="480">
        <f>+SUM(START:END!G99)-G99</f>
        <v>0</v>
      </c>
      <c r="X99" s="480">
        <f>+SUM(START:END!J99)-J99</f>
        <v>0</v>
      </c>
      <c r="Y99" s="480">
        <f>+SUM(START:END!O99)-O99</f>
        <v>0</v>
      </c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s="437" customFormat="1" ht="15.75" customHeight="1">
      <c r="A101" s="437" t="str">
        <f t="shared" si="31"/>
        <v>Véhicules usagésRev. Finances</v>
      </c>
      <c r="B101" s="438" t="s">
        <v>74</v>
      </c>
      <c r="C101" s="439" t="s">
        <v>26</v>
      </c>
      <c r="D101" s="440">
        <v>0</v>
      </c>
      <c r="E101" s="440">
        <f t="shared" si="34"/>
        <v>0</v>
      </c>
      <c r="F101" s="441">
        <f>+SUM(START:END!F101)</f>
        <v>85783.517032053249</v>
      </c>
      <c r="G101" s="442">
        <v>0</v>
      </c>
      <c r="H101" s="440">
        <f t="shared" ref="H101:H104" si="55">IF(G101=0,0,I101/G101)</f>
        <v>0</v>
      </c>
      <c r="I101" s="440">
        <f>+SUM(START:END!I101)</f>
        <v>85783.517032053249</v>
      </c>
      <c r="J101" s="442"/>
      <c r="K101" s="440">
        <f>IF(J96=0,0,L101/J96)</f>
        <v>773.52487179487184</v>
      </c>
      <c r="L101" s="441">
        <f>+SUM(START:END!L101)</f>
        <v>90502.41</v>
      </c>
      <c r="M101" s="442"/>
      <c r="N101" s="441">
        <f t="shared" ref="N101:N104" si="56">L101-I101</f>
        <v>4718.8929679467547</v>
      </c>
      <c r="O101" s="442"/>
      <c r="P101" s="440">
        <f>IF(O96=0,0,Q101/O96)</f>
        <v>545.66373913043481</v>
      </c>
      <c r="Q101" s="441">
        <f>+SUM(START:END!Q101)</f>
        <v>62751.33</v>
      </c>
      <c r="R101" s="442">
        <f t="shared" ref="R101:R103" si="57">O101-K101</f>
        <v>-773.52487179487184</v>
      </c>
      <c r="S101" s="443">
        <f t="shared" ref="S101:S104" si="58">L101-Q101</f>
        <v>27751.08</v>
      </c>
      <c r="T101" s="444"/>
      <c r="U101" s="444"/>
      <c r="V101" s="444"/>
      <c r="W101" s="444"/>
      <c r="X101" s="444"/>
      <c r="Y101" s="444"/>
      <c r="Z101" s="444"/>
      <c r="AA101" s="444"/>
      <c r="AB101" s="444"/>
      <c r="AC101" s="444"/>
      <c r="AD101" s="444"/>
      <c r="AE101" s="444"/>
      <c r="AF101" s="444"/>
      <c r="AG101" s="444"/>
      <c r="AH101" s="444"/>
      <c r="AI101" s="444"/>
      <c r="AJ101" s="444"/>
      <c r="AK101" s="444"/>
      <c r="AL101" s="444"/>
      <c r="AM101" s="444"/>
      <c r="AN101" s="444"/>
    </row>
    <row r="102" spans="1:40" ht="15.75" customHeight="1">
      <c r="A102" t="str">
        <f t="shared" si="31"/>
        <v>Véhicules usagésRev. Protections</v>
      </c>
      <c r="B102" s="12" t="s">
        <v>74</v>
      </c>
      <c r="C102" s="30" t="s">
        <v>27</v>
      </c>
      <c r="D102" s="31">
        <v>0</v>
      </c>
      <c r="E102" s="31">
        <f t="shared" si="34"/>
        <v>0</v>
      </c>
      <c r="F102" s="34">
        <f>+SUM(START:END!F102)</f>
        <v>97221.319302993681</v>
      </c>
      <c r="G102" s="32">
        <v>0</v>
      </c>
      <c r="H102" s="31">
        <f t="shared" si="55"/>
        <v>0</v>
      </c>
      <c r="I102" s="31">
        <f>+SUM(START:END!I102)</f>
        <v>97221.319302993681</v>
      </c>
      <c r="J102" s="32"/>
      <c r="K102" s="31">
        <f>IF(J96=0,0,L102/J96)</f>
        <v>1132.5384615384614</v>
      </c>
      <c r="L102" s="34">
        <f>+SUM(START:END!L102)</f>
        <v>132507</v>
      </c>
      <c r="M102" s="32"/>
      <c r="N102" s="34">
        <f t="shared" si="56"/>
        <v>35285.680697006319</v>
      </c>
      <c r="O102" s="32"/>
      <c r="P102" s="31">
        <f>IF(O96=0,0,Q102/O96)</f>
        <v>600.37565217391307</v>
      </c>
      <c r="Q102" s="34">
        <f>+SUM(START:END!Q102)</f>
        <v>69043.199999999997</v>
      </c>
      <c r="R102" s="32">
        <f t="shared" si="57"/>
        <v>-1132.5384615384614</v>
      </c>
      <c r="S102" s="35">
        <f t="shared" si="58"/>
        <v>63463.8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74</v>
      </c>
      <c r="C103" s="30" t="s">
        <v>28</v>
      </c>
      <c r="D103" s="31">
        <v>0</v>
      </c>
      <c r="E103" s="26">
        <f t="shared" si="34"/>
        <v>0</v>
      </c>
      <c r="F103" s="34">
        <f>+SUM(START:END!F103)</f>
        <v>0</v>
      </c>
      <c r="G103" s="32">
        <v>0</v>
      </c>
      <c r="H103" s="48">
        <f t="shared" si="55"/>
        <v>0</v>
      </c>
      <c r="I103" s="31">
        <f>+SUM(START:END!I103)</f>
        <v>0</v>
      </c>
      <c r="J103" s="32"/>
      <c r="K103" s="48">
        <f>IF(J96=0,0,L103/J96)</f>
        <v>43.749658119658122</v>
      </c>
      <c r="L103" s="34">
        <f>+SUM(START:END!L103)</f>
        <v>5118.71</v>
      </c>
      <c r="M103" s="52"/>
      <c r="N103" s="34">
        <f t="shared" si="56"/>
        <v>5118.71</v>
      </c>
      <c r="O103" s="32"/>
      <c r="P103" s="48">
        <f>IF(O96=0,0,Q103/O96)</f>
        <v>43.594260869565218</v>
      </c>
      <c r="Q103" s="34">
        <f>+SUM(START:END!Q103)</f>
        <v>5013.34</v>
      </c>
      <c r="R103" s="32">
        <f t="shared" si="57"/>
        <v>-43.749658119658122</v>
      </c>
      <c r="S103" s="35">
        <f t="shared" si="58"/>
        <v>105.36999999999989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74</v>
      </c>
      <c r="C104" s="36" t="s">
        <v>29</v>
      </c>
      <c r="D104" s="37">
        <f>D96</f>
        <v>106.68350118168075</v>
      </c>
      <c r="E104" s="31">
        <f t="shared" si="34"/>
        <v>1715.3996101364523</v>
      </c>
      <c r="F104" s="38">
        <f>F101+F102+F103</f>
        <v>183004.83633504692</v>
      </c>
      <c r="G104" s="39">
        <f>G96</f>
        <v>106.68350118168075</v>
      </c>
      <c r="H104" s="37">
        <f t="shared" si="55"/>
        <v>1715.3996101364523</v>
      </c>
      <c r="I104" s="38">
        <f>I101+I102+I103</f>
        <v>183004.83633504692</v>
      </c>
      <c r="J104" s="39">
        <f>J96</f>
        <v>117</v>
      </c>
      <c r="K104" s="37">
        <f>IF(J104&lt;=0,0,L104/J104)</f>
        <v>1949.8129914529914</v>
      </c>
      <c r="L104" s="38">
        <f>L101+L102+L103</f>
        <v>228128.12</v>
      </c>
      <c r="M104" s="32">
        <f>J104-G104</f>
        <v>10.316498818319246</v>
      </c>
      <c r="N104" s="38">
        <f t="shared" si="56"/>
        <v>45123.28366495308</v>
      </c>
      <c r="O104" s="39">
        <f>O96</f>
        <v>115</v>
      </c>
      <c r="P104" s="37">
        <f>IF(O104&lt;=0,0,Q104/O104)</f>
        <v>1189.6336521739131</v>
      </c>
      <c r="Q104" s="38">
        <f>Q101+Q102+Q103</f>
        <v>136807.87</v>
      </c>
      <c r="R104" s="57"/>
      <c r="S104" s="40">
        <f t="shared" si="58"/>
        <v>91320.25</v>
      </c>
      <c r="T104" s="14"/>
      <c r="U104" s="14"/>
      <c r="V104" s="480">
        <f>+SUM(START:END!D104)-D104</f>
        <v>0</v>
      </c>
      <c r="W104" s="480">
        <f>+SUM(START:END!G104)-G104</f>
        <v>0</v>
      </c>
      <c r="X104" s="480">
        <f>+SUM(START:END!J104)-J104</f>
        <v>0</v>
      </c>
      <c r="Y104" s="480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0.24656880423827141</v>
      </c>
      <c r="O105" s="42"/>
      <c r="P105" s="14"/>
      <c r="Q105" s="60"/>
      <c r="R105" s="61"/>
      <c r="S105" s="45">
        <f>IF(Q104=0,0,(S104/Q104))</f>
        <v>0.66750728594780406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74</v>
      </c>
      <c r="C107" s="63" t="s">
        <v>80</v>
      </c>
      <c r="D107" s="64">
        <f>D96+D99</f>
        <v>197.08373113036814</v>
      </c>
      <c r="E107" s="68">
        <f>IF(D107&lt;=0,0,F107/D107)</f>
        <v>1389.5895325524955</v>
      </c>
      <c r="F107" s="66">
        <f>F96+F104+F99</f>
        <v>273865.48981514998</v>
      </c>
      <c r="G107" s="67">
        <f>G96+G99</f>
        <v>197.08373113036814</v>
      </c>
      <c r="H107" s="68">
        <f>IF(G107&lt;=0,0,I107/G107)</f>
        <v>1389.5895325524955</v>
      </c>
      <c r="I107" s="66">
        <f>I96+I104+I99</f>
        <v>273865.48981514998</v>
      </c>
      <c r="J107" s="67">
        <f>J96+J99+J98</f>
        <v>230</v>
      </c>
      <c r="K107" s="68">
        <f>IF(J107&lt;=0,0,L107/J107)</f>
        <v>1716.8639565217395</v>
      </c>
      <c r="L107" s="66">
        <f>L96+L104+L99+L98</f>
        <v>394878.71000000008</v>
      </c>
      <c r="M107" s="67">
        <f>J107-G107</f>
        <v>32.916268869631864</v>
      </c>
      <c r="N107" s="66">
        <f>L107-I107</f>
        <v>121013.2201848501</v>
      </c>
      <c r="O107" s="67">
        <f>O96+O99+O98</f>
        <v>207</v>
      </c>
      <c r="P107" s="68">
        <f>IF(O107&lt;=0,0,Q107/O107)</f>
        <v>1110.1674396135265</v>
      </c>
      <c r="Q107" s="66">
        <f>Q96+Q104+Q99+Q98</f>
        <v>229804.65999999997</v>
      </c>
      <c r="R107" s="67">
        <f>J107-O107</f>
        <v>23</v>
      </c>
      <c r="S107" s="69">
        <f>L107-Q107</f>
        <v>165074.0500000001</v>
      </c>
      <c r="T107" s="14"/>
      <c r="U107" s="14"/>
      <c r="V107" s="480">
        <f>+SUM(START:END!D107)-D107</f>
        <v>0</v>
      </c>
      <c r="W107" s="480">
        <f>+SUM(START:END!G107)-G107</f>
        <v>0</v>
      </c>
      <c r="X107" s="480">
        <f>+SUM(START:END!J107)-J107</f>
        <v>0</v>
      </c>
      <c r="Y107" s="480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0.16701667195380127</v>
      </c>
      <c r="N108" s="75">
        <f>N107/I107</f>
        <v>0.44187100852513389</v>
      </c>
      <c r="O108" s="73"/>
      <c r="P108" s="71"/>
      <c r="Q108" s="72"/>
      <c r="R108" s="74">
        <f>O107/R107</f>
        <v>9</v>
      </c>
      <c r="S108" s="151">
        <f>IF(Q107=0,0,(S107/Q107))</f>
        <v>0.71832333600197718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9">F111/D$96</f>
        <v>417.42614084050547</v>
      </c>
      <c r="F111" s="31">
        <f>+SUM(START:END!F111)</f>
        <v>44532.482189622504</v>
      </c>
      <c r="G111" s="152">
        <f>I111/I96</f>
        <v>0.55656818778734063</v>
      </c>
      <c r="H111" s="83">
        <f t="shared" ref="H111:H119" si="60">I111/G$96</f>
        <v>417.42614084050547</v>
      </c>
      <c r="I111" s="31">
        <f>+SUM(START:END!I111)</f>
        <v>44532.482189622504</v>
      </c>
      <c r="J111" s="152">
        <f>L111/L96</f>
        <v>0.439166186590495</v>
      </c>
      <c r="K111" s="83">
        <f t="shared" ref="K111:K119" si="61">IF($J$96=0,0,L111/(J$94+J$95))</f>
        <v>459.0862393162393</v>
      </c>
      <c r="L111" s="34">
        <f>+SUM(START:END!L111)</f>
        <v>53713.09</v>
      </c>
      <c r="M111" s="42"/>
      <c r="N111" s="60">
        <f t="shared" ref="N111:N152" si="62">L111-I111</f>
        <v>9180.6078103774926</v>
      </c>
      <c r="O111" s="42"/>
      <c r="P111" s="83">
        <f t="shared" ref="P111:P119" si="63">IF($J$96=0,0,Q111/(O$94+O$95))</f>
        <v>371.57182608695655</v>
      </c>
      <c r="Q111" s="34">
        <f>+SUM(START:END!Q111)</f>
        <v>42730.76</v>
      </c>
      <c r="R111" s="42"/>
      <c r="S111" s="86">
        <f t="shared" ref="S111:S121" si="64">L111-Q111</f>
        <v>10982.329999999994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74</v>
      </c>
      <c r="C112" s="88" t="s">
        <v>33</v>
      </c>
      <c r="D112" s="89"/>
      <c r="E112" s="90">
        <f t="shared" si="59"/>
        <v>514.61988304093563</v>
      </c>
      <c r="F112" s="23">
        <f>+SUM(START:END!F112)</f>
        <v>54901.450900514072</v>
      </c>
      <c r="G112" s="93">
        <f>I112/I104</f>
        <v>0.3</v>
      </c>
      <c r="H112" s="90">
        <f t="shared" si="60"/>
        <v>514.61988304093563</v>
      </c>
      <c r="I112" s="23">
        <f>+SUM(START:END!I112)</f>
        <v>54901.450900514072</v>
      </c>
      <c r="J112" s="93">
        <f>L112/L104</f>
        <v>0.30479061502808158</v>
      </c>
      <c r="K112" s="90">
        <f t="shared" si="61"/>
        <v>594.28470085470087</v>
      </c>
      <c r="L112" s="34">
        <f>+SUM(START:END!L112)</f>
        <v>69531.31</v>
      </c>
      <c r="M112" s="24"/>
      <c r="N112" s="94">
        <f t="shared" si="62"/>
        <v>14629.859099485926</v>
      </c>
      <c r="O112" s="24"/>
      <c r="P112" s="90">
        <f t="shared" si="63"/>
        <v>297.81113043478263</v>
      </c>
      <c r="Q112" s="34">
        <f>+SUM(START:END!Q112)</f>
        <v>34248.28</v>
      </c>
      <c r="R112" s="24"/>
      <c r="S112" s="95">
        <f t="shared" si="64"/>
        <v>35283.03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74</v>
      </c>
      <c r="C113" s="30" t="s">
        <v>34</v>
      </c>
      <c r="D113" s="82"/>
      <c r="E113" s="83">
        <f t="shared" si="59"/>
        <v>54</v>
      </c>
      <c r="F113" s="31">
        <f>+SUM(START:END!F113)</f>
        <v>5760.9090638107609</v>
      </c>
      <c r="G113" s="84"/>
      <c r="H113" s="83">
        <f t="shared" si="60"/>
        <v>54</v>
      </c>
      <c r="I113" s="31">
        <f>+SUM(START:END!I113)</f>
        <v>5760.9090638107609</v>
      </c>
      <c r="J113" s="42"/>
      <c r="K113" s="83">
        <f t="shared" si="61"/>
        <v>75.842735042735029</v>
      </c>
      <c r="L113" s="114">
        <f>+SUM(START:END!L113)</f>
        <v>8873.5999999999985</v>
      </c>
      <c r="M113" s="42"/>
      <c r="N113" s="60">
        <f t="shared" si="62"/>
        <v>3112.6909361892376</v>
      </c>
      <c r="O113" s="42"/>
      <c r="P113" s="83">
        <f t="shared" si="63"/>
        <v>13.331913043478259</v>
      </c>
      <c r="Q113" s="114">
        <f>+SUM(START:END!Q113)</f>
        <v>1533.1699999999998</v>
      </c>
      <c r="R113" s="42"/>
      <c r="S113" s="86">
        <f t="shared" si="64"/>
        <v>7340.4299999999985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74</v>
      </c>
      <c r="C114" s="30" t="s">
        <v>35</v>
      </c>
      <c r="D114" s="82"/>
      <c r="E114" s="83">
        <f t="shared" si="59"/>
        <v>105.00000000000001</v>
      </c>
      <c r="F114" s="31">
        <f>+SUM(START:END!F114)</f>
        <v>11201.767624076481</v>
      </c>
      <c r="G114" s="84"/>
      <c r="H114" s="83">
        <f t="shared" si="60"/>
        <v>105.00000000000001</v>
      </c>
      <c r="I114" s="31">
        <f>+SUM(START:END!I114)</f>
        <v>11201.767624076481</v>
      </c>
      <c r="J114" s="42"/>
      <c r="K114" s="83">
        <f t="shared" si="61"/>
        <v>-6.1096581196581203</v>
      </c>
      <c r="L114" s="34">
        <f>+SUM(START:END!L114)</f>
        <v>-714.83</v>
      </c>
      <c r="M114" s="42"/>
      <c r="N114" s="60">
        <f t="shared" si="62"/>
        <v>-11916.597624076481</v>
      </c>
      <c r="O114" s="42"/>
      <c r="P114" s="83">
        <f t="shared" si="63"/>
        <v>52.859826086956524</v>
      </c>
      <c r="Q114" s="34">
        <f>+SUM(START:END!Q114)</f>
        <v>6078.88</v>
      </c>
      <c r="R114" s="42"/>
      <c r="S114" s="86">
        <f t="shared" si="64"/>
        <v>-6793.71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74</v>
      </c>
      <c r="C115" s="88" t="s">
        <v>36</v>
      </c>
      <c r="D115" s="89"/>
      <c r="E115" s="90">
        <f t="shared" si="59"/>
        <v>61</v>
      </c>
      <c r="F115" s="23">
        <f>+SUM(START:END!F115)</f>
        <v>6507.6935720825259</v>
      </c>
      <c r="G115" s="91"/>
      <c r="H115" s="90">
        <f t="shared" si="60"/>
        <v>61</v>
      </c>
      <c r="I115" s="23">
        <f>+SUM(START:END!I115)</f>
        <v>6507.6935720825259</v>
      </c>
      <c r="J115" s="24"/>
      <c r="K115" s="90">
        <f t="shared" si="61"/>
        <v>115.58478632478632</v>
      </c>
      <c r="L115" s="49">
        <f>+SUM(START:END!L115)</f>
        <v>13523.42</v>
      </c>
      <c r="M115" s="24"/>
      <c r="N115" s="94">
        <f t="shared" si="62"/>
        <v>7015.7264279174742</v>
      </c>
      <c r="O115" s="24"/>
      <c r="P115" s="90">
        <f t="shared" si="63"/>
        <v>62.004347826086956</v>
      </c>
      <c r="Q115" s="49">
        <f>+SUM(START:END!Q115)</f>
        <v>7130.5</v>
      </c>
      <c r="R115" s="24"/>
      <c r="S115" s="95">
        <f t="shared" si="64"/>
        <v>6392.92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74</v>
      </c>
      <c r="C116" s="30" t="s">
        <v>37</v>
      </c>
      <c r="D116" s="82"/>
      <c r="E116" s="83">
        <f t="shared" si="59"/>
        <v>27.410526315789461</v>
      </c>
      <c r="F116" s="31">
        <f>+SUM(START:END!F116)</f>
        <v>2924.2509166010163</v>
      </c>
      <c r="G116" s="84"/>
      <c r="H116" s="83">
        <f t="shared" si="60"/>
        <v>27.410526315789461</v>
      </c>
      <c r="I116" s="31">
        <f>+SUM(START:END!I116)</f>
        <v>2924.2509166010163</v>
      </c>
      <c r="J116" s="42"/>
      <c r="K116" s="83">
        <f t="shared" si="61"/>
        <v>56.585128205128207</v>
      </c>
      <c r="L116" s="34">
        <f>+SUM(START:END!L116)</f>
        <v>6620.46</v>
      </c>
      <c r="M116" s="42"/>
      <c r="N116" s="60">
        <f t="shared" si="62"/>
        <v>3696.2090833989837</v>
      </c>
      <c r="O116" s="42"/>
      <c r="P116" s="83">
        <f t="shared" si="63"/>
        <v>182.60869565217391</v>
      </c>
      <c r="Q116" s="34">
        <f>+SUM(START:END!Q116)</f>
        <v>21000</v>
      </c>
      <c r="R116" s="42"/>
      <c r="S116" s="86">
        <f t="shared" si="64"/>
        <v>-14379.54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74</v>
      </c>
      <c r="C117" s="30" t="s">
        <v>38</v>
      </c>
      <c r="D117" s="82"/>
      <c r="E117" s="83">
        <f t="shared" si="59"/>
        <v>38.138685642686696</v>
      </c>
      <c r="F117" s="31">
        <f>+SUM(START:END!F117)</f>
        <v>4068.7685148293167</v>
      </c>
      <c r="G117" s="84"/>
      <c r="H117" s="83">
        <f t="shared" si="60"/>
        <v>38.138685642686696</v>
      </c>
      <c r="I117" s="31">
        <f>+SUM(START:END!I117)</f>
        <v>4068.7685148293167</v>
      </c>
      <c r="J117" s="42"/>
      <c r="K117" s="83">
        <f t="shared" si="61"/>
        <v>14.843247863247862</v>
      </c>
      <c r="L117" s="34">
        <f>+SUM(START:END!L117)</f>
        <v>1736.6599999999999</v>
      </c>
      <c r="M117" s="42"/>
      <c r="N117" s="60">
        <f t="shared" si="62"/>
        <v>-2332.1085148293168</v>
      </c>
      <c r="O117" s="42"/>
      <c r="P117" s="83">
        <f t="shared" si="63"/>
        <v>10.725130434782608</v>
      </c>
      <c r="Q117" s="34">
        <f>+SUM(START:END!Q117)</f>
        <v>1233.3899999999999</v>
      </c>
      <c r="R117" s="42"/>
      <c r="S117" s="86">
        <f t="shared" si="64"/>
        <v>503.27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74</v>
      </c>
      <c r="C118" s="30" t="s">
        <v>21</v>
      </c>
      <c r="D118" s="82"/>
      <c r="E118" s="83">
        <f t="shared" si="59"/>
        <v>0</v>
      </c>
      <c r="F118" s="31">
        <f>+SUM(START:END!F118)</f>
        <v>0</v>
      </c>
      <c r="G118" s="84"/>
      <c r="H118" s="83">
        <f t="shared" si="60"/>
        <v>0</v>
      </c>
      <c r="I118" s="31">
        <f>+SUM(START:END!I118)</f>
        <v>0</v>
      </c>
      <c r="J118" s="42"/>
      <c r="K118" s="83">
        <f t="shared" si="61"/>
        <v>0</v>
      </c>
      <c r="L118" s="34">
        <f>+SUM(START:END!L118)</f>
        <v>0</v>
      </c>
      <c r="M118" s="42"/>
      <c r="N118" s="60">
        <f t="shared" si="62"/>
        <v>0</v>
      </c>
      <c r="O118" s="42"/>
      <c r="P118" s="83">
        <f t="shared" si="63"/>
        <v>0</v>
      </c>
      <c r="Q118" s="34">
        <f>+SUM(START:END!Q118)</f>
        <v>0</v>
      </c>
      <c r="R118" s="42"/>
      <c r="S118" s="86">
        <f t="shared" si="64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74</v>
      </c>
      <c r="C119" s="30" t="s">
        <v>21</v>
      </c>
      <c r="D119" s="82"/>
      <c r="E119" s="83">
        <f t="shared" si="59"/>
        <v>0</v>
      </c>
      <c r="F119" s="31">
        <f>+SUM(START:END!F119)</f>
        <v>0</v>
      </c>
      <c r="G119" s="84"/>
      <c r="H119" s="83">
        <f t="shared" si="60"/>
        <v>0</v>
      </c>
      <c r="I119" s="31">
        <f>+SUM(START:END!I119)</f>
        <v>0</v>
      </c>
      <c r="J119" s="42"/>
      <c r="K119" s="83">
        <f t="shared" si="61"/>
        <v>0</v>
      </c>
      <c r="L119" s="34">
        <f>+SUM(START:END!L119)</f>
        <v>0</v>
      </c>
      <c r="M119" s="42"/>
      <c r="N119" s="60">
        <f t="shared" si="62"/>
        <v>0</v>
      </c>
      <c r="O119" s="42"/>
      <c r="P119" s="83">
        <f t="shared" si="63"/>
        <v>0</v>
      </c>
      <c r="Q119" s="34">
        <f>+SUM(START:END!Q119)</f>
        <v>0</v>
      </c>
      <c r="R119" s="42"/>
      <c r="S119" s="86">
        <f t="shared" si="64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+SUM(START:END!F120)</f>
        <v>0</v>
      </c>
      <c r="G120" s="84"/>
      <c r="H120" s="83">
        <f>I120/G$96</f>
        <v>0</v>
      </c>
      <c r="I120" s="31">
        <f>+SUM(START:END!I120)</f>
        <v>0</v>
      </c>
      <c r="J120" s="42"/>
      <c r="K120" s="83">
        <f>IF($J$96=0,0,L120/(J$94+J$95))</f>
        <v>0</v>
      </c>
      <c r="L120" s="34">
        <f>+SUM(START:END!L120)</f>
        <v>0</v>
      </c>
      <c r="M120" s="42"/>
      <c r="N120" s="60">
        <f t="shared" si="62"/>
        <v>0</v>
      </c>
      <c r="O120" s="42"/>
      <c r="P120" s="83">
        <f>IF($J$96=0,0,Q120/(O$94+O$95))</f>
        <v>0</v>
      </c>
      <c r="Q120" s="34">
        <f>+SUM(START:END!Q120)</f>
        <v>0</v>
      </c>
      <c r="R120" s="42"/>
      <c r="S120" s="86">
        <f t="shared" si="64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0.47431066568194846</v>
      </c>
      <c r="F121" s="102">
        <f>SUM(F111:F120)</f>
        <v>129897.32278153667</v>
      </c>
      <c r="G121" s="103" t="s">
        <v>40</v>
      </c>
      <c r="H121" s="101">
        <f>I121/I$107</f>
        <v>0.47431066568194846</v>
      </c>
      <c r="I121" s="102">
        <f>SUM(I111:I120)</f>
        <v>129897.32278153667</v>
      </c>
      <c r="J121" s="103" t="s">
        <v>40</v>
      </c>
      <c r="K121" s="101">
        <f>L121/L$107</f>
        <v>0.38817922090557883</v>
      </c>
      <c r="L121" s="102">
        <f>SUM(L111:L120)</f>
        <v>153283.71000000002</v>
      </c>
      <c r="M121" s="106"/>
      <c r="N121" s="102">
        <f t="shared" si="62"/>
        <v>23386.387218463351</v>
      </c>
      <c r="O121" s="103" t="s">
        <v>40</v>
      </c>
      <c r="P121" s="101">
        <f>Q121/Q$107</f>
        <v>0.49587758577219465</v>
      </c>
      <c r="Q121" s="102">
        <f>SUM(Q111:Q120)</f>
        <v>113954.98000000001</v>
      </c>
      <c r="R121" s="106"/>
      <c r="S121" s="107">
        <f t="shared" si="64"/>
        <v>39328.73000000001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74</v>
      </c>
      <c r="C122" s="108" t="s">
        <v>42</v>
      </c>
      <c r="D122" s="14"/>
      <c r="E122" s="14"/>
      <c r="F122" s="31">
        <f>+SUM(START:END!F122)</f>
        <v>19445.35727969349</v>
      </c>
      <c r="G122" s="42"/>
      <c r="H122" s="14"/>
      <c r="I122" s="31">
        <f>+SUM(START:END!I122)</f>
        <v>19445.35727969349</v>
      </c>
      <c r="J122" s="42"/>
      <c r="K122" s="14"/>
      <c r="L122" s="34">
        <f>+SUM(START:END!L122)</f>
        <v>33591.160000000003</v>
      </c>
      <c r="M122" s="42"/>
      <c r="N122" s="60">
        <f t="shared" si="62"/>
        <v>14145.802720306514</v>
      </c>
      <c r="O122" s="42"/>
      <c r="P122" s="14"/>
      <c r="Q122" s="34">
        <f>+SUM(START:END!Q122)</f>
        <v>20541.259999999998</v>
      </c>
      <c r="R122" s="42"/>
      <c r="S122" s="62"/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74</v>
      </c>
      <c r="C123" s="109" t="s">
        <v>43</v>
      </c>
      <c r="D123" s="82"/>
      <c r="E123" s="14"/>
      <c r="F123" s="23">
        <f>+SUM(START:END!F123)</f>
        <v>6584.9336879693492</v>
      </c>
      <c r="G123" s="84"/>
      <c r="H123" s="14"/>
      <c r="I123" s="23">
        <f>+SUM(START:END!I123)</f>
        <v>6584.9336879693492</v>
      </c>
      <c r="J123" s="42"/>
      <c r="K123" s="14"/>
      <c r="L123" s="23">
        <f>+SUM(START:END!L123)</f>
        <v>6294.2199999999993</v>
      </c>
      <c r="M123" s="42"/>
      <c r="N123" s="60">
        <f t="shared" si="62"/>
        <v>-290.71368796934985</v>
      </c>
      <c r="O123" s="42"/>
      <c r="P123" s="14"/>
      <c r="Q123" s="23">
        <f>+SUM(START:END!Q123)</f>
        <v>10049.799999999999</v>
      </c>
      <c r="R123" s="42"/>
      <c r="S123" s="86">
        <f t="shared" ref="S123:S152" si="65">L123-Q123</f>
        <v>-3755.58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+SUM(START:END!F124)</f>
        <v>20763.361746758623</v>
      </c>
      <c r="G124" s="112"/>
      <c r="H124" s="111"/>
      <c r="I124" s="31">
        <f>+SUM(START:END!I124)</f>
        <v>20763.361746758623</v>
      </c>
      <c r="J124" s="113"/>
      <c r="K124" s="111"/>
      <c r="L124" s="34">
        <f>+SUM(START:END!L124)</f>
        <v>22704.03</v>
      </c>
      <c r="M124" s="113"/>
      <c r="N124" s="115">
        <f t="shared" si="62"/>
        <v>1940.6682532413761</v>
      </c>
      <c r="O124" s="113"/>
      <c r="P124" s="111"/>
      <c r="Q124" s="34">
        <f>+SUM(START:END!Q124)</f>
        <v>39345.240000000005</v>
      </c>
      <c r="R124" s="113"/>
      <c r="S124" s="116">
        <f t="shared" si="65"/>
        <v>-16641.210000000006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+SUM(START:END!F125)</f>
        <v>0</v>
      </c>
      <c r="G125" s="84"/>
      <c r="H125" s="14"/>
      <c r="I125" s="31">
        <f>+SUM(START:END!I125)</f>
        <v>0</v>
      </c>
      <c r="J125" s="42"/>
      <c r="K125" s="14"/>
      <c r="L125" s="34">
        <f>+SUM(START:END!L125)</f>
        <v>0</v>
      </c>
      <c r="M125" s="42"/>
      <c r="N125" s="60">
        <f t="shared" si="62"/>
        <v>0</v>
      </c>
      <c r="O125" s="42"/>
      <c r="P125" s="14"/>
      <c r="Q125" s="34">
        <f>+SUM(START:END!Q125)</f>
        <v>0</v>
      </c>
      <c r="R125" s="42"/>
      <c r="S125" s="86">
        <f t="shared" si="65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74</v>
      </c>
      <c r="C126" s="108" t="s">
        <v>21</v>
      </c>
      <c r="D126" s="82"/>
      <c r="E126" s="14"/>
      <c r="F126" s="31">
        <f>+SUM(START:END!F126)</f>
        <v>0</v>
      </c>
      <c r="G126" s="84"/>
      <c r="H126" s="14"/>
      <c r="I126" s="31">
        <f>+SUM(START:END!I126)</f>
        <v>0</v>
      </c>
      <c r="J126" s="42"/>
      <c r="K126" s="14"/>
      <c r="L126" s="34">
        <f>+SUM(START:END!L126)</f>
        <v>0</v>
      </c>
      <c r="M126" s="42"/>
      <c r="N126" s="60">
        <f t="shared" si="62"/>
        <v>0</v>
      </c>
      <c r="O126" s="42"/>
      <c r="P126" s="14"/>
      <c r="Q126" s="34">
        <f>+SUM(START:END!Q126)</f>
        <v>0</v>
      </c>
      <c r="R126" s="42"/>
      <c r="S126" s="86">
        <f t="shared" si="65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74</v>
      </c>
      <c r="C127" s="108" t="s">
        <v>21</v>
      </c>
      <c r="D127" s="82"/>
      <c r="E127" s="14"/>
      <c r="F127" s="31">
        <f>+SUM(START:END!F127)</f>
        <v>0</v>
      </c>
      <c r="G127" s="84"/>
      <c r="H127" s="14"/>
      <c r="I127" s="31">
        <f>+SUM(START:END!I127)</f>
        <v>0</v>
      </c>
      <c r="J127" s="42"/>
      <c r="K127" s="14"/>
      <c r="L127" s="34">
        <f>+SUM(START:END!L127)</f>
        <v>0</v>
      </c>
      <c r="M127" s="42"/>
      <c r="N127" s="60">
        <f t="shared" si="62"/>
        <v>0</v>
      </c>
      <c r="O127" s="42"/>
      <c r="P127" s="14"/>
      <c r="Q127" s="34">
        <f>+SUM(START:END!Q127)</f>
        <v>0</v>
      </c>
      <c r="R127" s="42"/>
      <c r="S127" s="86">
        <f t="shared" si="65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74</v>
      </c>
      <c r="C128" s="108" t="s">
        <v>21</v>
      </c>
      <c r="D128" s="82"/>
      <c r="E128" s="14"/>
      <c r="F128" s="31">
        <f>+SUM(START:END!F128)</f>
        <v>0</v>
      </c>
      <c r="G128" s="84"/>
      <c r="H128" s="14"/>
      <c r="I128" s="31">
        <f>+SUM(START:END!I128)</f>
        <v>0</v>
      </c>
      <c r="J128" s="42"/>
      <c r="K128" s="14"/>
      <c r="L128" s="34">
        <f>+SUM(START:END!L128)</f>
        <v>0</v>
      </c>
      <c r="M128" s="42"/>
      <c r="N128" s="60">
        <f t="shared" si="62"/>
        <v>0</v>
      </c>
      <c r="O128" s="42"/>
      <c r="P128" s="14"/>
      <c r="Q128" s="34">
        <f>+SUM(START:END!Q128)</f>
        <v>0</v>
      </c>
      <c r="R128" s="42"/>
      <c r="S128" s="86">
        <f t="shared" si="65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+SUM(START:END!F129)</f>
        <v>17547.310296546962</v>
      </c>
      <c r="G129" s="84"/>
      <c r="H129" s="14"/>
      <c r="I129" s="31">
        <f>+SUM(START:END!I129)</f>
        <v>17547.310296546962</v>
      </c>
      <c r="J129" s="42"/>
      <c r="K129" s="14"/>
      <c r="L129" s="34">
        <f>+SUM(START:END!L129)</f>
        <v>9474.1</v>
      </c>
      <c r="M129" s="42"/>
      <c r="N129" s="60">
        <f t="shared" si="62"/>
        <v>-8073.2102965469621</v>
      </c>
      <c r="O129" s="42"/>
      <c r="P129" s="14"/>
      <c r="Q129" s="34">
        <f>+SUM(START:END!Q129)</f>
        <v>16933.239999999998</v>
      </c>
      <c r="R129" s="42"/>
      <c r="S129" s="86">
        <f t="shared" si="65"/>
        <v>-7459.1399999999976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+SUM(START:END!F130)</f>
        <v>17547.310296546962</v>
      </c>
      <c r="G130" s="112"/>
      <c r="H130" s="111"/>
      <c r="I130" s="55">
        <f>+SUM(START:END!I130)</f>
        <v>17547.310296546962</v>
      </c>
      <c r="J130" s="113"/>
      <c r="K130" s="111"/>
      <c r="L130" s="56">
        <f>+SUM(START:END!L130)</f>
        <v>20009.52</v>
      </c>
      <c r="M130" s="113"/>
      <c r="N130" s="115">
        <f t="shared" si="62"/>
        <v>2462.2097034530379</v>
      </c>
      <c r="O130" s="113"/>
      <c r="P130" s="111"/>
      <c r="Q130" s="56">
        <f>+SUM(START:END!Q130)</f>
        <v>17427.489999999998</v>
      </c>
      <c r="R130" s="113"/>
      <c r="S130" s="116">
        <f t="shared" si="65"/>
        <v>2582.0300000000025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+SUM(START:END!F131)</f>
        <v>12575.57237919199</v>
      </c>
      <c r="G131" s="84"/>
      <c r="H131" s="14"/>
      <c r="I131" s="31">
        <f>+SUM(START:END!I131)</f>
        <v>12575.57237919199</v>
      </c>
      <c r="J131" s="42"/>
      <c r="K131" s="14"/>
      <c r="L131" s="34">
        <f>+SUM(START:END!L131)</f>
        <v>14340.150000000001</v>
      </c>
      <c r="M131" s="42"/>
      <c r="N131" s="60">
        <f t="shared" si="62"/>
        <v>1764.5776208080115</v>
      </c>
      <c r="O131" s="42"/>
      <c r="P131" s="14"/>
      <c r="Q131" s="34">
        <f>+SUM(START:END!Q131)</f>
        <v>10952.93</v>
      </c>
      <c r="R131" s="42"/>
      <c r="S131" s="86">
        <f t="shared" si="65"/>
        <v>3387.2200000000012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74</v>
      </c>
      <c r="C132" s="108" t="s">
        <v>49</v>
      </c>
      <c r="D132" s="82"/>
      <c r="E132" s="14"/>
      <c r="F132" s="31">
        <f>+SUM(START:END!F132)</f>
        <v>2924.5517160911609</v>
      </c>
      <c r="G132" s="84"/>
      <c r="H132" s="14"/>
      <c r="I132" s="31">
        <f>+SUM(START:END!I132)</f>
        <v>2924.5517160911609</v>
      </c>
      <c r="J132" s="42"/>
      <c r="K132" s="14"/>
      <c r="L132" s="34">
        <f>+SUM(START:END!L132)</f>
        <v>3334.92</v>
      </c>
      <c r="M132" s="42"/>
      <c r="N132" s="60">
        <f t="shared" si="62"/>
        <v>410.3682839088392</v>
      </c>
      <c r="O132" s="42"/>
      <c r="P132" s="14"/>
      <c r="Q132" s="34">
        <f>+SUM(START:END!Q132)</f>
        <v>3982.51</v>
      </c>
      <c r="R132" s="42"/>
      <c r="S132" s="86">
        <f t="shared" si="65"/>
        <v>-647.59000000000015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74</v>
      </c>
      <c r="C133" s="30" t="s">
        <v>21</v>
      </c>
      <c r="D133" s="89"/>
      <c r="E133" s="117"/>
      <c r="F133" s="31">
        <f>+SUM(START:END!F133)</f>
        <v>0</v>
      </c>
      <c r="G133" s="91"/>
      <c r="H133" s="117"/>
      <c r="I133" s="31">
        <f>+SUM(START:END!I133)</f>
        <v>0</v>
      </c>
      <c r="J133" s="24"/>
      <c r="K133" s="117"/>
      <c r="L133" s="34">
        <f>+SUM(START:END!L133)</f>
        <v>0</v>
      </c>
      <c r="M133" s="24"/>
      <c r="N133" s="153">
        <f t="shared" si="62"/>
        <v>0</v>
      </c>
      <c r="O133" s="24"/>
      <c r="P133" s="117"/>
      <c r="Q133" s="34">
        <f>+SUM(START:END!Q133)</f>
        <v>0</v>
      </c>
      <c r="R133" s="24"/>
      <c r="S133" s="95">
        <f t="shared" si="65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0.35560667928088502</v>
      </c>
      <c r="F134" s="102">
        <f>+SUM(F122:F133)</f>
        <v>97388.397402798524</v>
      </c>
      <c r="G134" s="103" t="s">
        <v>40</v>
      </c>
      <c r="H134" s="101">
        <f>I134/I$107</f>
        <v>0.35560667928088502</v>
      </c>
      <c r="I134" s="102">
        <f>+SUM(I122:I133)</f>
        <v>97388.397402798524</v>
      </c>
      <c r="J134" s="103" t="s">
        <v>40</v>
      </c>
      <c r="K134" s="101">
        <f>L134/L$107</f>
        <v>0.27792863281993602</v>
      </c>
      <c r="L134" s="102">
        <f>SUM(L122:L133)</f>
        <v>109748.10000000002</v>
      </c>
      <c r="M134" s="154"/>
      <c r="N134" s="119">
        <f t="shared" si="62"/>
        <v>12359.702597201496</v>
      </c>
      <c r="O134" s="103" t="s">
        <v>40</v>
      </c>
      <c r="P134" s="101">
        <f>Q134/Q$107</f>
        <v>0.51884269883822198</v>
      </c>
      <c r="Q134" s="102">
        <f>SUM(Q122:Q133)</f>
        <v>119232.46999999999</v>
      </c>
      <c r="R134" s="154"/>
      <c r="S134" s="120">
        <f t="shared" si="65"/>
        <v>-9484.3699999999662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74</v>
      </c>
      <c r="C135" s="30" t="s">
        <v>51</v>
      </c>
      <c r="D135" s="82"/>
      <c r="E135" s="14"/>
      <c r="F135" s="31">
        <f>+SUM(START:END!F135)</f>
        <v>0</v>
      </c>
      <c r="G135" s="84"/>
      <c r="H135" s="14"/>
      <c r="I135" s="31">
        <f>+SUM(START:END!I135)</f>
        <v>0</v>
      </c>
      <c r="J135" s="42"/>
      <c r="K135" s="14"/>
      <c r="L135" s="34">
        <f>+SUM(START:END!L135)</f>
        <v>0</v>
      </c>
      <c r="M135" s="42"/>
      <c r="N135" s="60">
        <f t="shared" si="62"/>
        <v>0</v>
      </c>
      <c r="O135" s="42"/>
      <c r="P135" s="14"/>
      <c r="Q135" s="34">
        <f>+SUM(START:END!Q135)</f>
        <v>0</v>
      </c>
      <c r="R135" s="42"/>
      <c r="S135" s="86">
        <f t="shared" si="65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+SUM(START:END!F136)</f>
        <v>0</v>
      </c>
      <c r="G136" s="84"/>
      <c r="H136" s="14"/>
      <c r="I136" s="31">
        <f>+SUM(START:END!I136)</f>
        <v>0</v>
      </c>
      <c r="J136" s="42"/>
      <c r="K136" s="14"/>
      <c r="L136" s="34">
        <f>+SUM(START:END!L136)</f>
        <v>0</v>
      </c>
      <c r="M136" s="42"/>
      <c r="N136" s="60">
        <f t="shared" si="62"/>
        <v>0</v>
      </c>
      <c r="O136" s="42"/>
      <c r="P136" s="14"/>
      <c r="Q136" s="34">
        <f>+SUM(START:END!Q136)</f>
        <v>0</v>
      </c>
      <c r="R136" s="42"/>
      <c r="S136" s="86">
        <f t="shared" si="65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+SUM(START:END!F137)</f>
        <v>645.12</v>
      </c>
      <c r="G137" s="91"/>
      <c r="H137" s="117"/>
      <c r="I137" s="23">
        <f>+SUM(START:END!I137)</f>
        <v>645.12</v>
      </c>
      <c r="J137" s="24"/>
      <c r="K137" s="117"/>
      <c r="L137" s="23">
        <f>+SUM(START:END!L137)</f>
        <v>-519.36</v>
      </c>
      <c r="M137" s="24"/>
      <c r="N137" s="94">
        <f t="shared" si="62"/>
        <v>-1164.48</v>
      </c>
      <c r="O137" s="24"/>
      <c r="P137" s="117"/>
      <c r="Q137" s="23">
        <f>+SUM(START:END!Q137)</f>
        <v>1567.52</v>
      </c>
      <c r="R137" s="24"/>
      <c r="S137" s="95">
        <f t="shared" si="65"/>
        <v>-2086.88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74</v>
      </c>
      <c r="C138" s="30" t="s">
        <v>54</v>
      </c>
      <c r="D138" s="82"/>
      <c r="E138" s="14"/>
      <c r="F138" s="31">
        <f>+SUM(START:END!F138)</f>
        <v>7988.3207999999995</v>
      </c>
      <c r="G138" s="84"/>
      <c r="H138" s="14"/>
      <c r="I138" s="31">
        <f>+SUM(START:END!I138)</f>
        <v>7988.3207999999995</v>
      </c>
      <c r="J138" s="42"/>
      <c r="K138" s="14"/>
      <c r="L138" s="34">
        <f>+SUM(START:END!L138)</f>
        <v>4938.68</v>
      </c>
      <c r="M138" s="42"/>
      <c r="N138" s="60">
        <f t="shared" si="62"/>
        <v>-3049.6407999999992</v>
      </c>
      <c r="O138" s="42"/>
      <c r="P138" s="14"/>
      <c r="Q138" s="34">
        <f>+SUM(START:END!Q138)</f>
        <v>7360.65</v>
      </c>
      <c r="R138" s="42"/>
      <c r="S138" s="86">
        <f t="shared" si="65"/>
        <v>-2421.9699999999993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+SUM(START:END!F139)</f>
        <v>1796.0589</v>
      </c>
      <c r="G139" s="84"/>
      <c r="H139" s="14"/>
      <c r="I139" s="31">
        <f>+SUM(START:END!I139)</f>
        <v>1796.0589</v>
      </c>
      <c r="J139" s="42"/>
      <c r="K139" s="14"/>
      <c r="L139" s="34">
        <f>+SUM(START:END!L139)</f>
        <v>591.74</v>
      </c>
      <c r="M139" s="42"/>
      <c r="N139" s="60">
        <f t="shared" si="62"/>
        <v>-1204.3189</v>
      </c>
      <c r="O139" s="42"/>
      <c r="P139" s="14"/>
      <c r="Q139" s="34">
        <f>+SUM(START:END!Q139)</f>
        <v>2187.7200000000003</v>
      </c>
      <c r="R139" s="42"/>
      <c r="S139" s="86">
        <f t="shared" si="65"/>
        <v>-1595.9800000000002</v>
      </c>
      <c r="T139" s="155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+SUM(START:END!F140)</f>
        <v>8635.6814999999988</v>
      </c>
      <c r="G140" s="91"/>
      <c r="H140" s="117"/>
      <c r="I140" s="23">
        <f>+SUM(START:END!I140)</f>
        <v>8635.6814999999988</v>
      </c>
      <c r="J140" s="24"/>
      <c r="K140" s="117"/>
      <c r="L140" s="23">
        <f>+SUM(START:END!L140)</f>
        <v>4001.42</v>
      </c>
      <c r="M140" s="24"/>
      <c r="N140" s="94">
        <f t="shared" si="62"/>
        <v>-4634.2614999999987</v>
      </c>
      <c r="O140" s="24"/>
      <c r="P140" s="117"/>
      <c r="Q140" s="23">
        <f>+SUM(START:END!Q140)</f>
        <v>4889.41</v>
      </c>
      <c r="R140" s="24"/>
      <c r="S140" s="95">
        <f t="shared" si="65"/>
        <v>-887.98999999999978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+SUM(START:END!F141)</f>
        <v>426.73400472672301</v>
      </c>
      <c r="G141" s="84"/>
      <c r="H141" s="14"/>
      <c r="I141" s="31">
        <f>+SUM(START:END!I141)</f>
        <v>426.73400472672301</v>
      </c>
      <c r="J141" s="42"/>
      <c r="K141" s="14"/>
      <c r="L141" s="34">
        <f>+SUM(START:END!L141)</f>
        <v>445.2</v>
      </c>
      <c r="M141" s="42"/>
      <c r="N141" s="60">
        <f t="shared" si="62"/>
        <v>18.465995273276974</v>
      </c>
      <c r="O141" s="42"/>
      <c r="P141" s="14"/>
      <c r="Q141" s="34">
        <f>+SUM(START:END!Q141)</f>
        <v>390</v>
      </c>
      <c r="R141" s="42"/>
      <c r="S141" s="86">
        <f t="shared" si="65"/>
        <v>55.199999999999989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74</v>
      </c>
      <c r="C142" s="30" t="s">
        <v>58</v>
      </c>
      <c r="D142" s="82"/>
      <c r="E142" s="14"/>
      <c r="F142" s="31">
        <f>+SUM(START:END!F142)</f>
        <v>30</v>
      </c>
      <c r="G142" s="84"/>
      <c r="H142" s="14"/>
      <c r="I142" s="31">
        <f>+SUM(START:END!I142)</f>
        <v>30</v>
      </c>
      <c r="J142" s="42"/>
      <c r="K142" s="14"/>
      <c r="L142" s="34">
        <f>+SUM(START:END!L142)</f>
        <v>0</v>
      </c>
      <c r="M142" s="42"/>
      <c r="N142" s="60">
        <f t="shared" si="62"/>
        <v>-30</v>
      </c>
      <c r="O142" s="42"/>
      <c r="P142" s="14"/>
      <c r="Q142" s="34">
        <f>+SUM(START:END!Q142)</f>
        <v>30</v>
      </c>
      <c r="R142" s="42"/>
      <c r="S142" s="86">
        <f t="shared" si="65"/>
        <v>-30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74</v>
      </c>
      <c r="C143" s="30" t="s">
        <v>59</v>
      </c>
      <c r="D143" s="82"/>
      <c r="E143" s="14"/>
      <c r="F143" s="31">
        <f>+SUM(START:END!F143)</f>
        <v>784.8</v>
      </c>
      <c r="G143" s="84"/>
      <c r="H143" s="14"/>
      <c r="I143" s="31">
        <f>+SUM(START:END!I143)</f>
        <v>784.8</v>
      </c>
      <c r="J143" s="42"/>
      <c r="K143" s="14"/>
      <c r="L143" s="33">
        <f>+SUM(START:END!L143)</f>
        <v>1076.93</v>
      </c>
      <c r="M143" s="42"/>
      <c r="N143" s="60">
        <f t="shared" si="62"/>
        <v>292.13000000000011</v>
      </c>
      <c r="O143" s="42"/>
      <c r="P143" s="14"/>
      <c r="Q143" s="33">
        <f>+SUM(START:END!Q143)</f>
        <v>666</v>
      </c>
      <c r="R143" s="42"/>
      <c r="S143" s="86">
        <f t="shared" si="65"/>
        <v>410.93000000000006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74</v>
      </c>
      <c r="C144" s="30" t="s">
        <v>60</v>
      </c>
      <c r="D144" s="82"/>
      <c r="E144" s="14"/>
      <c r="F144" s="31">
        <f>+SUM(START:END!F144)</f>
        <v>804.27599999999995</v>
      </c>
      <c r="G144" s="84"/>
      <c r="H144" s="14"/>
      <c r="I144" s="31">
        <f>+SUM(START:END!I144)</f>
        <v>804.27599999999995</v>
      </c>
      <c r="J144" s="42"/>
      <c r="K144" s="14"/>
      <c r="L144" s="34">
        <f>+SUM(START:END!L144)</f>
        <v>135.03</v>
      </c>
      <c r="M144" s="42"/>
      <c r="N144" s="60">
        <f t="shared" si="62"/>
        <v>-669.24599999999998</v>
      </c>
      <c r="O144" s="42"/>
      <c r="P144" s="14"/>
      <c r="Q144" s="34">
        <f>+SUM(START:END!Q144)</f>
        <v>410.08</v>
      </c>
      <c r="R144" s="42"/>
      <c r="S144" s="86">
        <f t="shared" si="65"/>
        <v>-275.04999999999995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74</v>
      </c>
      <c r="C145" s="30" t="s">
        <v>61</v>
      </c>
      <c r="D145" s="82"/>
      <c r="E145" s="14"/>
      <c r="F145" s="31">
        <f>+SUM(START:END!F145)</f>
        <v>311.39999999999998</v>
      </c>
      <c r="G145" s="84"/>
      <c r="H145" s="14"/>
      <c r="I145" s="31">
        <f>+SUM(START:END!I145)</f>
        <v>311.39999999999998</v>
      </c>
      <c r="J145" s="42"/>
      <c r="K145" s="14"/>
      <c r="L145" s="34">
        <f>+SUM(START:END!L145)</f>
        <v>208.54000000000002</v>
      </c>
      <c r="M145" s="42"/>
      <c r="N145" s="60">
        <f t="shared" si="62"/>
        <v>-102.85999999999996</v>
      </c>
      <c r="O145" s="42"/>
      <c r="P145" s="14"/>
      <c r="Q145" s="34">
        <f>+SUM(START:END!Q145)</f>
        <v>116.53999999999999</v>
      </c>
      <c r="R145" s="42"/>
      <c r="S145" s="86">
        <f t="shared" si="65"/>
        <v>92.000000000000028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74</v>
      </c>
      <c r="C146" s="30" t="s">
        <v>62</v>
      </c>
      <c r="D146" s="82"/>
      <c r="E146" s="14"/>
      <c r="F146" s="31">
        <f>+SUM(START:END!F146)</f>
        <v>1292.7599999999998</v>
      </c>
      <c r="G146" s="84"/>
      <c r="H146" s="14"/>
      <c r="I146" s="31">
        <f>+SUM(START:END!I146)</f>
        <v>1292.7599999999998</v>
      </c>
      <c r="J146" s="42"/>
      <c r="K146" s="14"/>
      <c r="L146" s="34">
        <f>+SUM(START:END!L146)</f>
        <v>563.80000000000007</v>
      </c>
      <c r="M146" s="42"/>
      <c r="N146" s="60">
        <f t="shared" si="62"/>
        <v>-728.9599999999997</v>
      </c>
      <c r="O146" s="42"/>
      <c r="P146" s="14"/>
      <c r="Q146" s="34">
        <f>+SUM(START:END!Q146)</f>
        <v>2067.9500000000003</v>
      </c>
      <c r="R146" s="42"/>
      <c r="S146" s="86">
        <f t="shared" si="65"/>
        <v>-1504.15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74</v>
      </c>
      <c r="C147" s="30" t="s">
        <v>63</v>
      </c>
      <c r="D147" s="82"/>
      <c r="E147" s="14"/>
      <c r="F147" s="31">
        <f>+SUM(START:END!F147)</f>
        <v>211.89</v>
      </c>
      <c r="G147" s="84"/>
      <c r="H147" s="14"/>
      <c r="I147" s="31">
        <f>+SUM(START:END!I147)</f>
        <v>211.89</v>
      </c>
      <c r="J147" s="42"/>
      <c r="K147" s="14"/>
      <c r="L147" s="34">
        <f>+SUM(START:END!L147)</f>
        <v>151.86000000000001</v>
      </c>
      <c r="M147" s="42"/>
      <c r="N147" s="60">
        <f t="shared" si="62"/>
        <v>-60.029999999999973</v>
      </c>
      <c r="O147" s="42"/>
      <c r="P147" s="14"/>
      <c r="Q147" s="34">
        <f>+SUM(START:END!Q147)</f>
        <v>180</v>
      </c>
      <c r="R147" s="42"/>
      <c r="S147" s="86">
        <f t="shared" si="65"/>
        <v>-28.139999999999986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74</v>
      </c>
      <c r="C148" s="30" t="s">
        <v>64</v>
      </c>
      <c r="D148" s="82"/>
      <c r="E148" s="14"/>
      <c r="F148" s="31">
        <f>+SUM(START:END!F148)</f>
        <v>3788.186773433597</v>
      </c>
      <c r="G148" s="84"/>
      <c r="H148" s="14"/>
      <c r="I148" s="31">
        <f>+SUM(START:END!I148)</f>
        <v>3788.186773433597</v>
      </c>
      <c r="J148" s="42"/>
      <c r="K148" s="14"/>
      <c r="L148" s="34">
        <f>+SUM(START:END!L148)</f>
        <v>2180.6369999999997</v>
      </c>
      <c r="M148" s="42"/>
      <c r="N148" s="60">
        <f t="shared" si="62"/>
        <v>-1607.5497734335972</v>
      </c>
      <c r="O148" s="42"/>
      <c r="P148" s="14"/>
      <c r="Q148" s="34">
        <f>+SUM(START:END!Q148)</f>
        <v>2884.6400000000003</v>
      </c>
      <c r="R148" s="42"/>
      <c r="S148" s="86">
        <f t="shared" si="65"/>
        <v>-704.00300000000061</v>
      </c>
      <c r="T148" s="83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74</v>
      </c>
      <c r="C149" s="30" t="s">
        <v>21</v>
      </c>
      <c r="D149" s="82"/>
      <c r="E149" s="14"/>
      <c r="F149" s="31">
        <f>+SUM(START:END!F149)</f>
        <v>0</v>
      </c>
      <c r="G149" s="84"/>
      <c r="H149" s="14"/>
      <c r="I149" s="31">
        <f>+SUM(START:END!I149)</f>
        <v>0</v>
      </c>
      <c r="J149" s="42"/>
      <c r="K149" s="14"/>
      <c r="L149" s="34">
        <f>+SUM(START:END!L149)</f>
        <v>0</v>
      </c>
      <c r="M149" s="42"/>
      <c r="N149" s="60">
        <f t="shared" si="62"/>
        <v>0</v>
      </c>
      <c r="O149" s="42"/>
      <c r="P149" s="14"/>
      <c r="Q149" s="34">
        <f>+SUM(START:END!Q149)</f>
        <v>0</v>
      </c>
      <c r="R149" s="42"/>
      <c r="S149" s="86">
        <f t="shared" si="65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74</v>
      </c>
      <c r="C150" s="30" t="s">
        <v>21</v>
      </c>
      <c r="D150" s="82"/>
      <c r="E150" s="14"/>
      <c r="F150" s="31">
        <f>+SUM(START:END!F150)</f>
        <v>0</v>
      </c>
      <c r="G150" s="84"/>
      <c r="H150" s="14"/>
      <c r="I150" s="31">
        <f>+SUM(START:END!I150)</f>
        <v>0</v>
      </c>
      <c r="J150" s="42"/>
      <c r="K150" s="14"/>
      <c r="L150" s="34">
        <f>+SUM(START:END!L150)</f>
        <v>0</v>
      </c>
      <c r="M150" s="42"/>
      <c r="N150" s="60">
        <f t="shared" si="62"/>
        <v>0</v>
      </c>
      <c r="O150" s="42"/>
      <c r="P150" s="14"/>
      <c r="Q150" s="34">
        <f>+SUM(START:END!Q150)</f>
        <v>0</v>
      </c>
      <c r="R150" s="42"/>
      <c r="S150" s="86">
        <f t="shared" si="65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74</v>
      </c>
      <c r="C151" s="30" t="s">
        <v>21</v>
      </c>
      <c r="D151" s="82"/>
      <c r="E151" s="14"/>
      <c r="F151" s="31">
        <f>+SUM(START:END!F151)</f>
        <v>0</v>
      </c>
      <c r="G151" s="84"/>
      <c r="H151" s="14"/>
      <c r="I151" s="31">
        <f>+SUM(START:END!I151)</f>
        <v>0</v>
      </c>
      <c r="J151" s="42"/>
      <c r="K151" s="14"/>
      <c r="L151" s="34">
        <f>+SUM(START:END!L151)</f>
        <v>0</v>
      </c>
      <c r="M151" s="42"/>
      <c r="N151" s="60">
        <f t="shared" si="62"/>
        <v>0</v>
      </c>
      <c r="O151" s="42"/>
      <c r="P151" s="14"/>
      <c r="Q151" s="34">
        <f>+SUM(START:END!Q151)</f>
        <v>0</v>
      </c>
      <c r="R151" s="42"/>
      <c r="S151" s="86">
        <f t="shared" si="65"/>
        <v>0</v>
      </c>
      <c r="T151" s="83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9.7548719979987999E-2</v>
      </c>
      <c r="F152" s="102">
        <f>+SUM(F135:F151)</f>
        <v>26715.227978160321</v>
      </c>
      <c r="G152" s="103" t="s">
        <v>40</v>
      </c>
      <c r="H152" s="101">
        <f>I152/I$107</f>
        <v>9.7548719979987999E-2</v>
      </c>
      <c r="I152" s="102">
        <f>+SUM(I135:I151)</f>
        <v>26715.227978160321</v>
      </c>
      <c r="J152" s="103" t="s">
        <v>40</v>
      </c>
      <c r="K152" s="101">
        <f>L152/L$107</f>
        <v>3.4882804899762768E-2</v>
      </c>
      <c r="L152" s="102">
        <f>+SUM(L135:L151)</f>
        <v>13774.477000000003</v>
      </c>
      <c r="M152" s="106"/>
      <c r="N152" s="102">
        <f t="shared" si="62"/>
        <v>-12940.750978160318</v>
      </c>
      <c r="O152" s="103" t="s">
        <v>40</v>
      </c>
      <c r="P152" s="101">
        <f>Q152/Q$107</f>
        <v>9.8999341440682731E-2</v>
      </c>
      <c r="Q152" s="102">
        <f>+SUM(Q135:Q151)</f>
        <v>22750.510000000002</v>
      </c>
      <c r="R152" s="106"/>
      <c r="S152" s="107">
        <f t="shared" si="65"/>
        <v>-8976.0329999999994</v>
      </c>
      <c r="T152" s="118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0.92746606494282147</v>
      </c>
      <c r="F154" s="102">
        <f>F121+F134+F152</f>
        <v>254000.94816249551</v>
      </c>
      <c r="G154" s="103" t="s">
        <v>40</v>
      </c>
      <c r="H154" s="101">
        <f>I154/I$107</f>
        <v>0.92746606494282147</v>
      </c>
      <c r="I154" s="102">
        <f>I121+I134+I152</f>
        <v>254000.94816249551</v>
      </c>
      <c r="J154" s="103" t="s">
        <v>40</v>
      </c>
      <c r="K154" s="101">
        <f>L154/L$107</f>
        <v>0.70099065862527765</v>
      </c>
      <c r="L154" s="102">
        <f>L121+L134+L152</f>
        <v>276806.28700000007</v>
      </c>
      <c r="M154" s="106"/>
      <c r="N154" s="119">
        <f>L154-I154</f>
        <v>22805.338837504562</v>
      </c>
      <c r="O154" s="103" t="s">
        <v>40</v>
      </c>
      <c r="P154" s="101">
        <f>Q154/Q$107</f>
        <v>1.1137196260510995</v>
      </c>
      <c r="Q154" s="102">
        <f>Q121+Q134+Q152</f>
        <v>255937.96000000002</v>
      </c>
      <c r="R154" s="106"/>
      <c r="S154" s="120">
        <f>L154-Q154</f>
        <v>20868.327000000048</v>
      </c>
      <c r="T154" s="118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74</v>
      </c>
      <c r="C155" s="30" t="s">
        <v>81</v>
      </c>
      <c r="D155" s="156"/>
      <c r="E155" s="157"/>
      <c r="F155" s="31">
        <f>+SUM(START:END!F155)</f>
        <v>8500</v>
      </c>
      <c r="G155" s="158"/>
      <c r="H155" s="157"/>
      <c r="I155" s="31">
        <f>+SUM(START:END!I155)</f>
        <v>8500</v>
      </c>
      <c r="J155" s="158"/>
      <c r="K155" s="157"/>
      <c r="L155" s="33">
        <f>+SUM(START:END!L155)</f>
        <v>8500</v>
      </c>
      <c r="M155" s="42"/>
      <c r="N155" s="60">
        <f t="shared" ref="N155:N161" si="66">L155-I155</f>
        <v>0</v>
      </c>
      <c r="O155" s="158"/>
      <c r="P155" s="157"/>
      <c r="Q155" s="34">
        <f>+SUM(START:END!Q155)</f>
        <v>0</v>
      </c>
      <c r="R155" s="42"/>
      <c r="S155" s="86">
        <f t="shared" ref="S155:S161" si="67">L155-Q155</f>
        <v>8500</v>
      </c>
      <c r="T155" s="118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+SUM(START:END!F156)</f>
        <v>0</v>
      </c>
      <c r="G156" s="158"/>
      <c r="H156" s="157"/>
      <c r="I156" s="31">
        <f>+SUM(START:END!I156)</f>
        <v>0</v>
      </c>
      <c r="J156" s="158"/>
      <c r="K156" s="157"/>
      <c r="L156" s="34">
        <f>+SUM(START:END!L156)</f>
        <v>0</v>
      </c>
      <c r="M156" s="42"/>
      <c r="N156" s="60">
        <f t="shared" si="66"/>
        <v>0</v>
      </c>
      <c r="O156" s="158"/>
      <c r="P156" s="157"/>
      <c r="Q156" s="34">
        <f>+SUM(START:END!Q156)</f>
        <v>0</v>
      </c>
      <c r="R156" s="42"/>
      <c r="S156" s="86">
        <f t="shared" si="67"/>
        <v>0</v>
      </c>
      <c r="T156" s="118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74</v>
      </c>
      <c r="C157" s="30" t="s">
        <v>83</v>
      </c>
      <c r="D157" s="82"/>
      <c r="E157" s="14"/>
      <c r="F157" s="31">
        <f>+SUM(START:END!F157)</f>
        <v>0</v>
      </c>
      <c r="G157" s="84"/>
      <c r="H157" s="14"/>
      <c r="I157" s="31">
        <f>+SUM(START:END!I157)</f>
        <v>0</v>
      </c>
      <c r="J157" s="42"/>
      <c r="K157" s="14"/>
      <c r="L157" s="34">
        <f>+SUM(START:END!L157)</f>
        <v>0</v>
      </c>
      <c r="M157" s="42"/>
      <c r="N157" s="60">
        <f t="shared" si="66"/>
        <v>0</v>
      </c>
      <c r="O157" s="42"/>
      <c r="P157" s="14"/>
      <c r="Q157" s="34">
        <f>+SUM(START:END!Q157)</f>
        <v>0</v>
      </c>
      <c r="R157" s="42"/>
      <c r="S157" s="86">
        <f t="shared" si="67"/>
        <v>0</v>
      </c>
      <c r="T157" s="118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8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+SUM(START:END!F158)</f>
        <v>33509.287721165922</v>
      </c>
      <c r="G158" s="84"/>
      <c r="H158" s="14"/>
      <c r="I158" s="31">
        <f>+SUM(START:END!I158)</f>
        <v>33509.287721165922</v>
      </c>
      <c r="J158" s="42"/>
      <c r="K158" s="14"/>
      <c r="L158" s="33">
        <f>+SUM(START:END!L158)</f>
        <v>40833</v>
      </c>
      <c r="M158" s="42"/>
      <c r="N158" s="60">
        <f t="shared" si="66"/>
        <v>7323.7122788340785</v>
      </c>
      <c r="O158" s="42"/>
      <c r="P158" s="14"/>
      <c r="Q158" s="34">
        <f>+SUM(START:END!Q158)</f>
        <v>40135</v>
      </c>
      <c r="R158" s="42"/>
      <c r="S158" s="86">
        <f t="shared" si="67"/>
        <v>698</v>
      </c>
      <c r="T158" s="118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8"/>
        <v>Véhicules usagés[...]</v>
      </c>
      <c r="B159" s="12" t="s">
        <v>74</v>
      </c>
      <c r="C159" s="30" t="s">
        <v>21</v>
      </c>
      <c r="D159" s="82"/>
      <c r="E159" s="14"/>
      <c r="F159" s="31">
        <f>+SUM(START:END!F159)</f>
        <v>0</v>
      </c>
      <c r="G159" s="84"/>
      <c r="H159" s="14"/>
      <c r="I159" s="31">
        <f>+SUM(START:END!I159)</f>
        <v>0</v>
      </c>
      <c r="J159" s="42"/>
      <c r="K159" s="14"/>
      <c r="L159" s="33">
        <f>+SUM(START:END!L159)</f>
        <v>0</v>
      </c>
      <c r="M159" s="42"/>
      <c r="N159" s="60">
        <f t="shared" si="66"/>
        <v>0</v>
      </c>
      <c r="O159" s="42"/>
      <c r="P159" s="14"/>
      <c r="Q159" s="34">
        <f>+SUM(START:END!Q159)</f>
        <v>0</v>
      </c>
      <c r="R159" s="42"/>
      <c r="S159" s="86">
        <f t="shared" si="67"/>
        <v>0</v>
      </c>
      <c r="T159" s="118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8"/>
        <v>Véhicules usagés[...]</v>
      </c>
      <c r="B160" s="12" t="s">
        <v>74</v>
      </c>
      <c r="C160" s="30" t="s">
        <v>21</v>
      </c>
      <c r="D160" s="82"/>
      <c r="E160" s="14"/>
      <c r="F160" s="31">
        <f>+SUM(START:END!F160)</f>
        <v>0</v>
      </c>
      <c r="G160" s="84"/>
      <c r="H160" s="14"/>
      <c r="I160" s="31">
        <f>+SUM(START:END!I160)</f>
        <v>0</v>
      </c>
      <c r="J160" s="42"/>
      <c r="K160" s="14"/>
      <c r="L160" s="33">
        <f>+SUM(START:END!L160)</f>
        <v>0</v>
      </c>
      <c r="M160" s="42"/>
      <c r="N160" s="60">
        <f t="shared" si="66"/>
        <v>0</v>
      </c>
      <c r="O160" s="42"/>
      <c r="P160" s="14"/>
      <c r="Q160" s="34">
        <f>+SUM(START:END!Q160)</f>
        <v>0</v>
      </c>
      <c r="R160" s="42"/>
      <c r="S160" s="86">
        <f t="shared" si="67"/>
        <v>0</v>
      </c>
      <c r="T160" s="118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8"/>
        <v>Véhicules usagés[...]</v>
      </c>
      <c r="B161" s="12" t="s">
        <v>74</v>
      </c>
      <c r="C161" s="88" t="s">
        <v>21</v>
      </c>
      <c r="D161" s="89"/>
      <c r="E161" s="117"/>
      <c r="F161" s="31">
        <f>+SUM(START:END!F161)</f>
        <v>0</v>
      </c>
      <c r="G161" s="84"/>
      <c r="H161" s="14"/>
      <c r="I161" s="31">
        <f>+SUM(START:END!I161)</f>
        <v>0</v>
      </c>
      <c r="J161" s="42"/>
      <c r="K161" s="14"/>
      <c r="L161" s="33">
        <f>+SUM(START:END!L161)</f>
        <v>0</v>
      </c>
      <c r="M161" s="42"/>
      <c r="N161" s="60">
        <f t="shared" si="66"/>
        <v>0</v>
      </c>
      <c r="O161" s="42"/>
      <c r="P161" s="14"/>
      <c r="Q161" s="34">
        <f>+SUM(START:END!Q161)</f>
        <v>0</v>
      </c>
      <c r="R161" s="42"/>
      <c r="S161" s="86">
        <f t="shared" si="67"/>
        <v>0</v>
      </c>
      <c r="T161" s="118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42009.287721165922</v>
      </c>
      <c r="G162" s="103"/>
      <c r="H162" s="101"/>
      <c r="I162" s="102">
        <f>+SUM(I155:I161)</f>
        <v>42009.287721165922</v>
      </c>
      <c r="J162" s="103"/>
      <c r="K162" s="101"/>
      <c r="L162" s="102">
        <f>+SUM(L155:L161)</f>
        <v>49333</v>
      </c>
      <c r="M162" s="106"/>
      <c r="N162" s="102">
        <f>+SUM(N155:N161)</f>
        <v>7323.7122788340785</v>
      </c>
      <c r="O162" s="103"/>
      <c r="P162" s="101"/>
      <c r="Q162" s="102">
        <f>+SUM(Q155:Q161)</f>
        <v>40135</v>
      </c>
      <c r="R162" s="106"/>
      <c r="S162" s="107">
        <f>+SUM(S155:S161)</f>
        <v>9198</v>
      </c>
      <c r="T162" s="118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61873.829373820394</v>
      </c>
      <c r="G164" s="160"/>
      <c r="H164" s="131"/>
      <c r="I164" s="133">
        <f>I107-I154+I162</f>
        <v>61873.829373820394</v>
      </c>
      <c r="J164" s="161"/>
      <c r="K164" s="132"/>
      <c r="L164" s="133">
        <f>L107-L154+L162</f>
        <v>167405.42300000001</v>
      </c>
      <c r="M164" s="161"/>
      <c r="N164" s="133">
        <f>L164-I164</f>
        <v>105531.59362617962</v>
      </c>
      <c r="O164" s="161"/>
      <c r="P164" s="132"/>
      <c r="Q164" s="133">
        <f>Q107-Q154+Q162</f>
        <v>14001.699999999953</v>
      </c>
      <c r="R164" s="161"/>
      <c r="S164" s="135">
        <f>L164-Q164</f>
        <v>153403.72300000006</v>
      </c>
      <c r="T164" s="83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 xml:space="preserve">Réalisé  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19" t="s">
        <v>5</v>
      </c>
      <c r="E169" s="520"/>
      <c r="F169" s="521"/>
      <c r="G169" s="522" t="s">
        <v>75</v>
      </c>
      <c r="H169" s="520"/>
      <c r="I169" s="521"/>
      <c r="J169" s="522" t="s">
        <v>7</v>
      </c>
      <c r="K169" s="520"/>
      <c r="L169" s="521"/>
      <c r="M169" s="522" t="s">
        <v>8</v>
      </c>
      <c r="N169" s="521"/>
      <c r="O169" s="519" t="s">
        <v>9</v>
      </c>
      <c r="P169" s="520"/>
      <c r="Q169" s="521"/>
      <c r="R169" s="522" t="s">
        <v>10</v>
      </c>
      <c r="S169" s="523"/>
      <c r="T169" s="156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9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448" t="s">
        <v>13</v>
      </c>
      <c r="G170" s="458" t="s">
        <v>41</v>
      </c>
      <c r="H170" s="139" t="s">
        <v>85</v>
      </c>
      <c r="I170" s="459" t="s">
        <v>13</v>
      </c>
      <c r="J170" s="448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9"/>
        <v>ServiceM/O Client</v>
      </c>
      <c r="B171" s="12" t="s">
        <v>84</v>
      </c>
      <c r="C171" s="30" t="s">
        <v>87</v>
      </c>
      <c r="D171" s="445">
        <f>+SUM(START:END!D171)</f>
        <v>1757.9728074307336</v>
      </c>
      <c r="E171" s="83">
        <f>+SUM(START:END!E171)</f>
        <v>431474.18394113821</v>
      </c>
      <c r="F171" s="83">
        <f>+SUM(START:END!F171)</f>
        <v>323823.93512408348</v>
      </c>
      <c r="G171" s="163">
        <f>+SUM(START:END!G171)</f>
        <v>1757.9728074307336</v>
      </c>
      <c r="H171" s="450">
        <f>+SUM(START:END!H171)</f>
        <v>431474.18394113821</v>
      </c>
      <c r="I171" s="60">
        <f>+SUM(START:END!I171)</f>
        <v>323823.93512408348</v>
      </c>
      <c r="J171" s="445">
        <f>+SUM(START:END!J171)</f>
        <v>1760</v>
      </c>
      <c r="K171" s="83">
        <f>+SUM(START:END!K171)</f>
        <v>377735.92000000004</v>
      </c>
      <c r="L171" s="83">
        <f>+SUM(START:END!L171)</f>
        <v>284907.32999999996</v>
      </c>
      <c r="M171" s="164">
        <f>(K171-H171)/H171</f>
        <v>-0.12454572241214124</v>
      </c>
      <c r="N171" s="60">
        <f>L171-I171</f>
        <v>-38916.605124083522</v>
      </c>
      <c r="O171" s="445">
        <f>+SUM(START:END!O171)</f>
        <v>2069</v>
      </c>
      <c r="P171" s="83">
        <f>+SUM(START:END!P171)</f>
        <v>467046.78</v>
      </c>
      <c r="Q171" s="83">
        <f>+SUM(START:END!Q171)</f>
        <v>355090.88</v>
      </c>
      <c r="R171" s="164">
        <f>IF(O171=0,0,J171/O171)</f>
        <v>0.85065248912518121</v>
      </c>
      <c r="S171" s="86">
        <f>L171-Q171</f>
        <v>-70183.550000000047</v>
      </c>
      <c r="T171" s="83"/>
      <c r="U171" s="14"/>
      <c r="V171" s="480">
        <f>+SUM(START:END!D171)-D171</f>
        <v>0</v>
      </c>
      <c r="W171" s="480">
        <f>+SUM(START:END!G171)-G171</f>
        <v>0</v>
      </c>
      <c r="X171" s="480">
        <f>+SUM(START:END!J171)-J171</f>
        <v>0</v>
      </c>
      <c r="Y171" s="480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9"/>
        <v>Service% profit / ventes</v>
      </c>
      <c r="B172" s="12" t="s">
        <v>84</v>
      </c>
      <c r="C172" s="30" t="s">
        <v>88</v>
      </c>
      <c r="D172" s="14"/>
      <c r="E172" s="150"/>
      <c r="F172" s="449">
        <f>F171/E171</f>
        <v>0.75050593332429738</v>
      </c>
      <c r="G172" s="42"/>
      <c r="H172" s="460"/>
      <c r="I172" s="165">
        <f>I171/H171</f>
        <v>0.75050593332429738</v>
      </c>
      <c r="J172" s="14"/>
      <c r="K172" s="150"/>
      <c r="L172" s="165">
        <f>L171/K171</f>
        <v>0.75425003266832535</v>
      </c>
      <c r="M172" s="164"/>
      <c r="N172" s="60"/>
      <c r="O172" s="14"/>
      <c r="P172" s="150"/>
      <c r="Q172" s="165">
        <f>Q171/P171</f>
        <v>0.76028975084679951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9"/>
        <v>Service</v>
      </c>
      <c r="B173" s="12" t="s">
        <v>84</v>
      </c>
      <c r="C173" s="88"/>
      <c r="D173" s="117"/>
      <c r="E173" s="166">
        <f t="shared" ref="E173" si="70">IFERROR(E171/D171,0)</f>
        <v>245.43848580441642</v>
      </c>
      <c r="F173" s="228"/>
      <c r="G173" s="24"/>
      <c r="H173" s="166">
        <f t="shared" ref="H173" si="71">IFERROR(H171/G171,0)</f>
        <v>245.43848580441642</v>
      </c>
      <c r="I173" s="167"/>
      <c r="J173" s="117"/>
      <c r="K173" s="166">
        <f t="shared" ref="K173" si="72">IFERROR(K171/J171,0)</f>
        <v>214.62268181818183</v>
      </c>
      <c r="L173" s="167"/>
      <c r="M173" s="170"/>
      <c r="N173" s="94"/>
      <c r="O173" s="117"/>
      <c r="P173" s="166">
        <f t="shared" ref="P173" si="73">IFERROR(P171/O171,0)</f>
        <v>225.73551474142099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9"/>
        <v>ServiceM/O Garantie</v>
      </c>
      <c r="B174" s="12" t="s">
        <v>84</v>
      </c>
      <c r="C174" s="15" t="s">
        <v>89</v>
      </c>
      <c r="D174" s="171">
        <f>+SUM(START:END!D174)</f>
        <v>995.70742896331035</v>
      </c>
      <c r="E174" s="83">
        <f>+SUM(START:END!E174)</f>
        <v>175975.35924904014</v>
      </c>
      <c r="F174" s="83">
        <f>+SUM(START:END!F174)</f>
        <v>122859.71916456363</v>
      </c>
      <c r="G174" s="172">
        <f>+SUM(START:END!G174)</f>
        <v>995.70742896331035</v>
      </c>
      <c r="H174" s="450">
        <f>+SUM(START:END!H174)</f>
        <v>175975.35924904014</v>
      </c>
      <c r="I174" s="60">
        <f>+SUM(START:END!I174)</f>
        <v>122859.71916456363</v>
      </c>
      <c r="J174" s="171">
        <f>+SUM(START:END!J174)</f>
        <v>707</v>
      </c>
      <c r="K174" s="83">
        <f>+SUM(START:END!K174)</f>
        <v>185507.08</v>
      </c>
      <c r="L174" s="83">
        <f>+SUM(START:END!L174)</f>
        <v>130979.21999999999</v>
      </c>
      <c r="M174" s="164">
        <f>(K174-H174)/H174</f>
        <v>5.4165087610195305E-2</v>
      </c>
      <c r="N174" s="115">
        <f>L174-I174</f>
        <v>8119.5008354363526</v>
      </c>
      <c r="O174" s="171">
        <f>+SUM(START:END!O174)</f>
        <v>1274</v>
      </c>
      <c r="P174" s="83">
        <f>+SUM(START:END!P174)</f>
        <v>256630.24</v>
      </c>
      <c r="Q174" s="83">
        <f>+SUM(START:END!Q174)</f>
        <v>171900.63</v>
      </c>
      <c r="R174" s="164">
        <f>IF(O174=0,0,J174/O174)</f>
        <v>0.55494505494505497</v>
      </c>
      <c r="S174" s="86">
        <f>L174-Q174</f>
        <v>-40921.410000000018</v>
      </c>
      <c r="T174" s="83"/>
      <c r="U174" s="14"/>
      <c r="V174" s="480">
        <f>+SUM(START:END!D174)-D174</f>
        <v>0</v>
      </c>
      <c r="W174" s="480">
        <f>+SUM(START:END!G174)-G174</f>
        <v>0</v>
      </c>
      <c r="X174" s="480">
        <f>+SUM(START:END!J174)-J174</f>
        <v>0</v>
      </c>
      <c r="Y174" s="480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9"/>
        <v>Service% profit / ventes</v>
      </c>
      <c r="B175" s="12" t="s">
        <v>84</v>
      </c>
      <c r="C175" s="30" t="s">
        <v>88</v>
      </c>
      <c r="D175" s="14"/>
      <c r="E175" s="14"/>
      <c r="F175" s="449">
        <f>F174/E174</f>
        <v>0.69816433214773377</v>
      </c>
      <c r="G175" s="42"/>
      <c r="H175" s="457"/>
      <c r="I175" s="165">
        <f>I174/H174</f>
        <v>0.69816433214773377</v>
      </c>
      <c r="J175" s="14"/>
      <c r="K175" s="14"/>
      <c r="L175" s="165">
        <f>L174/K174</f>
        <v>0.70606049106050295</v>
      </c>
      <c r="M175" s="43"/>
      <c r="N175" s="44"/>
      <c r="O175" s="14"/>
      <c r="P175" s="14"/>
      <c r="Q175" s="165">
        <f>Q174/P174</f>
        <v>0.6698377790551886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9"/>
        <v>Service</v>
      </c>
      <c r="B176" s="12" t="s">
        <v>84</v>
      </c>
      <c r="C176" s="88"/>
      <c r="D176" s="463"/>
      <c r="E176" s="117"/>
      <c r="F176" s="228"/>
      <c r="G176" s="24"/>
      <c r="H176" s="117"/>
      <c r="I176" s="167"/>
      <c r="J176" s="117"/>
      <c r="K176" s="117"/>
      <c r="L176" s="167"/>
      <c r="M176" s="175"/>
      <c r="N176" s="176"/>
      <c r="O176" s="117"/>
      <c r="P176" s="117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9"/>
        <v>ServiceM/O Interne</v>
      </c>
      <c r="B177" s="12" t="s">
        <v>84</v>
      </c>
      <c r="C177" s="30" t="s">
        <v>90</v>
      </c>
      <c r="D177" s="445">
        <f>+SUM(START:END!D177)</f>
        <v>759.37611075052291</v>
      </c>
      <c r="E177" s="83">
        <f>+SUM(START:END!E177)</f>
        <v>179077.72578534557</v>
      </c>
      <c r="F177" s="83">
        <f>+SUM(START:END!F177)</f>
        <v>131304.54898395154</v>
      </c>
      <c r="G177" s="163">
        <f>+SUM(START:END!G177)</f>
        <v>759.37611075052291</v>
      </c>
      <c r="H177" s="450">
        <f>+SUM(START:END!H177)</f>
        <v>179077.72578534557</v>
      </c>
      <c r="I177" s="60">
        <f>+SUM(START:END!I177)</f>
        <v>131304.54898395154</v>
      </c>
      <c r="J177" s="14">
        <f>+SUM(START:END!J177)</f>
        <v>954</v>
      </c>
      <c r="K177" s="83">
        <f>+SUM(START:END!K177)</f>
        <v>194437</v>
      </c>
      <c r="L177" s="83">
        <f>+SUM(START:END!L177)</f>
        <v>143742.5</v>
      </c>
      <c r="M177" s="164">
        <f>(K177-H177)/H177</f>
        <v>8.5768758494649849E-2</v>
      </c>
      <c r="N177" s="60">
        <f t="shared" ref="N177:N178" si="74">L177-I177</f>
        <v>12437.951016048464</v>
      </c>
      <c r="O177" s="14">
        <f>+SUM(START:END!O177)</f>
        <v>734</v>
      </c>
      <c r="P177" s="83">
        <f>+SUM(START:END!P177)</f>
        <v>137816.91999999998</v>
      </c>
      <c r="Q177" s="83">
        <f>+SUM(START:END!Q177)</f>
        <v>90395.3</v>
      </c>
      <c r="R177" s="164">
        <f>IF(O177=0,0,J177/O177)</f>
        <v>1.2997275204359673</v>
      </c>
      <c r="S177" s="86">
        <f>L177-Q177</f>
        <v>53347.199999999997</v>
      </c>
      <c r="T177" s="83"/>
      <c r="U177" s="14"/>
      <c r="V177" s="480">
        <f>+SUM(START:END!D177)-D177</f>
        <v>0</v>
      </c>
      <c r="W177" s="480">
        <f>+SUM(START:END!G177)-G177</f>
        <v>0</v>
      </c>
      <c r="X177" s="480">
        <f>+SUM(START:END!J177)-J177</f>
        <v>0</v>
      </c>
      <c r="Y177" s="480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9"/>
        <v>Service% profit / ventes</v>
      </c>
      <c r="B178" s="12" t="s">
        <v>84</v>
      </c>
      <c r="C178" s="30" t="s">
        <v>88</v>
      </c>
      <c r="D178" s="14"/>
      <c r="E178" s="150"/>
      <c r="F178" s="449">
        <f>F177/E177</f>
        <v>0.73322658308349231</v>
      </c>
      <c r="G178" s="42"/>
      <c r="H178" s="460"/>
      <c r="I178" s="165">
        <f>I177/H177</f>
        <v>0.73322658308349231</v>
      </c>
      <c r="J178" s="14"/>
      <c r="K178" s="150"/>
      <c r="L178" s="165">
        <f>L177/K177</f>
        <v>0.73927544654566779</v>
      </c>
      <c r="M178" s="164"/>
      <c r="N178" s="60">
        <f t="shared" si="74"/>
        <v>6.04886346217548E-3</v>
      </c>
      <c r="O178" s="14"/>
      <c r="P178" s="150"/>
      <c r="Q178" s="165">
        <f>Q177/P177</f>
        <v>0.65590857784370749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9"/>
        <v>Service</v>
      </c>
      <c r="B179" s="12" t="s">
        <v>84</v>
      </c>
      <c r="C179" s="30"/>
      <c r="D179" s="14"/>
      <c r="E179" s="178"/>
      <c r="F179" s="227"/>
      <c r="G179" s="42"/>
      <c r="H179" s="178"/>
      <c r="I179" s="179"/>
      <c r="J179" s="14"/>
      <c r="K179" s="178"/>
      <c r="L179" s="179"/>
      <c r="M179" s="164"/>
      <c r="N179" s="60"/>
      <c r="O179" s="14"/>
      <c r="P179" s="178"/>
      <c r="Q179" s="179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9"/>
        <v>ServiceM/O Esthétique</v>
      </c>
      <c r="B180" s="12" t="s">
        <v>84</v>
      </c>
      <c r="C180" s="15" t="s">
        <v>91</v>
      </c>
      <c r="D180" s="455">
        <f>+SUM(START:END!D180)</f>
        <v>0</v>
      </c>
      <c r="E180" s="83">
        <f>+SUM(START:END!E180)</f>
        <v>303.77240046356661</v>
      </c>
      <c r="F180" s="83">
        <f>+SUM(START:END!F180)</f>
        <v>224.79157634303928</v>
      </c>
      <c r="G180" s="219">
        <f>+SUM(START:END!G180)</f>
        <v>0</v>
      </c>
      <c r="H180" s="450">
        <f>+SUM(START:END!H180)</f>
        <v>303.77240046356661</v>
      </c>
      <c r="I180" s="60">
        <f>+SUM(START:END!I180)</f>
        <v>224.79157634303928</v>
      </c>
      <c r="J180" s="111">
        <f>+SUM(START:END!J180)</f>
        <v>0</v>
      </c>
      <c r="K180" s="83">
        <f>+SUM(START:END!K180)</f>
        <v>2135.3900000000003</v>
      </c>
      <c r="L180" s="83">
        <f>+SUM(START:END!L180)</f>
        <v>1808.5800000000004</v>
      </c>
      <c r="M180" s="182">
        <f>IF(H180=0,0,(K180-H180)/H180)</f>
        <v>6.0295721294670797</v>
      </c>
      <c r="N180" s="115">
        <f>L180-I180</f>
        <v>1583.7884236569612</v>
      </c>
      <c r="O180" s="111">
        <f>+SUM(START:END!O180)</f>
        <v>0</v>
      </c>
      <c r="P180" s="83">
        <f>+SUM(START:END!P180)</f>
        <v>397.25</v>
      </c>
      <c r="Q180" s="83">
        <f>+SUM(START:END!Q180)</f>
        <v>366.65</v>
      </c>
      <c r="R180" s="164">
        <f>IF(O180=0,0,J180/O180)</f>
        <v>0</v>
      </c>
      <c r="S180" s="116">
        <f>L180-Q180</f>
        <v>1441.9300000000003</v>
      </c>
      <c r="T180" s="83"/>
      <c r="U180" s="14"/>
      <c r="V180" s="480">
        <f>+SUM(START:END!D180)-D180</f>
        <v>0</v>
      </c>
      <c r="W180" s="480">
        <f>+SUM(START:END!G180)-G180</f>
        <v>0</v>
      </c>
      <c r="X180" s="480">
        <f>+SUM(START:END!J180)-J180</f>
        <v>0</v>
      </c>
      <c r="Y180" s="480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9"/>
        <v>Service% profit / ventes</v>
      </c>
      <c r="B181" s="12" t="s">
        <v>84</v>
      </c>
      <c r="C181" s="30" t="s">
        <v>88</v>
      </c>
      <c r="D181" s="77"/>
      <c r="E181" s="183"/>
      <c r="F181" s="449">
        <f>IFERROR(F180/E180,0)</f>
        <v>0.74</v>
      </c>
      <c r="G181" s="79"/>
      <c r="H181" s="461"/>
      <c r="I181" s="165">
        <f>IFERROR(I180/H180,0)</f>
        <v>0.74</v>
      </c>
      <c r="J181" s="77"/>
      <c r="K181" s="183"/>
      <c r="L181" s="165">
        <f>IFERROR(L180/K180,0)</f>
        <v>0.84695535710104486</v>
      </c>
      <c r="M181" s="61">
        <f>J181-G181</f>
        <v>0</v>
      </c>
      <c r="N181" s="185"/>
      <c r="O181" s="77"/>
      <c r="P181" s="183"/>
      <c r="Q181" s="165">
        <f>IFERROR(Q180/P180,0)</f>
        <v>0.92297042164883569</v>
      </c>
      <c r="R181" s="42"/>
      <c r="S181" s="186"/>
      <c r="T181" s="118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9"/>
        <v>Service</v>
      </c>
      <c r="B182" s="12" t="s">
        <v>84</v>
      </c>
      <c r="C182" s="88"/>
      <c r="D182" s="187"/>
      <c r="E182" s="188"/>
      <c r="F182" s="228"/>
      <c r="G182" s="189"/>
      <c r="H182" s="188"/>
      <c r="I182" s="167"/>
      <c r="J182" s="187"/>
      <c r="K182" s="188"/>
      <c r="L182" s="167"/>
      <c r="M182" s="168"/>
      <c r="N182" s="191"/>
      <c r="O182" s="187"/>
      <c r="P182" s="188"/>
      <c r="Q182" s="167"/>
      <c r="R182" s="24"/>
      <c r="S182" s="192"/>
      <c r="T182" s="118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9"/>
        <v>ServiceAjustement M/O</v>
      </c>
      <c r="B183" s="12" t="s">
        <v>84</v>
      </c>
      <c r="C183" s="30" t="s">
        <v>92</v>
      </c>
      <c r="D183" s="14"/>
      <c r="E183" s="14"/>
      <c r="F183" s="450">
        <f>+SUM(START:END!F183)</f>
        <v>-13560.173024257978</v>
      </c>
      <c r="G183" s="42"/>
      <c r="H183" s="457"/>
      <c r="I183" s="60">
        <f>+SUM(START:END!I183)</f>
        <v>-13560.173024257978</v>
      </c>
      <c r="J183" s="14"/>
      <c r="K183" s="14"/>
      <c r="L183" s="60">
        <f>+SUM(START:END!L183)</f>
        <v>-13289.66</v>
      </c>
      <c r="M183" s="184"/>
      <c r="N183" s="60">
        <f t="shared" ref="N183:N184" si="75">L183-I183</f>
        <v>270.51302425797803</v>
      </c>
      <c r="O183" s="14"/>
      <c r="P183" s="14"/>
      <c r="Q183" s="60">
        <f>+SUM(START:END!Q183)</f>
        <v>-15659.419999999998</v>
      </c>
      <c r="R183" s="193"/>
      <c r="S183" s="86">
        <f t="shared" ref="S183:S184" si="76">L183-Q183</f>
        <v>2369.7599999999984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9"/>
        <v>ServiceSous-total M/O</v>
      </c>
      <c r="B184" s="12" t="s">
        <v>84</v>
      </c>
      <c r="C184" s="194" t="s">
        <v>93</v>
      </c>
      <c r="D184" s="195"/>
      <c r="E184" s="195">
        <f t="shared" ref="E184:F184" si="77">E171+E174+E177+E180+E183</f>
        <v>786831.04137598746</v>
      </c>
      <c r="F184" s="195">
        <f t="shared" si="77"/>
        <v>564652.82182468369</v>
      </c>
      <c r="G184" s="197"/>
      <c r="H184" s="195">
        <f t="shared" ref="H184:I184" si="78">H171+H174+H177+H180+H183</f>
        <v>786831.04137598746</v>
      </c>
      <c r="I184" s="196">
        <f t="shared" si="78"/>
        <v>564652.82182468369</v>
      </c>
      <c r="J184" s="195"/>
      <c r="K184" s="195">
        <f t="shared" ref="K184:L184" si="79">K171+K174+K177+K180+K183</f>
        <v>759815.39</v>
      </c>
      <c r="L184" s="196">
        <f t="shared" si="79"/>
        <v>548147.96999999986</v>
      </c>
      <c r="M184" s="198">
        <f>(K184-H184)/H184</f>
        <v>-3.4334755437130771E-2</v>
      </c>
      <c r="N184" s="196">
        <f t="shared" si="75"/>
        <v>-16504.851824683836</v>
      </c>
      <c r="O184" s="195"/>
      <c r="P184" s="195">
        <f t="shared" ref="P184:Q184" si="80">P171+P174+P177+P180+P183</f>
        <v>861891.19</v>
      </c>
      <c r="Q184" s="196">
        <f t="shared" si="80"/>
        <v>602094.04</v>
      </c>
      <c r="R184" s="43">
        <f>IF(O184=0,0,J184/O184)</f>
        <v>0</v>
      </c>
      <c r="S184" s="199">
        <f t="shared" si="76"/>
        <v>-53946.070000000182</v>
      </c>
      <c r="T184" s="118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9"/>
        <v>Service% protit / ventes</v>
      </c>
      <c r="B185" s="12" t="s">
        <v>84</v>
      </c>
      <c r="C185" s="200" t="s">
        <v>94</v>
      </c>
      <c r="D185" s="201"/>
      <c r="E185" s="201"/>
      <c r="F185" s="451">
        <f>F184/E184</f>
        <v>0.7176290615546066</v>
      </c>
      <c r="G185" s="203"/>
      <c r="H185" s="201"/>
      <c r="I185" s="202">
        <f>I184/H184</f>
        <v>0.7176290615546066</v>
      </c>
      <c r="J185" s="201"/>
      <c r="K185" s="201"/>
      <c r="L185" s="202">
        <f>L184/K184</f>
        <v>0.72142256818462158</v>
      </c>
      <c r="M185" s="203"/>
      <c r="N185" s="202">
        <f>N184/I184</f>
        <v>-2.923008827149428E-2</v>
      </c>
      <c r="O185" s="201"/>
      <c r="P185" s="201"/>
      <c r="Q185" s="202">
        <f>Q184/P184</f>
        <v>0.69857314587471309</v>
      </c>
      <c r="R185" s="203"/>
      <c r="S185" s="45">
        <f>IF(R184=0,0,S184/R184)</f>
        <v>0</v>
      </c>
      <c r="T185" s="118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9"/>
        <v>Service</v>
      </c>
      <c r="B186" s="12" t="s">
        <v>84</v>
      </c>
      <c r="C186" s="36"/>
      <c r="D186" s="204"/>
      <c r="E186" s="205"/>
      <c r="F186" s="204"/>
      <c r="G186" s="207"/>
      <c r="H186" s="205"/>
      <c r="I186" s="206"/>
      <c r="J186" s="204"/>
      <c r="K186" s="205"/>
      <c r="L186" s="206"/>
      <c r="M186" s="207"/>
      <c r="N186" s="206"/>
      <c r="O186" s="204"/>
      <c r="P186" s="205"/>
      <c r="Q186" s="206"/>
      <c r="R186" s="207"/>
      <c r="S186" s="208"/>
      <c r="T186" s="118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9"/>
        <v>ServiceSous-traitement</v>
      </c>
      <c r="B187" s="12" t="s">
        <v>84</v>
      </c>
      <c r="C187" s="30" t="s">
        <v>95</v>
      </c>
      <c r="D187" s="83"/>
      <c r="E187" s="83">
        <f>+SUM(START:END!E187)</f>
        <v>100768.66009563954</v>
      </c>
      <c r="F187" s="83">
        <f>+SUM(START:END!F187)</f>
        <v>24184.478422953489</v>
      </c>
      <c r="G187" s="61"/>
      <c r="H187" s="450">
        <f>+SUM(START:END!H187)</f>
        <v>100768.66009563954</v>
      </c>
      <c r="I187" s="60">
        <f>+SUM(START:END!I187)</f>
        <v>24184.478422953489</v>
      </c>
      <c r="J187" s="83"/>
      <c r="K187" s="83">
        <f>+SUM(START:END!K187)</f>
        <v>89563.98</v>
      </c>
      <c r="L187" s="83">
        <f>+SUM(START:END!L187)</f>
        <v>18141.23</v>
      </c>
      <c r="M187" s="85">
        <f>IF(H187=0,0,(K187-H187)/H187)</f>
        <v>-0.11119211156529404</v>
      </c>
      <c r="N187" s="60">
        <f>L187-I187</f>
        <v>-6043.2484229534894</v>
      </c>
      <c r="O187" s="83"/>
      <c r="P187" s="83">
        <f>+SUM(START:END!P187)</f>
        <v>150801.91999999998</v>
      </c>
      <c r="Q187" s="83">
        <f>+SUM(START:END!Q187)</f>
        <v>36012.770000000004</v>
      </c>
      <c r="R187" s="164">
        <f>IF(O187=0,0,J187/O187)</f>
        <v>0</v>
      </c>
      <c r="S187" s="86">
        <f>L187-Q187</f>
        <v>-17871.540000000005</v>
      </c>
      <c r="T187" s="118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9"/>
        <v>Service% profit / ventes</v>
      </c>
      <c r="B188" s="12" t="s">
        <v>84</v>
      </c>
      <c r="C188" s="30" t="s">
        <v>88</v>
      </c>
      <c r="D188" s="14"/>
      <c r="E188" s="150"/>
      <c r="F188" s="449">
        <f>IFERROR(F187/E187,0)</f>
        <v>0.24</v>
      </c>
      <c r="G188" s="42"/>
      <c r="H188" s="460"/>
      <c r="I188" s="165">
        <f>IFERROR(I187/H187,0)</f>
        <v>0.24</v>
      </c>
      <c r="J188" s="14"/>
      <c r="K188" s="150"/>
      <c r="L188" s="165">
        <f>IFERROR(L187/K187,0)</f>
        <v>0.20255051193571344</v>
      </c>
      <c r="M188" s="184"/>
      <c r="N188" s="185"/>
      <c r="O188" s="14"/>
      <c r="P188" s="150"/>
      <c r="Q188" s="165">
        <f>IFERROR(Q187/P187,0)</f>
        <v>0.23880843161678583</v>
      </c>
      <c r="R188" s="184"/>
      <c r="S188" s="186"/>
      <c r="T188" s="118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9"/>
        <v>Service</v>
      </c>
      <c r="B189" s="12" t="s">
        <v>84</v>
      </c>
      <c r="C189" s="30"/>
      <c r="D189" s="14"/>
      <c r="E189" s="150"/>
      <c r="F189" s="449"/>
      <c r="G189" s="42"/>
      <c r="H189" s="460"/>
      <c r="I189" s="165"/>
      <c r="J189" s="14"/>
      <c r="K189" s="150"/>
      <c r="L189" s="165"/>
      <c r="M189" s="184"/>
      <c r="N189" s="185"/>
      <c r="O189" s="14"/>
      <c r="P189" s="150"/>
      <c r="Q189" s="165"/>
      <c r="R189" s="184"/>
      <c r="S189" s="186"/>
      <c r="T189" s="118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9"/>
        <v>ServiceM.O. Recond. MCPA</v>
      </c>
      <c r="B190" s="12" t="s">
        <v>84</v>
      </c>
      <c r="C190" s="30" t="s">
        <v>96</v>
      </c>
      <c r="D190" s="14"/>
      <c r="E190" s="83">
        <f>+SUM(START:END!E190)</f>
        <v>0</v>
      </c>
      <c r="F190" s="83">
        <f>+SUM(START:END!F190)</f>
        <v>0</v>
      </c>
      <c r="G190" s="42"/>
      <c r="H190" s="450">
        <f>+SUM(START:END!H190)</f>
        <v>0</v>
      </c>
      <c r="I190" s="60">
        <f>+SUM(START:END!I190)</f>
        <v>0</v>
      </c>
      <c r="J190" s="14"/>
      <c r="K190" s="83">
        <f>+SUM(START:END!K190)</f>
        <v>0</v>
      </c>
      <c r="L190" s="83">
        <f>+SUM(START:END!L190)</f>
        <v>0</v>
      </c>
      <c r="M190" s="184"/>
      <c r="N190" s="185"/>
      <c r="O190" s="14"/>
      <c r="P190" s="83">
        <f>+SUM(START:END!P190)</f>
        <v>0</v>
      </c>
      <c r="Q190" s="83">
        <f>+SUM(START:END!Q190)</f>
        <v>0</v>
      </c>
      <c r="R190" s="184"/>
      <c r="S190" s="186"/>
      <c r="T190" s="118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9"/>
        <v>Service% profit / ventes</v>
      </c>
      <c r="B191" s="12" t="s">
        <v>84</v>
      </c>
      <c r="C191" s="30" t="s">
        <v>88</v>
      </c>
      <c r="D191" s="14"/>
      <c r="E191" s="150"/>
      <c r="F191" s="449">
        <f>IF(F190=0,0,F190/E190)</f>
        <v>0</v>
      </c>
      <c r="G191" s="42"/>
      <c r="H191" s="460"/>
      <c r="I191" s="165">
        <f>IF(I190=0,0,I190/H190)</f>
        <v>0</v>
      </c>
      <c r="J191" s="14"/>
      <c r="K191" s="150"/>
      <c r="L191" s="165">
        <f>IF(L190=0,0,L190/K190)</f>
        <v>0</v>
      </c>
      <c r="M191" s="184"/>
      <c r="N191" s="185"/>
      <c r="O191" s="14"/>
      <c r="P191" s="150"/>
      <c r="Q191" s="165">
        <f>IF(Q190=0,0,Q190/P190)</f>
        <v>0</v>
      </c>
      <c r="R191" s="184"/>
      <c r="S191" s="186"/>
      <c r="T191" s="118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9"/>
        <v>Service</v>
      </c>
      <c r="B192" s="12" t="s">
        <v>84</v>
      </c>
      <c r="C192" s="209"/>
      <c r="D192" s="210"/>
      <c r="E192" s="211"/>
      <c r="F192" s="210"/>
      <c r="G192" s="213"/>
      <c r="H192" s="211"/>
      <c r="I192" s="212"/>
      <c r="J192" s="210"/>
      <c r="K192" s="211"/>
      <c r="L192" s="212"/>
      <c r="M192" s="213"/>
      <c r="N192" s="212"/>
      <c r="O192" s="210"/>
      <c r="P192" s="211"/>
      <c r="Q192" s="212"/>
      <c r="R192" s="213"/>
      <c r="S192" s="214"/>
      <c r="T192" s="118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9"/>
        <v>ServiceTotal Mécanique</v>
      </c>
      <c r="B193" s="12" t="s">
        <v>84</v>
      </c>
      <c r="C193" s="63" t="s">
        <v>97</v>
      </c>
      <c r="D193" s="64"/>
      <c r="E193" s="64">
        <f t="shared" ref="E193:F193" si="81">E184+E187+E190</f>
        <v>887599.70147162699</v>
      </c>
      <c r="F193" s="64">
        <f t="shared" si="81"/>
        <v>588837.30024763721</v>
      </c>
      <c r="G193" s="67"/>
      <c r="H193" s="64">
        <f t="shared" ref="H193:I193" si="82">H184+H187+H190</f>
        <v>887599.70147162699</v>
      </c>
      <c r="I193" s="66">
        <f t="shared" si="82"/>
        <v>588837.30024763721</v>
      </c>
      <c r="J193" s="64"/>
      <c r="K193" s="64">
        <f t="shared" ref="K193:L193" si="83">K184+K187+K190</f>
        <v>849379.37</v>
      </c>
      <c r="L193" s="66">
        <f t="shared" si="83"/>
        <v>566289.19999999984</v>
      </c>
      <c r="M193" s="215">
        <f>L194-I194</f>
        <v>3.3052665004734694E-3</v>
      </c>
      <c r="N193" s="66">
        <f>L193-I193</f>
        <v>-22548.100247637369</v>
      </c>
      <c r="O193" s="64"/>
      <c r="P193" s="64">
        <f t="shared" ref="P193:Q193" si="84">P184+P187+P190</f>
        <v>1012693.1099999999</v>
      </c>
      <c r="Q193" s="66">
        <f t="shared" si="84"/>
        <v>638106.81000000006</v>
      </c>
      <c r="R193" s="215">
        <f>L194-Q194</f>
        <v>3.660061798635017E-2</v>
      </c>
      <c r="S193" s="69">
        <f>L193-Q193</f>
        <v>-71817.610000000219</v>
      </c>
      <c r="T193" s="118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9"/>
        <v>Service</v>
      </c>
      <c r="B194" s="12" t="s">
        <v>84</v>
      </c>
      <c r="C194" s="70"/>
      <c r="D194" s="71"/>
      <c r="E194" s="71"/>
      <c r="F194" s="452">
        <f>F193/E193</f>
        <v>0.66340412155541939</v>
      </c>
      <c r="G194" s="73"/>
      <c r="H194" s="71"/>
      <c r="I194" s="75">
        <f>I193/H193</f>
        <v>0.66340412155541939</v>
      </c>
      <c r="J194" s="71"/>
      <c r="K194" s="71"/>
      <c r="L194" s="75">
        <f>L193/K193</f>
        <v>0.66670938805589286</v>
      </c>
      <c r="M194" s="74"/>
      <c r="N194" s="75">
        <f>N193/I193</f>
        <v>-3.8292581394138415E-2</v>
      </c>
      <c r="O194" s="71"/>
      <c r="P194" s="71"/>
      <c r="Q194" s="75">
        <f>Q193/P193</f>
        <v>0.63010877006954269</v>
      </c>
      <c r="R194" s="74"/>
      <c r="S194" s="76">
        <f>L193/S193</f>
        <v>-7.8851022750547966</v>
      </c>
      <c r="T194" s="77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9"/>
        <v>Service</v>
      </c>
      <c r="B195" s="12" t="s">
        <v>84</v>
      </c>
      <c r="C195" s="54"/>
      <c r="D195" s="77"/>
      <c r="E195" s="77"/>
      <c r="F195" s="453"/>
      <c r="G195" s="79"/>
      <c r="H195" s="462"/>
      <c r="I195" s="44"/>
      <c r="J195" s="77"/>
      <c r="K195" s="77"/>
      <c r="L195" s="44"/>
      <c r="M195" s="43"/>
      <c r="N195" s="44"/>
      <c r="O195" s="77"/>
      <c r="P195" s="77"/>
      <c r="Q195" s="44"/>
      <c r="R195" s="43"/>
      <c r="S195" s="45"/>
      <c r="T195" s="77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9"/>
        <v>ServiceDEPENSES</v>
      </c>
      <c r="B196" s="12" t="s">
        <v>84</v>
      </c>
      <c r="C196" s="80" t="s">
        <v>31</v>
      </c>
      <c r="D196" s="14"/>
      <c r="E196" s="14"/>
      <c r="F196" s="450"/>
      <c r="G196" s="42"/>
      <c r="H196" s="457"/>
      <c r="I196" s="60"/>
      <c r="J196" s="14"/>
      <c r="K196" s="14"/>
      <c r="L196" s="60"/>
      <c r="M196" s="42"/>
      <c r="N196" s="41"/>
      <c r="O196" s="14"/>
      <c r="P196" s="14"/>
      <c r="Q196" s="60"/>
      <c r="R196" s="42"/>
      <c r="S196" s="62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9"/>
        <v>ServiceSalaires cadres</v>
      </c>
      <c r="B197" s="12" t="s">
        <v>84</v>
      </c>
      <c r="C197" s="108" t="s">
        <v>42</v>
      </c>
      <c r="D197" s="14"/>
      <c r="E197" s="14"/>
      <c r="F197" s="445">
        <f>+SUM(START:END!F197)</f>
        <v>37084.586262068959</v>
      </c>
      <c r="G197" s="42"/>
      <c r="H197" s="457"/>
      <c r="I197" s="435">
        <f>+SUM(START:END!I197)</f>
        <v>37084.586262068959</v>
      </c>
      <c r="J197" s="14"/>
      <c r="K197" s="14"/>
      <c r="L197" s="445">
        <f>+SUM(START:END!L197)</f>
        <v>35303.81</v>
      </c>
      <c r="M197" s="42"/>
      <c r="N197" s="41"/>
      <c r="O197" s="14"/>
      <c r="P197" s="14"/>
      <c r="Q197" s="445">
        <f>+SUM(START:END!Q197)</f>
        <v>41304.11</v>
      </c>
      <c r="R197" s="42"/>
      <c r="S197" s="35">
        <f>L197-Q197</f>
        <v>-6000.3000000000029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9"/>
        <v>ServiceSalaires commis</v>
      </c>
      <c r="B198" s="12" t="s">
        <v>84</v>
      </c>
      <c r="C198" s="109" t="s">
        <v>43</v>
      </c>
      <c r="D198" s="82"/>
      <c r="E198" s="14"/>
      <c r="F198" s="454">
        <f>+SUM(START:END!F198)</f>
        <v>27071.063924367816</v>
      </c>
      <c r="G198" s="84"/>
      <c r="H198" s="457"/>
      <c r="I198" s="446">
        <f>+SUM(START:END!I198)</f>
        <v>27071.063924367816</v>
      </c>
      <c r="J198" s="82"/>
      <c r="K198" s="14"/>
      <c r="L198" s="446">
        <f>+SUM(START:END!L198)</f>
        <v>27036.400000000001</v>
      </c>
      <c r="M198" s="42"/>
      <c r="N198" s="60">
        <f t="shared" ref="N198:N228" si="85">L198-I198</f>
        <v>-34.663924367814616</v>
      </c>
      <c r="O198" s="82"/>
      <c r="P198" s="14"/>
      <c r="Q198" s="446">
        <f>+SUM(START:END!Q198)</f>
        <v>33189.009999999995</v>
      </c>
      <c r="R198" s="42"/>
      <c r="S198" s="86">
        <f t="shared" ref="S198:S228" si="86">L198-Q198</f>
        <v>-6152.6099999999933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9"/>
        <v>ServiceSalaires autres</v>
      </c>
      <c r="B199" s="12" t="s">
        <v>84</v>
      </c>
      <c r="C199" s="108" t="s">
        <v>44</v>
      </c>
      <c r="D199" s="110"/>
      <c r="E199" s="111"/>
      <c r="F199" s="445">
        <f>+SUM(START:END!F199)</f>
        <v>36568.258159632191</v>
      </c>
      <c r="G199" s="112"/>
      <c r="H199" s="111"/>
      <c r="I199" s="435">
        <f>+SUM(START:END!I199)</f>
        <v>36568.258159632191</v>
      </c>
      <c r="J199" s="110"/>
      <c r="K199" s="111"/>
      <c r="L199" s="445">
        <f>+SUM(START:END!L199)</f>
        <v>29381.43</v>
      </c>
      <c r="M199" s="113"/>
      <c r="N199" s="115">
        <f t="shared" si="85"/>
        <v>-7186.8281596321904</v>
      </c>
      <c r="O199" s="110"/>
      <c r="P199" s="111"/>
      <c r="Q199" s="445">
        <f>+SUM(START:END!Q199)</f>
        <v>26975.190000000002</v>
      </c>
      <c r="R199" s="113"/>
      <c r="S199" s="116">
        <f t="shared" si="86"/>
        <v>2406.239999999998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9"/>
        <v>ServiceSalaires spécialistes</v>
      </c>
      <c r="B200" s="12" t="s">
        <v>84</v>
      </c>
      <c r="C200" s="108" t="s">
        <v>45</v>
      </c>
      <c r="D200" s="82"/>
      <c r="E200" s="14"/>
      <c r="F200" s="445">
        <f>+SUM(START:END!F200)</f>
        <v>92771.930758620685</v>
      </c>
      <c r="G200" s="84"/>
      <c r="H200" s="457"/>
      <c r="I200" s="435">
        <f>+SUM(START:END!I200)</f>
        <v>92771.930758620685</v>
      </c>
      <c r="J200" s="82"/>
      <c r="K200" s="14"/>
      <c r="L200" s="445">
        <f>+SUM(START:END!L200)</f>
        <v>79717.47</v>
      </c>
      <c r="M200" s="42"/>
      <c r="N200" s="60">
        <f t="shared" si="85"/>
        <v>-13054.460758620684</v>
      </c>
      <c r="O200" s="82"/>
      <c r="P200" s="14"/>
      <c r="Q200" s="445">
        <f>+SUM(START:END!Q200)</f>
        <v>76507.950000000012</v>
      </c>
      <c r="R200" s="42"/>
      <c r="S200" s="86">
        <f t="shared" si="86"/>
        <v>3209.5199999999895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9"/>
        <v>Service[...]</v>
      </c>
      <c r="B201" s="12" t="s">
        <v>84</v>
      </c>
      <c r="C201" s="30" t="s">
        <v>21</v>
      </c>
      <c r="D201" s="82"/>
      <c r="E201" s="14"/>
      <c r="F201" s="445">
        <f>+SUM(START:END!F201)</f>
        <v>0</v>
      </c>
      <c r="G201" s="84"/>
      <c r="H201" s="457"/>
      <c r="I201" s="435">
        <f>+SUM(START:END!I201)</f>
        <v>0</v>
      </c>
      <c r="J201" s="82"/>
      <c r="K201" s="14"/>
      <c r="L201" s="445">
        <f>+SUM(START:END!L201)</f>
        <v>0</v>
      </c>
      <c r="M201" s="42"/>
      <c r="N201" s="60">
        <f t="shared" si="85"/>
        <v>0</v>
      </c>
      <c r="O201" s="82"/>
      <c r="P201" s="14"/>
      <c r="Q201" s="445">
        <f>+SUM(START:END!Q201)</f>
        <v>0</v>
      </c>
      <c r="R201" s="42"/>
      <c r="S201" s="86">
        <f t="shared" si="8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9"/>
        <v>Service[...]</v>
      </c>
      <c r="B202" s="12" t="s">
        <v>84</v>
      </c>
      <c r="C202" s="30" t="s">
        <v>21</v>
      </c>
      <c r="D202" s="82"/>
      <c r="E202" s="14"/>
      <c r="F202" s="445">
        <f>+SUM(START:END!F202)</f>
        <v>0</v>
      </c>
      <c r="G202" s="84"/>
      <c r="H202" s="457"/>
      <c r="I202" s="435">
        <f>+SUM(START:END!I202)</f>
        <v>0</v>
      </c>
      <c r="J202" s="82"/>
      <c r="K202" s="14"/>
      <c r="L202" s="445">
        <f>+SUM(START:END!L202)</f>
        <v>0</v>
      </c>
      <c r="M202" s="42"/>
      <c r="N202" s="60">
        <f t="shared" si="85"/>
        <v>0</v>
      </c>
      <c r="O202" s="82"/>
      <c r="P202" s="14"/>
      <c r="Q202" s="445">
        <f>+SUM(START:END!Q202)</f>
        <v>0</v>
      </c>
      <c r="R202" s="42"/>
      <c r="S202" s="86">
        <f t="shared" si="8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9"/>
        <v>Service[...]</v>
      </c>
      <c r="B203" s="12" t="s">
        <v>84</v>
      </c>
      <c r="C203" s="30" t="s">
        <v>21</v>
      </c>
      <c r="D203" s="82"/>
      <c r="E203" s="14"/>
      <c r="F203" s="445">
        <f>+SUM(START:END!F203)</f>
        <v>0</v>
      </c>
      <c r="G203" s="84"/>
      <c r="H203" s="457"/>
      <c r="I203" s="435">
        <f>+SUM(START:END!I203)</f>
        <v>0</v>
      </c>
      <c r="J203" s="82"/>
      <c r="K203" s="14"/>
      <c r="L203" s="445">
        <f>+SUM(START:END!L203)</f>
        <v>0</v>
      </c>
      <c r="M203" s="42"/>
      <c r="N203" s="60">
        <f t="shared" si="85"/>
        <v>0</v>
      </c>
      <c r="O203" s="82"/>
      <c r="P203" s="14"/>
      <c r="Q203" s="445">
        <f>+SUM(START:END!Q203)</f>
        <v>0</v>
      </c>
      <c r="R203" s="42"/>
      <c r="S203" s="86">
        <f t="shared" si="8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9"/>
        <v>ServiceSalaires en absences</v>
      </c>
      <c r="B204" s="12" t="s">
        <v>84</v>
      </c>
      <c r="C204" s="109" t="s">
        <v>46</v>
      </c>
      <c r="D204" s="82"/>
      <c r="E204" s="14"/>
      <c r="F204" s="445">
        <f>+SUM(START:END!F204)</f>
        <v>50085.638292562755</v>
      </c>
      <c r="G204" s="84"/>
      <c r="H204" s="457"/>
      <c r="I204" s="435">
        <f>+SUM(START:END!I204)</f>
        <v>50085.638292562755</v>
      </c>
      <c r="J204" s="82"/>
      <c r="K204" s="14"/>
      <c r="L204" s="445">
        <f>+SUM(START:END!L204)</f>
        <v>44988.850000000006</v>
      </c>
      <c r="M204" s="42"/>
      <c r="N204" s="60">
        <f t="shared" si="85"/>
        <v>-5096.7882925627491</v>
      </c>
      <c r="O204" s="82"/>
      <c r="P204" s="14"/>
      <c r="Q204" s="445">
        <f>+SUM(START:END!Q204)</f>
        <v>54009.69</v>
      </c>
      <c r="R204" s="42"/>
      <c r="S204" s="86">
        <f t="shared" si="86"/>
        <v>-9020.8399999999965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9"/>
        <v>ServiceDéduction à la source</v>
      </c>
      <c r="B205" s="12" t="s">
        <v>84</v>
      </c>
      <c r="C205" s="108" t="s">
        <v>47</v>
      </c>
      <c r="D205" s="110"/>
      <c r="E205" s="111"/>
      <c r="F205" s="455">
        <f>+SUM(START:END!F205)</f>
        <v>50085.638292562755</v>
      </c>
      <c r="G205" s="112"/>
      <c r="H205" s="111"/>
      <c r="I205" s="447">
        <f>+SUM(START:END!I205)</f>
        <v>50085.638292562755</v>
      </c>
      <c r="J205" s="110"/>
      <c r="K205" s="111"/>
      <c r="L205" s="447">
        <f>+SUM(START:END!L205)</f>
        <v>52095.700000000004</v>
      </c>
      <c r="M205" s="113"/>
      <c r="N205" s="115">
        <f t="shared" si="85"/>
        <v>2010.0617074372494</v>
      </c>
      <c r="O205" s="110"/>
      <c r="P205" s="111"/>
      <c r="Q205" s="447">
        <f>+SUM(START:END!Q205)</f>
        <v>43850.39</v>
      </c>
      <c r="R205" s="113"/>
      <c r="S205" s="116">
        <f t="shared" si="86"/>
        <v>8245.3100000000049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9"/>
        <v>ServiceBénéfices marginaux</v>
      </c>
      <c r="B206" s="12" t="s">
        <v>84</v>
      </c>
      <c r="C206" s="108" t="s">
        <v>48</v>
      </c>
      <c r="D206" s="82"/>
      <c r="E206" s="14"/>
      <c r="F206" s="445">
        <f>+SUM(START:END!F206)</f>
        <v>35894.70744300331</v>
      </c>
      <c r="G206" s="84"/>
      <c r="H206" s="457"/>
      <c r="I206" s="435">
        <f>+SUM(START:END!I206)</f>
        <v>35894.70744300331</v>
      </c>
      <c r="J206" s="82"/>
      <c r="K206" s="14"/>
      <c r="L206" s="445">
        <f>+SUM(START:END!L206)</f>
        <v>37335.240000000005</v>
      </c>
      <c r="M206" s="42"/>
      <c r="N206" s="60">
        <f t="shared" si="85"/>
        <v>1440.5325569966953</v>
      </c>
      <c r="O206" s="82"/>
      <c r="P206" s="14"/>
      <c r="Q206" s="445">
        <f>+SUM(START:END!Q206)</f>
        <v>28773.759999999995</v>
      </c>
      <c r="R206" s="42"/>
      <c r="S206" s="86">
        <f t="shared" si="86"/>
        <v>8561.4800000000105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9"/>
        <v>ServiceCsst</v>
      </c>
      <c r="B207" s="12" t="s">
        <v>84</v>
      </c>
      <c r="C207" s="108" t="s">
        <v>49</v>
      </c>
      <c r="D207" s="82"/>
      <c r="E207" s="14"/>
      <c r="F207" s="445">
        <f>+SUM(START:END!F207)</f>
        <v>8347.6063820937925</v>
      </c>
      <c r="G207" s="84"/>
      <c r="H207" s="457"/>
      <c r="I207" s="435">
        <f>+SUM(START:END!I207)</f>
        <v>8347.6063820937925</v>
      </c>
      <c r="J207" s="82"/>
      <c r="K207" s="14"/>
      <c r="L207" s="445">
        <f>+SUM(START:END!L207)</f>
        <v>8682.6200000000008</v>
      </c>
      <c r="M207" s="42"/>
      <c r="N207" s="60">
        <f t="shared" si="85"/>
        <v>335.01361790620831</v>
      </c>
      <c r="O207" s="82"/>
      <c r="P207" s="14"/>
      <c r="Q207" s="445">
        <f>+SUM(START:END!Q207)</f>
        <v>10050.349999999999</v>
      </c>
      <c r="R207" s="42"/>
      <c r="S207" s="86">
        <f t="shared" si="86"/>
        <v>-1367.7299999999977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9"/>
        <v>Service[...]</v>
      </c>
      <c r="B208" s="12" t="s">
        <v>84</v>
      </c>
      <c r="C208" s="30" t="s">
        <v>21</v>
      </c>
      <c r="D208" s="89"/>
      <c r="E208" s="117"/>
      <c r="F208" s="445">
        <f>+SUM(START:END!F208)</f>
        <v>0</v>
      </c>
      <c r="G208" s="91"/>
      <c r="H208" s="117"/>
      <c r="I208" s="435">
        <f>+SUM(START:END!I208)</f>
        <v>0</v>
      </c>
      <c r="J208" s="89"/>
      <c r="K208" s="117"/>
      <c r="L208" s="445">
        <f>+SUM(START:END!L208)</f>
        <v>0</v>
      </c>
      <c r="M208" s="24"/>
      <c r="N208" s="94">
        <f t="shared" si="85"/>
        <v>0</v>
      </c>
      <c r="O208" s="89"/>
      <c r="P208" s="117"/>
      <c r="Q208" s="445">
        <f>+SUM(START:END!Q208)</f>
        <v>0</v>
      </c>
      <c r="R208" s="24"/>
      <c r="S208" s="95">
        <f t="shared" si="8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9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0.57385873716356539</v>
      </c>
      <c r="F209" s="105">
        <f>+SUM(F197:F208)</f>
        <v>337909.42951491225</v>
      </c>
      <c r="G209" s="103" t="s">
        <v>98</v>
      </c>
      <c r="H209" s="101">
        <f>I209/I$193</f>
        <v>0.57385873716356539</v>
      </c>
      <c r="I209" s="102">
        <f>+SUM(I197:I208)</f>
        <v>337909.42951491225</v>
      </c>
      <c r="J209" s="100" t="s">
        <v>98</v>
      </c>
      <c r="K209" s="101">
        <f>L209/L$193</f>
        <v>0.55544326114642495</v>
      </c>
      <c r="L209" s="102">
        <f>+SUM(L197:L208)</f>
        <v>314541.51999999996</v>
      </c>
      <c r="M209" s="154"/>
      <c r="N209" s="119">
        <f t="shared" si="85"/>
        <v>-23367.909514912288</v>
      </c>
      <c r="O209" s="100" t="s">
        <v>98</v>
      </c>
      <c r="P209" s="101">
        <f>Q209/Q$193</f>
        <v>0.49311564313190764</v>
      </c>
      <c r="Q209" s="102">
        <f>+SUM(Q197:Q208)</f>
        <v>314660.45</v>
      </c>
      <c r="R209" s="154"/>
      <c r="S209" s="120">
        <f t="shared" si="86"/>
        <v>-118.93000000005122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9"/>
        <v>ServicePublicité 2</v>
      </c>
      <c r="B210" s="12" t="s">
        <v>84</v>
      </c>
      <c r="C210" s="30" t="s">
        <v>51</v>
      </c>
      <c r="D210" s="82"/>
      <c r="E210" s="14"/>
      <c r="F210" s="31">
        <f>+SUM(START:END!F210)</f>
        <v>21219.575000000001</v>
      </c>
      <c r="G210" s="84"/>
      <c r="H210" s="457"/>
      <c r="I210" s="34">
        <f>+SUM(START:END!I210)</f>
        <v>21219.575000000001</v>
      </c>
      <c r="J210" s="82"/>
      <c r="K210" s="14"/>
      <c r="L210" s="31">
        <f>+SUM(START:END!L210)</f>
        <v>18121.89</v>
      </c>
      <c r="M210" s="42"/>
      <c r="N210" s="60">
        <f t="shared" si="85"/>
        <v>-3097.6850000000013</v>
      </c>
      <c r="O210" s="82"/>
      <c r="P210" s="14"/>
      <c r="Q210" s="31">
        <f>+SUM(START:END!Q210)</f>
        <v>36470.85</v>
      </c>
      <c r="R210" s="42"/>
      <c r="S210" s="86">
        <f t="shared" si="86"/>
        <v>-18348.96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9"/>
        <v>ServiceService gratuit 2</v>
      </c>
      <c r="B211" s="12" t="s">
        <v>84</v>
      </c>
      <c r="C211" s="30" t="s">
        <v>52</v>
      </c>
      <c r="D211" s="82"/>
      <c r="E211" s="14"/>
      <c r="F211" s="31">
        <f>+SUM(START:END!F211)</f>
        <v>10002.865274280874</v>
      </c>
      <c r="G211" s="84"/>
      <c r="H211" s="457"/>
      <c r="I211" s="34">
        <f>+SUM(START:END!I211)</f>
        <v>10002.865274280874</v>
      </c>
      <c r="J211" s="82"/>
      <c r="K211" s="14"/>
      <c r="L211" s="31">
        <f>+SUM(START:END!L211)</f>
        <v>10930.14</v>
      </c>
      <c r="M211" s="42"/>
      <c r="N211" s="60">
        <f t="shared" si="85"/>
        <v>927.27472571912585</v>
      </c>
      <c r="O211" s="82"/>
      <c r="P211" s="14"/>
      <c r="Q211" s="31">
        <f>+SUM(START:END!Q211)</f>
        <v>9083.6</v>
      </c>
      <c r="R211" s="42"/>
      <c r="S211" s="86">
        <f t="shared" si="86"/>
        <v>1846.5399999999991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9"/>
        <v>ServiceFrais véhicules de cie</v>
      </c>
      <c r="B212" s="12" t="s">
        <v>84</v>
      </c>
      <c r="C212" s="88" t="s">
        <v>53</v>
      </c>
      <c r="D212" s="89"/>
      <c r="E212" s="117"/>
      <c r="F212" s="26">
        <f>+SUM(START:END!F212)</f>
        <v>58892.240000000005</v>
      </c>
      <c r="G212" s="91"/>
      <c r="H212" s="117"/>
      <c r="I212" s="23">
        <f>+SUM(START:END!I212)</f>
        <v>58892.240000000005</v>
      </c>
      <c r="J212" s="89"/>
      <c r="K212" s="117"/>
      <c r="L212" s="23">
        <f>+SUM(START:END!L212)</f>
        <v>45670.400000000001</v>
      </c>
      <c r="M212" s="24"/>
      <c r="N212" s="94">
        <f t="shared" si="85"/>
        <v>-13221.840000000004</v>
      </c>
      <c r="O212" s="89"/>
      <c r="P212" s="117"/>
      <c r="Q212" s="23">
        <f>+SUM(START:END!Q212)</f>
        <v>45225.3</v>
      </c>
      <c r="R212" s="24"/>
      <c r="S212" s="95">
        <f t="shared" si="86"/>
        <v>445.09999999999854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9"/>
        <v>ServiceInformatique</v>
      </c>
      <c r="B213" s="12" t="s">
        <v>84</v>
      </c>
      <c r="C213" s="30" t="s">
        <v>54</v>
      </c>
      <c r="D213" s="82"/>
      <c r="E213" s="14"/>
      <c r="F213" s="31">
        <f>+SUM(START:END!F213)</f>
        <v>13276.641599999999</v>
      </c>
      <c r="G213" s="84"/>
      <c r="H213" s="457"/>
      <c r="I213" s="34">
        <f>+SUM(START:END!I213)</f>
        <v>13276.641599999999</v>
      </c>
      <c r="J213" s="82"/>
      <c r="K213" s="14"/>
      <c r="L213" s="31">
        <f>+SUM(START:END!L213)</f>
        <v>11256.460000000001</v>
      </c>
      <c r="M213" s="42"/>
      <c r="N213" s="60">
        <f t="shared" si="85"/>
        <v>-2020.1815999999981</v>
      </c>
      <c r="O213" s="82"/>
      <c r="P213" s="14"/>
      <c r="Q213" s="31">
        <f>+SUM(START:END!Q213)</f>
        <v>11527.420000000002</v>
      </c>
      <c r="R213" s="42"/>
      <c r="S213" s="86">
        <f t="shared" si="86"/>
        <v>-270.96000000000095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9"/>
        <v>ServiceFrais de déplacement</v>
      </c>
      <c r="B214" s="12" t="s">
        <v>84</v>
      </c>
      <c r="C214" s="30" t="s">
        <v>55</v>
      </c>
      <c r="D214" s="82"/>
      <c r="E214" s="14"/>
      <c r="F214" s="31">
        <f>+SUM(START:END!F214)</f>
        <v>3592.1178</v>
      </c>
      <c r="G214" s="84"/>
      <c r="H214" s="457"/>
      <c r="I214" s="34">
        <f>+SUM(START:END!I214)</f>
        <v>3592.1178</v>
      </c>
      <c r="J214" s="82"/>
      <c r="K214" s="14"/>
      <c r="L214" s="31">
        <f>+SUM(START:END!L214)</f>
        <v>1411.88</v>
      </c>
      <c r="M214" s="42"/>
      <c r="N214" s="60">
        <f t="shared" si="85"/>
        <v>-2180.2377999999999</v>
      </c>
      <c r="O214" s="82"/>
      <c r="P214" s="14"/>
      <c r="Q214" s="31">
        <f>+SUM(START:END!Q214)</f>
        <v>4375.4400000000005</v>
      </c>
      <c r="R214" s="42"/>
      <c r="S214" s="86">
        <f t="shared" si="86"/>
        <v>-2963.5600000000004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9"/>
        <v>ServiceServices extérieurs</v>
      </c>
      <c r="B215" s="12" t="s">
        <v>84</v>
      </c>
      <c r="C215" s="88" t="s">
        <v>56</v>
      </c>
      <c r="D215" s="89"/>
      <c r="E215" s="117"/>
      <c r="F215" s="26">
        <f>+SUM(START:END!F215)</f>
        <v>11212.562999999998</v>
      </c>
      <c r="G215" s="91"/>
      <c r="H215" s="117"/>
      <c r="I215" s="23">
        <f>+SUM(START:END!I215)</f>
        <v>11212.562999999998</v>
      </c>
      <c r="J215" s="89"/>
      <c r="K215" s="117"/>
      <c r="L215" s="23">
        <f>+SUM(START:END!L215)</f>
        <v>8336.32</v>
      </c>
      <c r="M215" s="24"/>
      <c r="N215" s="94">
        <f t="shared" si="85"/>
        <v>-2876.2429999999986</v>
      </c>
      <c r="O215" s="89"/>
      <c r="P215" s="117"/>
      <c r="Q215" s="23">
        <f>+SUM(START:END!Q215)</f>
        <v>37100.550000000003</v>
      </c>
      <c r="R215" s="24"/>
      <c r="S215" s="95">
        <f t="shared" si="86"/>
        <v>-28764.230000000003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9"/>
        <v>ServiceFournitures d'atelier</v>
      </c>
      <c r="B216" s="12" t="s">
        <v>84</v>
      </c>
      <c r="C216" s="30" t="s">
        <v>99</v>
      </c>
      <c r="D216" s="82"/>
      <c r="E216" s="14"/>
      <c r="F216" s="31">
        <f>+SUM(START:END!F216)</f>
        <v>0</v>
      </c>
      <c r="G216" s="84"/>
      <c r="H216" s="457"/>
      <c r="I216" s="34">
        <f>+SUM(START:END!I216)</f>
        <v>0</v>
      </c>
      <c r="J216" s="82"/>
      <c r="K216" s="14"/>
      <c r="L216" s="31">
        <f>+SUM(START:END!L216)</f>
        <v>0</v>
      </c>
      <c r="M216" s="42"/>
      <c r="N216" s="60">
        <f t="shared" si="85"/>
        <v>0</v>
      </c>
      <c r="O216" s="82"/>
      <c r="P216" s="14"/>
      <c r="Q216" s="31">
        <f>+SUM(START:END!Q216)</f>
        <v>0</v>
      </c>
      <c r="R216" s="42"/>
      <c r="S216" s="86">
        <f t="shared" si="8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9"/>
        <v>ServiceFournitures autres</v>
      </c>
      <c r="B217" s="12" t="s">
        <v>84</v>
      </c>
      <c r="C217" s="30" t="s">
        <v>57</v>
      </c>
      <c r="D217" s="82"/>
      <c r="E217" s="14"/>
      <c r="F217" s="31">
        <f>+SUM(START:END!F217)</f>
        <v>1612</v>
      </c>
      <c r="G217" s="84"/>
      <c r="H217" s="457"/>
      <c r="I217" s="34">
        <f>+SUM(START:END!I217)</f>
        <v>1612</v>
      </c>
      <c r="J217" s="82"/>
      <c r="K217" s="14"/>
      <c r="L217" s="31">
        <f>+SUM(START:END!L217)</f>
        <v>2571.6799999999998</v>
      </c>
      <c r="M217" s="42"/>
      <c r="N217" s="60">
        <f t="shared" si="85"/>
        <v>959.67999999999984</v>
      </c>
      <c r="O217" s="82"/>
      <c r="P217" s="14"/>
      <c r="Q217" s="31">
        <f>+SUM(START:END!Q217)</f>
        <v>2749.59</v>
      </c>
      <c r="R217" s="42"/>
      <c r="S217" s="86">
        <f t="shared" si="86"/>
        <v>-177.91000000000031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9"/>
        <v>ServiceUniformes</v>
      </c>
      <c r="B218" s="12" t="s">
        <v>84</v>
      </c>
      <c r="C218" s="30" t="s">
        <v>58</v>
      </c>
      <c r="D218" s="82"/>
      <c r="E218" s="14"/>
      <c r="F218" s="31">
        <f>+SUM(START:END!F218)</f>
        <v>3900</v>
      </c>
      <c r="G218" s="84"/>
      <c r="H218" s="457"/>
      <c r="I218" s="34">
        <f>+SUM(START:END!I218)</f>
        <v>3900</v>
      </c>
      <c r="J218" s="82"/>
      <c r="K218" s="14"/>
      <c r="L218" s="31">
        <f>+SUM(START:END!L218)</f>
        <v>1726.8999999999999</v>
      </c>
      <c r="M218" s="42"/>
      <c r="N218" s="60">
        <f t="shared" si="85"/>
        <v>-2173.1000000000004</v>
      </c>
      <c r="O218" s="82"/>
      <c r="P218" s="14"/>
      <c r="Q218" s="31">
        <f>+SUM(START:END!Q218)</f>
        <v>3900</v>
      </c>
      <c r="R218" s="42"/>
      <c r="S218" s="86">
        <f t="shared" si="86"/>
        <v>-2173.1000000000004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9"/>
        <v>ServicePapeterie</v>
      </c>
      <c r="B219" s="12" t="s">
        <v>84</v>
      </c>
      <c r="C219" s="30" t="s">
        <v>59</v>
      </c>
      <c r="D219" s="82"/>
      <c r="E219" s="14"/>
      <c r="F219" s="31">
        <f>+SUM(START:END!F219)</f>
        <v>1569.6</v>
      </c>
      <c r="G219" s="84"/>
      <c r="H219" s="457"/>
      <c r="I219" s="34">
        <f>+SUM(START:END!I219)</f>
        <v>1569.6</v>
      </c>
      <c r="J219" s="82"/>
      <c r="K219" s="14"/>
      <c r="L219" s="31">
        <f>+SUM(START:END!L219)</f>
        <v>1442.23</v>
      </c>
      <c r="M219" s="42"/>
      <c r="N219" s="60">
        <f t="shared" si="85"/>
        <v>-127.36999999999989</v>
      </c>
      <c r="O219" s="82"/>
      <c r="P219" s="14"/>
      <c r="Q219" s="31">
        <f>+SUM(START:END!Q219)</f>
        <v>1332</v>
      </c>
      <c r="R219" s="42"/>
      <c r="S219" s="86">
        <f t="shared" si="86"/>
        <v>110.23000000000002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9"/>
        <v>ServiceTéléphone</v>
      </c>
      <c r="B220" s="12" t="s">
        <v>84</v>
      </c>
      <c r="C220" s="30" t="s">
        <v>60</v>
      </c>
      <c r="D220" s="82"/>
      <c r="E220" s="14"/>
      <c r="F220" s="31">
        <f>+SUM(START:END!F220)</f>
        <v>1383.5519999999999</v>
      </c>
      <c r="G220" s="84"/>
      <c r="H220" s="457"/>
      <c r="I220" s="34">
        <f>+SUM(START:END!I220)</f>
        <v>1383.5519999999999</v>
      </c>
      <c r="J220" s="82"/>
      <c r="K220" s="14"/>
      <c r="L220" s="31">
        <f>+SUM(START:END!L220)</f>
        <v>623.77</v>
      </c>
      <c r="M220" s="42"/>
      <c r="N220" s="60">
        <f t="shared" si="85"/>
        <v>-759.78199999999993</v>
      </c>
      <c r="O220" s="82"/>
      <c r="P220" s="14"/>
      <c r="Q220" s="31">
        <f>+SUM(START:END!Q220)</f>
        <v>1633.1799999999998</v>
      </c>
      <c r="R220" s="42"/>
      <c r="S220" s="86">
        <f t="shared" si="86"/>
        <v>-1009.4099999999999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9"/>
        <v>ServiceFrais postaux</v>
      </c>
      <c r="B221" s="12" t="s">
        <v>84</v>
      </c>
      <c r="C221" s="30" t="s">
        <v>61</v>
      </c>
      <c r="D221" s="82"/>
      <c r="E221" s="14"/>
      <c r="F221" s="31">
        <f>+SUM(START:END!F221)</f>
        <v>622.79999999999995</v>
      </c>
      <c r="G221" s="84"/>
      <c r="H221" s="457"/>
      <c r="I221" s="34">
        <f>+SUM(START:END!I221)</f>
        <v>622.79999999999995</v>
      </c>
      <c r="J221" s="82"/>
      <c r="K221" s="14"/>
      <c r="L221" s="31">
        <f>+SUM(START:END!L221)</f>
        <v>364.56</v>
      </c>
      <c r="M221" s="42"/>
      <c r="N221" s="60">
        <f t="shared" si="85"/>
        <v>-258.23999999999995</v>
      </c>
      <c r="O221" s="82"/>
      <c r="P221" s="14"/>
      <c r="Q221" s="31">
        <f>+SUM(START:END!Q221)</f>
        <v>233.14000000000001</v>
      </c>
      <c r="R221" s="42"/>
      <c r="S221" s="86">
        <f t="shared" si="86"/>
        <v>131.41999999999999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9"/>
        <v>ServiceDivers</v>
      </c>
      <c r="B222" s="12" t="s">
        <v>84</v>
      </c>
      <c r="C222" s="30" t="s">
        <v>62</v>
      </c>
      <c r="D222" s="82"/>
      <c r="E222" s="14"/>
      <c r="F222" s="31">
        <f>+SUM(START:END!F222)</f>
        <v>2885.5199999999995</v>
      </c>
      <c r="G222" s="84"/>
      <c r="H222" s="457"/>
      <c r="I222" s="34">
        <f>+SUM(START:END!I222)</f>
        <v>2885.5199999999995</v>
      </c>
      <c r="J222" s="82"/>
      <c r="K222" s="14"/>
      <c r="L222" s="31">
        <f>+SUM(START:END!L222)</f>
        <v>1127.56</v>
      </c>
      <c r="M222" s="42"/>
      <c r="N222" s="60">
        <f t="shared" si="85"/>
        <v>-1757.9599999999996</v>
      </c>
      <c r="O222" s="82"/>
      <c r="P222" s="14"/>
      <c r="Q222" s="31">
        <f>+SUM(START:END!Q222)</f>
        <v>3813.68</v>
      </c>
      <c r="R222" s="42"/>
      <c r="S222" s="86">
        <f t="shared" si="86"/>
        <v>-2686.12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9"/>
        <v>ServiceFormation</v>
      </c>
      <c r="B223" s="12" t="s">
        <v>84</v>
      </c>
      <c r="C223" s="30" t="s">
        <v>63</v>
      </c>
      <c r="D223" s="82"/>
      <c r="E223" s="14"/>
      <c r="F223" s="31">
        <f>+SUM(START:END!F223)</f>
        <v>4173.78</v>
      </c>
      <c r="G223" s="84"/>
      <c r="H223" s="457"/>
      <c r="I223" s="34">
        <f>+SUM(START:END!I223)</f>
        <v>4173.78</v>
      </c>
      <c r="J223" s="82"/>
      <c r="K223" s="14"/>
      <c r="L223" s="31">
        <f>+SUM(START:END!L223)</f>
        <v>3703.26</v>
      </c>
      <c r="M223" s="42"/>
      <c r="N223" s="60">
        <f t="shared" si="85"/>
        <v>-470.51999999999953</v>
      </c>
      <c r="O223" s="82"/>
      <c r="P223" s="14"/>
      <c r="Q223" s="31">
        <f>+SUM(START:END!Q223)</f>
        <v>8360.01</v>
      </c>
      <c r="R223" s="42"/>
      <c r="S223" s="86">
        <f t="shared" si="86"/>
        <v>-4656.75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9"/>
        <v>ServiceFrais bancaires</v>
      </c>
      <c r="B224" s="12" t="s">
        <v>84</v>
      </c>
      <c r="C224" s="30" t="s">
        <v>64</v>
      </c>
      <c r="D224" s="82"/>
      <c r="E224" s="14"/>
      <c r="F224" s="31">
        <f>+SUM(START:END!F224)</f>
        <v>7576.3735468671939</v>
      </c>
      <c r="G224" s="84"/>
      <c r="H224" s="457"/>
      <c r="I224" s="34">
        <f>+SUM(START:END!I224)</f>
        <v>7576.3735468671939</v>
      </c>
      <c r="J224" s="82"/>
      <c r="K224" s="14"/>
      <c r="L224" s="31">
        <f>+SUM(START:END!L224)</f>
        <v>4906.43325</v>
      </c>
      <c r="M224" s="42"/>
      <c r="N224" s="60">
        <f t="shared" si="85"/>
        <v>-2669.9402968671939</v>
      </c>
      <c r="O224" s="82"/>
      <c r="P224" s="14"/>
      <c r="Q224" s="31">
        <f>+SUM(START:END!Q224)</f>
        <v>6490.4400000000005</v>
      </c>
      <c r="R224" s="42"/>
      <c r="S224" s="86">
        <f t="shared" si="86"/>
        <v>-1584.0067500000005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9"/>
        <v>Service[...]</v>
      </c>
      <c r="B225" s="12" t="s">
        <v>84</v>
      </c>
      <c r="C225" s="30" t="s">
        <v>21</v>
      </c>
      <c r="D225" s="82"/>
      <c r="E225" s="14"/>
      <c r="F225" s="31">
        <f>+SUM(START:END!F225)</f>
        <v>0</v>
      </c>
      <c r="G225" s="84"/>
      <c r="H225" s="457"/>
      <c r="I225" s="34">
        <f>+SUM(START:END!I225)</f>
        <v>0</v>
      </c>
      <c r="J225" s="82"/>
      <c r="K225" s="14"/>
      <c r="L225" s="31">
        <f>+SUM(START:END!L225)</f>
        <v>0</v>
      </c>
      <c r="M225" s="42"/>
      <c r="N225" s="60">
        <f t="shared" si="85"/>
        <v>0</v>
      </c>
      <c r="O225" s="82"/>
      <c r="P225" s="14"/>
      <c r="Q225" s="31">
        <f>+SUM(START:END!Q225)</f>
        <v>0</v>
      </c>
      <c r="R225" s="42"/>
      <c r="S225" s="86">
        <f t="shared" si="8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+SUM(START:END!F226)</f>
        <v>0</v>
      </c>
      <c r="G226" s="84"/>
      <c r="H226" s="457"/>
      <c r="I226" s="34">
        <f>+SUM(START:END!I226)</f>
        <v>0</v>
      </c>
      <c r="J226" s="82"/>
      <c r="K226" s="14"/>
      <c r="L226" s="31">
        <f>+SUM(START:END!L226)</f>
        <v>0</v>
      </c>
      <c r="M226" s="42"/>
      <c r="N226" s="60">
        <f t="shared" si="85"/>
        <v>0</v>
      </c>
      <c r="O226" s="82"/>
      <c r="P226" s="14"/>
      <c r="Q226" s="31">
        <f>+SUM(START:END!Q226)</f>
        <v>0</v>
      </c>
      <c r="R226" s="42"/>
      <c r="S226" s="86">
        <f t="shared" si="8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9"/>
        <v>Service[...]</v>
      </c>
      <c r="B227" s="12" t="s">
        <v>84</v>
      </c>
      <c r="C227" s="30" t="s">
        <v>21</v>
      </c>
      <c r="D227" s="82"/>
      <c r="E227" s="14"/>
      <c r="F227" s="31">
        <f>+SUM(START:END!F227)</f>
        <v>0</v>
      </c>
      <c r="G227" s="84"/>
      <c r="H227" s="457"/>
      <c r="I227" s="34">
        <f>+SUM(START:END!I227)</f>
        <v>0</v>
      </c>
      <c r="J227" s="82"/>
      <c r="K227" s="14"/>
      <c r="L227" s="31">
        <f>+SUM(START:END!L227)</f>
        <v>0</v>
      </c>
      <c r="M227" s="42"/>
      <c r="N227" s="60">
        <f t="shared" si="85"/>
        <v>0</v>
      </c>
      <c r="O227" s="82"/>
      <c r="P227" s="14"/>
      <c r="Q227" s="31">
        <f>+SUM(START:END!Q227)</f>
        <v>0</v>
      </c>
      <c r="R227" s="42"/>
      <c r="S227" s="86">
        <f t="shared" si="8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0.2410167089643665</v>
      </c>
      <c r="F228" s="105">
        <f>+SUM(F210:F227)</f>
        <v>141919.62822114807</v>
      </c>
      <c r="G228" s="103" t="s">
        <v>98</v>
      </c>
      <c r="H228" s="101">
        <f>I228/I$193</f>
        <v>0.2410167089643665</v>
      </c>
      <c r="I228" s="102">
        <f>+SUM(I210:I227)</f>
        <v>141919.62822114807</v>
      </c>
      <c r="J228" s="100" t="s">
        <v>98</v>
      </c>
      <c r="K228" s="101">
        <f>L228/L$193</f>
        <v>0.19812047139518113</v>
      </c>
      <c r="L228" s="102">
        <f>+SUM(L210:L227)</f>
        <v>112193.48324999998</v>
      </c>
      <c r="M228" s="106"/>
      <c r="N228" s="102">
        <f t="shared" si="85"/>
        <v>-29726.144971148096</v>
      </c>
      <c r="O228" s="103" t="s">
        <v>98</v>
      </c>
      <c r="P228" s="101">
        <f>Q228/Q$193</f>
        <v>0.27000996902070362</v>
      </c>
      <c r="Q228" s="102">
        <f>+SUM(Q210:Q227)</f>
        <v>172295.2</v>
      </c>
      <c r="R228" s="106"/>
      <c r="S228" s="107">
        <f t="shared" si="86"/>
        <v>-60101.716750000036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450"/>
      <c r="G229" s="91"/>
      <c r="H229" s="117"/>
      <c r="I229" s="60"/>
      <c r="J229" s="117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0.81487544612793195</v>
      </c>
      <c r="F230" s="105">
        <f>F209+F228</f>
        <v>479829.05773606035</v>
      </c>
      <c r="G230" s="103" t="s">
        <v>40</v>
      </c>
      <c r="H230" s="101">
        <f>I230/I$193</f>
        <v>0.81487544612793195</v>
      </c>
      <c r="I230" s="102">
        <f>I209+I228</f>
        <v>479829.05773606035</v>
      </c>
      <c r="J230" s="100" t="s">
        <v>40</v>
      </c>
      <c r="K230" s="101">
        <f>L230/L$193</f>
        <v>0.75356373254160613</v>
      </c>
      <c r="L230" s="102">
        <f>L209+L228</f>
        <v>426735.00324999995</v>
      </c>
      <c r="M230" s="106"/>
      <c r="N230" s="119">
        <f t="shared" ref="N230:N232" si="87">L230-I230</f>
        <v>-53094.054486060399</v>
      </c>
      <c r="O230" s="103" t="s">
        <v>40</v>
      </c>
      <c r="P230" s="101">
        <f>Q230/Q$193</f>
        <v>0.76312561215261121</v>
      </c>
      <c r="Q230" s="102">
        <f>Q209+Q228</f>
        <v>486955.65</v>
      </c>
      <c r="R230" s="106"/>
      <c r="S230" s="120">
        <f>L230-Q230</f>
        <v>-60220.646750000073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450"/>
      <c r="G231" s="84"/>
      <c r="H231" s="457"/>
      <c r="I231" s="60"/>
      <c r="J231" s="457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456">
        <f>F193-F230</f>
        <v>109008.24251157686</v>
      </c>
      <c r="G232" s="160"/>
      <c r="H232" s="131"/>
      <c r="I232" s="133">
        <f>I193-I230</f>
        <v>109008.24251157686</v>
      </c>
      <c r="J232" s="132"/>
      <c r="K232" s="132"/>
      <c r="L232" s="133">
        <f>L193-L230</f>
        <v>139554.19674999989</v>
      </c>
      <c r="M232" s="161"/>
      <c r="N232" s="133">
        <f t="shared" si="87"/>
        <v>30545.95423842303</v>
      </c>
      <c r="O232" s="161"/>
      <c r="P232" s="132"/>
      <c r="Q232" s="133">
        <f>Q193-Q230</f>
        <v>151151.16000000003</v>
      </c>
      <c r="R232" s="161"/>
      <c r="S232" s="135">
        <f>L232-Q232</f>
        <v>-11596.963250000146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 xml:space="preserve">Réalisé  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19" t="s">
        <v>5</v>
      </c>
      <c r="E237" s="520"/>
      <c r="F237" s="520"/>
      <c r="G237" s="526" t="s">
        <v>75</v>
      </c>
      <c r="H237" s="520"/>
      <c r="I237" s="521"/>
      <c r="J237" s="522" t="s">
        <v>7</v>
      </c>
      <c r="K237" s="520"/>
      <c r="L237" s="521"/>
      <c r="M237" s="522" t="s">
        <v>8</v>
      </c>
      <c r="N237" s="521"/>
      <c r="O237" s="519" t="s">
        <v>9</v>
      </c>
      <c r="P237" s="520"/>
      <c r="Q237" s="521"/>
      <c r="R237" s="522" t="s">
        <v>10</v>
      </c>
      <c r="S237" s="523"/>
      <c r="T237" s="156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8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448" t="s">
        <v>13</v>
      </c>
      <c r="G238" s="458" t="s">
        <v>41</v>
      </c>
      <c r="H238" s="448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8"/>
        <v>Carrosserie</v>
      </c>
      <c r="B239" s="12" t="s">
        <v>100</v>
      </c>
      <c r="C239" s="30"/>
      <c r="D239" s="81"/>
      <c r="E239" s="81"/>
      <c r="F239" s="448"/>
      <c r="G239" s="141"/>
      <c r="H239" s="81"/>
      <c r="I239" s="448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480"/>
      <c r="W239" s="480"/>
      <c r="X239" s="480"/>
      <c r="Y239" s="480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8"/>
        <v>CarrosserieM/O Sous-traitement</v>
      </c>
      <c r="B240" s="12" t="s">
        <v>100</v>
      </c>
      <c r="C240" s="30" t="s">
        <v>101</v>
      </c>
      <c r="D240" s="484">
        <f>+SUM(START:END!D240)</f>
        <v>0</v>
      </c>
      <c r="E240" s="83">
        <f>+SUM(START:END!E240)</f>
        <v>266670.03414866177</v>
      </c>
      <c r="F240" s="83">
        <f>+SUM(START:END!F240)</f>
        <v>60757.523996573473</v>
      </c>
      <c r="G240" s="483">
        <f>+SUM(START:END!G240)</f>
        <v>0</v>
      </c>
      <c r="H240" s="83">
        <f>+SUM(START:END!H240)</f>
        <v>266670.03414866177</v>
      </c>
      <c r="I240" s="83">
        <f>+SUM(START:END!I240)</f>
        <v>60757.523996573473</v>
      </c>
      <c r="J240" s="61">
        <f>+SUM(START:END!J240)</f>
        <v>175</v>
      </c>
      <c r="K240" s="31">
        <f>+SUM(START:END!K240)</f>
        <v>235030.7</v>
      </c>
      <c r="L240" s="34">
        <f>+SUM(START:END!L240)</f>
        <v>49968.869999999995</v>
      </c>
      <c r="M240" s="164">
        <f>IFERROR((K240-H240)/H240,0)</f>
        <v>-0.11864600478891316</v>
      </c>
      <c r="N240" s="60">
        <f>L240-I240</f>
        <v>-10788.653996573477</v>
      </c>
      <c r="O240" s="61">
        <f>+SUM(START:END!O240)</f>
        <v>313</v>
      </c>
      <c r="P240" s="31">
        <f>+SUM(START:END!P240)</f>
        <v>363769.07999999996</v>
      </c>
      <c r="Q240" s="34">
        <f>+SUM(START:END!Q240)</f>
        <v>81618.26999999999</v>
      </c>
      <c r="R240" s="164">
        <f>IF(O240=0,0,J240/O240)</f>
        <v>0.5591054313099042</v>
      </c>
      <c r="S240" s="86">
        <f>L240-Q240</f>
        <v>-31649.399999999994</v>
      </c>
      <c r="T240" s="81"/>
      <c r="U240" s="14"/>
      <c r="V240" s="480">
        <f>+SUM(START:END!D240)-D240</f>
        <v>0</v>
      </c>
      <c r="W240" s="480">
        <f>+SUM(START:END!G240)-G240</f>
        <v>0</v>
      </c>
      <c r="X240" s="480">
        <f>+SUM(START:END!J240)-J240</f>
        <v>0</v>
      </c>
      <c r="Y240" s="480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8"/>
        <v>Carrosserie% profit / ventes</v>
      </c>
      <c r="B241" s="12" t="s">
        <v>100</v>
      </c>
      <c r="C241" s="30" t="s">
        <v>88</v>
      </c>
      <c r="D241" s="81"/>
      <c r="E241" s="150"/>
      <c r="F241" s="449">
        <f>IFERROR(F240/E240,0)</f>
        <v>0.22783783783783781</v>
      </c>
      <c r="G241" s="141"/>
      <c r="H241" s="150"/>
      <c r="I241" s="449">
        <f>IFERROR(I240/H240,0)</f>
        <v>0.22783783783783781</v>
      </c>
      <c r="J241" s="61"/>
      <c r="K241" s="14"/>
      <c r="L241" s="165">
        <f>IFERROR(L240/K240,0)</f>
        <v>0.21260571491298794</v>
      </c>
      <c r="M241" s="164"/>
      <c r="N241" s="60">
        <f>IFERROR(N240/M240,0)</f>
        <v>90931.456274215991</v>
      </c>
      <c r="O241" s="61"/>
      <c r="P241" s="14"/>
      <c r="Q241" s="165">
        <f>IFERROR(Q240/P240,0)</f>
        <v>0.22436835478155537</v>
      </c>
      <c r="R241" s="61"/>
      <c r="S241" s="86">
        <f>IFERROR(S240/R240,0)</f>
        <v>-56607.212571428558</v>
      </c>
      <c r="T241" s="81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8"/>
        <v>Carrosserie</v>
      </c>
      <c r="B242" s="12" t="s">
        <v>100</v>
      </c>
      <c r="C242" s="30"/>
      <c r="D242" s="81"/>
      <c r="E242" s="216"/>
      <c r="F242" s="216"/>
      <c r="G242" s="141"/>
      <c r="H242" s="216"/>
      <c r="I242" s="216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8"/>
        <v>CarrosserieM/O Carrosserie</v>
      </c>
      <c r="B243" s="12" t="s">
        <v>100</v>
      </c>
      <c r="C243" s="15" t="s">
        <v>102</v>
      </c>
      <c r="D243" s="455">
        <f>+SUM(START:END!D243)</f>
        <v>0</v>
      </c>
      <c r="E243" s="83">
        <f>+SUM(START:END!E243)</f>
        <v>0</v>
      </c>
      <c r="F243" s="83">
        <f>+SUM(START:END!F243)</f>
        <v>0</v>
      </c>
      <c r="G243" s="219">
        <f>+SUM(START:END!G243)</f>
        <v>0</v>
      </c>
      <c r="H243" s="83">
        <f>+SUM(START:END!H243)</f>
        <v>0</v>
      </c>
      <c r="I243" s="83">
        <f>+SUM(START:END!I243)</f>
        <v>0</v>
      </c>
      <c r="J243" s="172">
        <f>+SUM(START:END!J243)</f>
        <v>0</v>
      </c>
      <c r="K243" s="173">
        <f>+SUM(START:END!K243)</f>
        <v>0</v>
      </c>
      <c r="L243" s="114">
        <f>+SUM(START:END!L243)</f>
        <v>0</v>
      </c>
      <c r="M243" s="182" t="e">
        <f>(K243-H243)/H243</f>
        <v>#DIV/0!</v>
      </c>
      <c r="N243" s="115">
        <f>L243-I243</f>
        <v>0</v>
      </c>
      <c r="O243" s="172">
        <f>+SUM(START:END!O243)</f>
        <v>0</v>
      </c>
      <c r="P243" s="173">
        <f>+SUM(START:END!P243)</f>
        <v>0</v>
      </c>
      <c r="Q243" s="114">
        <f>+SUM(START:END!Q243)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480">
        <f>+SUM(START:END!D243)-D243</f>
        <v>0</v>
      </c>
      <c r="W243" s="480">
        <f>+SUM(START:END!G243)-G243</f>
        <v>0</v>
      </c>
      <c r="X243" s="480">
        <f>+SUM(START:END!J243)-J243</f>
        <v>0</v>
      </c>
      <c r="Y243" s="480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8"/>
        <v>Carrosserie% profit / ventes</v>
      </c>
      <c r="B244" s="12" t="s">
        <v>100</v>
      </c>
      <c r="C244" s="30" t="s">
        <v>88</v>
      </c>
      <c r="D244" s="14"/>
      <c r="E244" s="150"/>
      <c r="F244" s="449" t="e">
        <f>F243/E243</f>
        <v>#DIV/0!</v>
      </c>
      <c r="G244" s="42"/>
      <c r="H244" s="150"/>
      <c r="I244" s="449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8"/>
        <v>Carrosserie</v>
      </c>
      <c r="B245" s="12" t="s">
        <v>100</v>
      </c>
      <c r="C245" s="88"/>
      <c r="D245" s="117"/>
      <c r="E245" s="166"/>
      <c r="F245" s="228"/>
      <c r="G245" s="24"/>
      <c r="H245" s="166"/>
      <c r="I245" s="228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8"/>
        <v>CarrosserieM/O Esthétique Carr.</v>
      </c>
      <c r="B246" s="12" t="s">
        <v>100</v>
      </c>
      <c r="C246" s="15" t="s">
        <v>103</v>
      </c>
      <c r="D246" s="171">
        <f>+SUM(START:END!D246)</f>
        <v>0</v>
      </c>
      <c r="E246" s="83">
        <f>+SUM(START:END!E246)</f>
        <v>0</v>
      </c>
      <c r="F246" s="83">
        <f>+SUM(START:END!F246)</f>
        <v>0</v>
      </c>
      <c r="G246" s="172">
        <f>+SUM(START:END!G246)</f>
        <v>0</v>
      </c>
      <c r="H246" s="83">
        <f>+SUM(START:END!H246)</f>
        <v>0</v>
      </c>
      <c r="I246" s="83">
        <f>+SUM(START:END!I246)</f>
        <v>0</v>
      </c>
      <c r="J246" s="172">
        <f>+SUM(START:END!J246)</f>
        <v>0</v>
      </c>
      <c r="K246" s="31">
        <f>+SUM(START:END!K246)</f>
        <v>0</v>
      </c>
      <c r="L246" s="34">
        <f>+SUM(START:END!L246)</f>
        <v>0</v>
      </c>
      <c r="M246" s="164" t="e">
        <f>(K246-H246)/H246</f>
        <v>#DIV/0!</v>
      </c>
      <c r="N246" s="115">
        <f>L246-I246</f>
        <v>0</v>
      </c>
      <c r="O246" s="172">
        <f>+SUM(START:END!O246)</f>
        <v>0</v>
      </c>
      <c r="P246" s="31">
        <f>+SUM(START:END!P246)</f>
        <v>0</v>
      </c>
      <c r="Q246" s="34">
        <f>+SUM(START:END!Q246)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480">
        <f>+SUM(START:END!D246)-D246</f>
        <v>0</v>
      </c>
      <c r="W246" s="480">
        <f>+SUM(START:END!G246)-G246</f>
        <v>0</v>
      </c>
      <c r="X246" s="480">
        <f>+SUM(START:END!J246)-J246</f>
        <v>0</v>
      </c>
      <c r="Y246" s="480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8"/>
        <v>Carrosserie% profit / ventes</v>
      </c>
      <c r="B247" s="12" t="s">
        <v>100</v>
      </c>
      <c r="C247" s="30" t="s">
        <v>88</v>
      </c>
      <c r="D247" s="14"/>
      <c r="E247" s="14"/>
      <c r="F247" s="449" t="e">
        <f>F246/E246</f>
        <v>#DIV/0!</v>
      </c>
      <c r="G247" s="42"/>
      <c r="H247" s="14"/>
      <c r="I247" s="449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8"/>
        <v>Carrosserie</v>
      </c>
      <c r="B248" s="12" t="s">
        <v>100</v>
      </c>
      <c r="C248" s="30"/>
      <c r="D248" s="14"/>
      <c r="E248" s="14"/>
      <c r="F248" s="449"/>
      <c r="G248" s="42"/>
      <c r="H248" s="14"/>
      <c r="I248" s="449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8"/>
        <v>CarrosserieTotal Mécanique</v>
      </c>
      <c r="B249" s="12" t="s">
        <v>100</v>
      </c>
      <c r="C249" s="63" t="s">
        <v>97</v>
      </c>
      <c r="D249" s="64"/>
      <c r="E249" s="64">
        <f t="shared" ref="E249:F249" si="89">E243+E246+E240</f>
        <v>266670.03414866177</v>
      </c>
      <c r="F249" s="64">
        <f t="shared" si="89"/>
        <v>60757.523996573473</v>
      </c>
      <c r="G249" s="67"/>
      <c r="H249" s="64">
        <f t="shared" ref="H249:I249" si="90">H243+H246+H240</f>
        <v>266670.03414866177</v>
      </c>
      <c r="I249" s="64">
        <f t="shared" si="90"/>
        <v>60757.523996573473</v>
      </c>
      <c r="J249" s="67"/>
      <c r="K249" s="64">
        <f t="shared" ref="K249:L249" si="91">K243+K246+K240</f>
        <v>235030.7</v>
      </c>
      <c r="L249" s="66">
        <f t="shared" si="91"/>
        <v>49968.869999999995</v>
      </c>
      <c r="M249" s="215">
        <f>L250-I250</f>
        <v>-1.5232122924849878E-2</v>
      </c>
      <c r="N249" s="66">
        <f>L249-I249</f>
        <v>-10788.653996573477</v>
      </c>
      <c r="O249" s="67"/>
      <c r="P249" s="64">
        <f t="shared" ref="P249:Q249" si="92">P243+P246+P240</f>
        <v>363769.07999999996</v>
      </c>
      <c r="Q249" s="66">
        <f t="shared" si="92"/>
        <v>81618.26999999999</v>
      </c>
      <c r="R249" s="215">
        <f>L250-Q250</f>
        <v>-1.1762639868567432E-2</v>
      </c>
      <c r="S249" s="69">
        <f>L249-Q249</f>
        <v>-31649.399999999994</v>
      </c>
      <c r="T249" s="155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8"/>
        <v>Carrosserie</v>
      </c>
      <c r="B250" s="12" t="s">
        <v>100</v>
      </c>
      <c r="C250" s="70"/>
      <c r="D250" s="71"/>
      <c r="E250" s="71"/>
      <c r="F250" s="452">
        <f>F249/E249</f>
        <v>0.22783783783783781</v>
      </c>
      <c r="G250" s="73"/>
      <c r="H250" s="71"/>
      <c r="I250" s="452">
        <f>I249/H249</f>
        <v>0.22783783783783781</v>
      </c>
      <c r="J250" s="73"/>
      <c r="K250" s="71"/>
      <c r="L250" s="75">
        <f>IF(K249=0,0,L249/K249)</f>
        <v>0.21260571491298794</v>
      </c>
      <c r="M250" s="74"/>
      <c r="N250" s="75">
        <f>N249/I249</f>
        <v>-0.17756902004732653</v>
      </c>
      <c r="O250" s="73"/>
      <c r="P250" s="71"/>
      <c r="Q250" s="75">
        <f>IF(P249=0,0,Q249/P249)</f>
        <v>0.22436835478155537</v>
      </c>
      <c r="R250" s="74"/>
      <c r="S250" s="76">
        <f>IF(R249=0,0,S249/R249)</f>
        <v>2690671.5119770616</v>
      </c>
      <c r="T250" s="155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8"/>
        <v>Carrosserie</v>
      </c>
      <c r="B251" s="12" t="s">
        <v>100</v>
      </c>
      <c r="C251" s="30"/>
      <c r="D251" s="14"/>
      <c r="E251" s="14"/>
      <c r="F251" s="450"/>
      <c r="G251" s="42"/>
      <c r="H251" s="14"/>
      <c r="I251" s="45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8"/>
        <v>CarrosserieDEPENSES</v>
      </c>
      <c r="B252" s="12" t="s">
        <v>100</v>
      </c>
      <c r="C252" s="80" t="s">
        <v>31</v>
      </c>
      <c r="D252" s="14"/>
      <c r="E252" s="14"/>
      <c r="F252" s="450"/>
      <c r="G252" s="42"/>
      <c r="H252" s="14"/>
      <c r="I252" s="45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8"/>
        <v>CarrosserieSalaires cadres</v>
      </c>
      <c r="B253" s="12" t="s">
        <v>100</v>
      </c>
      <c r="C253" s="108" t="s">
        <v>42</v>
      </c>
      <c r="D253" s="14"/>
      <c r="E253" s="14"/>
      <c r="F253" s="31">
        <f>+SUM(START:END!F253)</f>
        <v>876.80268199233728</v>
      </c>
      <c r="G253" s="42"/>
      <c r="H253" s="14"/>
      <c r="I253" s="31">
        <f>+SUM(START:END!I253)</f>
        <v>876.80268199233728</v>
      </c>
      <c r="J253" s="42"/>
      <c r="K253" s="14"/>
      <c r="L253" s="34">
        <f>+SUM(START:END!L253)</f>
        <v>2427.36</v>
      </c>
      <c r="M253" s="42"/>
      <c r="N253" s="41"/>
      <c r="O253" s="42"/>
      <c r="P253" s="14"/>
      <c r="Q253" s="34">
        <f>+SUM(START:END!Q253)</f>
        <v>1183.1000000000001</v>
      </c>
      <c r="R253" s="42"/>
      <c r="S253" s="35">
        <f>L253-Q253</f>
        <v>1244.26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8"/>
        <v>CarrosserieSalaires commis</v>
      </c>
      <c r="B254" s="12" t="s">
        <v>100</v>
      </c>
      <c r="C254" s="109" t="s">
        <v>43</v>
      </c>
      <c r="D254" s="82"/>
      <c r="E254" s="14"/>
      <c r="F254" s="26">
        <f>+SUM(START:END!F254)</f>
        <v>1646.2334219923373</v>
      </c>
      <c r="G254" s="84"/>
      <c r="H254" s="14"/>
      <c r="I254" s="26">
        <f>+SUM(START:END!I254)</f>
        <v>1646.2334219923373</v>
      </c>
      <c r="J254" s="42"/>
      <c r="K254" s="14"/>
      <c r="L254" s="34">
        <f>+SUM(START:END!L254)</f>
        <v>1573.5500000000002</v>
      </c>
      <c r="M254" s="42"/>
      <c r="N254" s="60">
        <f t="shared" ref="N254:N283" si="93">L254-I254</f>
        <v>-72.683421992337117</v>
      </c>
      <c r="O254" s="42"/>
      <c r="P254" s="14"/>
      <c r="Q254" s="34">
        <f>+SUM(START:END!Q254)</f>
        <v>3996.84</v>
      </c>
      <c r="R254" s="42"/>
      <c r="S254" s="86">
        <f>L254-Q254</f>
        <v>-2423.29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8"/>
        <v>CarrosserieSalaires autres</v>
      </c>
      <c r="B255" s="12" t="s">
        <v>100</v>
      </c>
      <c r="C255" s="108" t="s">
        <v>44</v>
      </c>
      <c r="D255" s="110"/>
      <c r="E255" s="111"/>
      <c r="F255" s="31">
        <f>+SUM(START:END!F255)</f>
        <v>10206.583937532567</v>
      </c>
      <c r="G255" s="112"/>
      <c r="H255" s="111"/>
      <c r="I255" s="31">
        <f>+SUM(START:END!I255)</f>
        <v>10206.583937532567</v>
      </c>
      <c r="J255" s="113"/>
      <c r="K255" s="111"/>
      <c r="L255" s="114">
        <f>+SUM(START:END!L255)</f>
        <v>9106.75</v>
      </c>
      <c r="M255" s="113"/>
      <c r="N255" s="115">
        <f t="shared" si="93"/>
        <v>-1099.8339375325668</v>
      </c>
      <c r="O255" s="113"/>
      <c r="P255" s="111"/>
      <c r="Q255" s="114">
        <f>+SUM(START:END!Q255)</f>
        <v>20934.560000000001</v>
      </c>
      <c r="R255" s="113"/>
      <c r="S255" s="116">
        <f t="shared" ref="S255:S284" si="94">L255-Q255</f>
        <v>-11827.810000000001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8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+SUM(START:END!F256)</f>
        <v>10620.715057471265</v>
      </c>
      <c r="G256" s="84"/>
      <c r="H256" s="14"/>
      <c r="I256" s="31">
        <f>+SUM(START:END!I256)</f>
        <v>10620.715057471265</v>
      </c>
      <c r="J256" s="42"/>
      <c r="K256" s="14"/>
      <c r="L256" s="34">
        <f>+SUM(START:END!L256)</f>
        <v>7519.34</v>
      </c>
      <c r="M256" s="42"/>
      <c r="N256" s="60">
        <f t="shared" si="93"/>
        <v>-3101.3750574712649</v>
      </c>
      <c r="O256" s="42"/>
      <c r="P256" s="14"/>
      <c r="Q256" s="34">
        <f>+SUM(START:END!Q256)</f>
        <v>19650.82</v>
      </c>
      <c r="R256" s="42"/>
      <c r="S256" s="86">
        <f t="shared" si="94"/>
        <v>-12131.48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8"/>
        <v>Carrosserie[...]</v>
      </c>
      <c r="B257" s="12" t="s">
        <v>100</v>
      </c>
      <c r="C257" s="30" t="s">
        <v>21</v>
      </c>
      <c r="D257" s="82"/>
      <c r="E257" s="14"/>
      <c r="F257" s="31">
        <f>+SUM(START:END!F257)</f>
        <v>0</v>
      </c>
      <c r="G257" s="84"/>
      <c r="H257" s="14"/>
      <c r="I257" s="31">
        <f>+SUM(START:END!I257)</f>
        <v>0</v>
      </c>
      <c r="J257" s="42"/>
      <c r="K257" s="14"/>
      <c r="L257" s="34">
        <f>+SUM(START:END!L257)</f>
        <v>0</v>
      </c>
      <c r="M257" s="42"/>
      <c r="N257" s="60">
        <f t="shared" si="93"/>
        <v>0</v>
      </c>
      <c r="O257" s="42"/>
      <c r="P257" s="14"/>
      <c r="Q257" s="34">
        <f>+SUM(START:END!Q257)</f>
        <v>0</v>
      </c>
      <c r="R257" s="42"/>
      <c r="S257" s="86">
        <f t="shared" si="94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8"/>
        <v>Carrosserie[...]</v>
      </c>
      <c r="B258" s="12" t="s">
        <v>100</v>
      </c>
      <c r="C258" s="30" t="s">
        <v>21</v>
      </c>
      <c r="D258" s="82"/>
      <c r="E258" s="14"/>
      <c r="F258" s="31">
        <f>+SUM(START:END!F258)</f>
        <v>0</v>
      </c>
      <c r="G258" s="84"/>
      <c r="H258" s="14"/>
      <c r="I258" s="31">
        <f>+SUM(START:END!I258)</f>
        <v>0</v>
      </c>
      <c r="J258" s="42"/>
      <c r="K258" s="14"/>
      <c r="L258" s="34">
        <f>+SUM(START:END!L258)</f>
        <v>0</v>
      </c>
      <c r="M258" s="42"/>
      <c r="N258" s="60">
        <f t="shared" si="93"/>
        <v>0</v>
      </c>
      <c r="O258" s="42"/>
      <c r="P258" s="14"/>
      <c r="Q258" s="34">
        <f>+SUM(START:END!Q258)</f>
        <v>0</v>
      </c>
      <c r="R258" s="42"/>
      <c r="S258" s="86">
        <f t="shared" si="94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8"/>
        <v>Carrosserie[...]</v>
      </c>
      <c r="B259" s="12" t="s">
        <v>100</v>
      </c>
      <c r="C259" s="30" t="s">
        <v>21</v>
      </c>
      <c r="D259" s="82"/>
      <c r="E259" s="14"/>
      <c r="F259" s="31">
        <f>+SUM(START:END!F259)</f>
        <v>0</v>
      </c>
      <c r="G259" s="84"/>
      <c r="H259" s="14"/>
      <c r="I259" s="31">
        <f>+SUM(START:END!I259)</f>
        <v>0</v>
      </c>
      <c r="J259" s="42"/>
      <c r="K259" s="14"/>
      <c r="L259" s="34">
        <f>+SUM(START:END!L259)</f>
        <v>0</v>
      </c>
      <c r="M259" s="42"/>
      <c r="N259" s="60">
        <f t="shared" si="93"/>
        <v>0</v>
      </c>
      <c r="O259" s="42"/>
      <c r="P259" s="14"/>
      <c r="Q259" s="34">
        <f>+SUM(START:END!Q259)</f>
        <v>0</v>
      </c>
      <c r="R259" s="42"/>
      <c r="S259" s="86">
        <f t="shared" si="94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8"/>
        <v>CarrosserieSalaires en absences</v>
      </c>
      <c r="B260" s="12" t="s">
        <v>100</v>
      </c>
      <c r="C260" s="109" t="s">
        <v>46</v>
      </c>
      <c r="D260" s="82"/>
      <c r="E260" s="14"/>
      <c r="F260" s="26">
        <f>+SUM(START:END!F260)</f>
        <v>2802.0402118786205</v>
      </c>
      <c r="G260" s="84"/>
      <c r="H260" s="14"/>
      <c r="I260" s="26">
        <f>+SUM(START:END!I260)</f>
        <v>2802.0402118786205</v>
      </c>
      <c r="J260" s="42"/>
      <c r="K260" s="14"/>
      <c r="L260" s="34">
        <f>+SUM(START:END!L260)</f>
        <v>970.53</v>
      </c>
      <c r="M260" s="42"/>
      <c r="N260" s="60">
        <f t="shared" si="93"/>
        <v>-1831.5102118786206</v>
      </c>
      <c r="O260" s="42"/>
      <c r="P260" s="14"/>
      <c r="Q260" s="34">
        <f>+SUM(START:END!Q260)</f>
        <v>3742.08</v>
      </c>
      <c r="R260" s="42"/>
      <c r="S260" s="86">
        <f t="shared" si="94"/>
        <v>-2771.55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8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+SUM(START:END!F261)</f>
        <v>2802.0402118786205</v>
      </c>
      <c r="G261" s="112"/>
      <c r="H261" s="111"/>
      <c r="I261" s="31">
        <f>+SUM(START:END!I261)</f>
        <v>2802.0402118786205</v>
      </c>
      <c r="J261" s="113"/>
      <c r="K261" s="111"/>
      <c r="L261" s="114">
        <f>+SUM(START:END!L261)</f>
        <v>2283.27</v>
      </c>
      <c r="M261" s="113"/>
      <c r="N261" s="115">
        <f t="shared" si="93"/>
        <v>-518.77021187862056</v>
      </c>
      <c r="O261" s="113"/>
      <c r="P261" s="111"/>
      <c r="Q261" s="114">
        <f>+SUM(START:END!Q261)</f>
        <v>3708.32</v>
      </c>
      <c r="R261" s="113"/>
      <c r="S261" s="116">
        <f t="shared" si="94"/>
        <v>-1425.0500000000002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8"/>
        <v>CarrosserieBénéfices marginaux</v>
      </c>
      <c r="B262" s="12" t="s">
        <v>100</v>
      </c>
      <c r="C262" s="108" t="s">
        <v>48</v>
      </c>
      <c r="D262" s="82"/>
      <c r="E262" s="14"/>
      <c r="F262" s="31">
        <f>+SUM(START:END!F262)</f>
        <v>2008.1288185130113</v>
      </c>
      <c r="G262" s="84"/>
      <c r="H262" s="14"/>
      <c r="I262" s="31">
        <f>+SUM(START:END!I262)</f>
        <v>2008.1288185130113</v>
      </c>
      <c r="J262" s="42"/>
      <c r="K262" s="14"/>
      <c r="L262" s="34">
        <f>+SUM(START:END!L262)</f>
        <v>1636.3400000000001</v>
      </c>
      <c r="M262" s="42"/>
      <c r="N262" s="60">
        <f t="shared" si="93"/>
        <v>-371.78881851301117</v>
      </c>
      <c r="O262" s="42"/>
      <c r="P262" s="14"/>
      <c r="Q262" s="34">
        <f>+SUM(START:END!Q262)</f>
        <v>1596.9900000000002</v>
      </c>
      <c r="R262" s="42"/>
      <c r="S262" s="86">
        <f t="shared" si="94"/>
        <v>39.349999999999909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8"/>
        <v>CarrosserieCsst</v>
      </c>
      <c r="B263" s="12" t="s">
        <v>100</v>
      </c>
      <c r="C263" s="108" t="s">
        <v>49</v>
      </c>
      <c r="D263" s="82"/>
      <c r="E263" s="14"/>
      <c r="F263" s="31">
        <f>+SUM(START:END!F263)</f>
        <v>467.00670197977013</v>
      </c>
      <c r="G263" s="84"/>
      <c r="H263" s="14"/>
      <c r="I263" s="31">
        <f>+SUM(START:END!I263)</f>
        <v>467.00670197977013</v>
      </c>
      <c r="J263" s="42"/>
      <c r="K263" s="14"/>
      <c r="L263" s="34">
        <f>+SUM(START:END!L263)</f>
        <v>380.55</v>
      </c>
      <c r="M263" s="42"/>
      <c r="N263" s="60">
        <f t="shared" si="93"/>
        <v>-86.456701979770116</v>
      </c>
      <c r="O263" s="42"/>
      <c r="P263" s="14"/>
      <c r="Q263" s="34">
        <f>+SUM(START:END!Q263)</f>
        <v>828.87</v>
      </c>
      <c r="R263" s="42"/>
      <c r="S263" s="86">
        <f t="shared" si="94"/>
        <v>-448.32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8"/>
        <v>Carrosserie[...]</v>
      </c>
      <c r="B264" s="12" t="s">
        <v>100</v>
      </c>
      <c r="C264" s="30" t="s">
        <v>21</v>
      </c>
      <c r="D264" s="89"/>
      <c r="E264" s="117"/>
      <c r="F264" s="31">
        <f>+SUM(START:END!F264)</f>
        <v>0</v>
      </c>
      <c r="G264" s="91"/>
      <c r="H264" s="117"/>
      <c r="I264" s="31">
        <f>+SUM(START:END!I264)</f>
        <v>0</v>
      </c>
      <c r="J264" s="24"/>
      <c r="K264" s="117"/>
      <c r="L264" s="34">
        <f>+SUM(START:END!L264)</f>
        <v>0</v>
      </c>
      <c r="M264" s="24"/>
      <c r="N264" s="94">
        <f t="shared" si="93"/>
        <v>0</v>
      </c>
      <c r="O264" s="24"/>
      <c r="P264" s="117"/>
      <c r="Q264" s="34">
        <f>+SUM(START:END!Q264)</f>
        <v>0</v>
      </c>
      <c r="R264" s="24"/>
      <c r="S264" s="95">
        <f t="shared" si="94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8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5">
        <f>+SUM(F253:F264)</f>
        <v>31429.551043238534</v>
      </c>
      <c r="G265" s="103" t="s">
        <v>40</v>
      </c>
      <c r="H265" s="101" t="e">
        <f>I265/I$243</f>
        <v>#DIV/0!</v>
      </c>
      <c r="I265" s="105">
        <f>+SUM(I253:I264)</f>
        <v>31429.551043238534</v>
      </c>
      <c r="J265" s="103" t="s">
        <v>40</v>
      </c>
      <c r="K265" s="101">
        <f>IF(L243=0,0,L265/L$243)</f>
        <v>0</v>
      </c>
      <c r="L265" s="102">
        <f>+SUM(L253:L264)</f>
        <v>25897.69</v>
      </c>
      <c r="M265" s="154"/>
      <c r="N265" s="119">
        <f t="shared" si="93"/>
        <v>-5531.8610432385358</v>
      </c>
      <c r="O265" s="103" t="s">
        <v>40</v>
      </c>
      <c r="P265" s="101">
        <f>IF(Q243=0,0,Q265/Q$243)</f>
        <v>0</v>
      </c>
      <c r="Q265" s="102">
        <f>+SUM(Q253:Q264)</f>
        <v>55641.58</v>
      </c>
      <c r="R265" s="154"/>
      <c r="S265" s="120">
        <f t="shared" si="94"/>
        <v>-29743.890000000003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8"/>
        <v>CarrosseriePublicité 2</v>
      </c>
      <c r="B266" s="12" t="s">
        <v>100</v>
      </c>
      <c r="C266" s="221" t="s">
        <v>51</v>
      </c>
      <c r="D266" s="82"/>
      <c r="E266" s="14"/>
      <c r="F266" s="31">
        <f>+SUM(START:END!F266)</f>
        <v>0</v>
      </c>
      <c r="G266" s="84"/>
      <c r="H266" s="14"/>
      <c r="I266" s="31">
        <f>+SUM(START:END!I266)</f>
        <v>0</v>
      </c>
      <c r="J266" s="42"/>
      <c r="K266" s="14"/>
      <c r="L266" s="34">
        <f>+SUM(START:END!L266)</f>
        <v>0.33</v>
      </c>
      <c r="M266" s="42"/>
      <c r="N266" s="60">
        <f t="shared" si="93"/>
        <v>0.33</v>
      </c>
      <c r="O266" s="42"/>
      <c r="P266" s="14"/>
      <c r="Q266" s="34">
        <f>+SUM(START:END!Q266)</f>
        <v>0</v>
      </c>
      <c r="R266" s="42"/>
      <c r="S266" s="86">
        <f t="shared" si="94"/>
        <v>0.33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8"/>
        <v>CarrosserieService gratuit 2</v>
      </c>
      <c r="B267" s="12" t="s">
        <v>100</v>
      </c>
      <c r="C267" s="108" t="s">
        <v>52</v>
      </c>
      <c r="D267" s="82"/>
      <c r="E267" s="14"/>
      <c r="F267" s="31">
        <f>+SUM(START:END!F267)</f>
        <v>3391.9889967216218</v>
      </c>
      <c r="G267" s="84"/>
      <c r="H267" s="14"/>
      <c r="I267" s="31">
        <f>+SUM(START:END!I267)</f>
        <v>3391.9889967216218</v>
      </c>
      <c r="J267" s="42"/>
      <c r="K267" s="14"/>
      <c r="L267" s="34">
        <f>+SUM(START:END!L267)</f>
        <v>306.17</v>
      </c>
      <c r="M267" s="42"/>
      <c r="N267" s="60">
        <f t="shared" si="93"/>
        <v>-3085.8189967216217</v>
      </c>
      <c r="O267" s="42"/>
      <c r="P267" s="14"/>
      <c r="Q267" s="34">
        <f>+SUM(START:END!Q267)</f>
        <v>1014.6199999999999</v>
      </c>
      <c r="R267" s="42"/>
      <c r="S267" s="86">
        <f t="shared" si="94"/>
        <v>-708.44999999999982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8"/>
        <v>CarrosserieFrais véhicules de cie</v>
      </c>
      <c r="B268" s="12" t="s">
        <v>100</v>
      </c>
      <c r="C268" s="109" t="s">
        <v>53</v>
      </c>
      <c r="D268" s="89"/>
      <c r="E268" s="117"/>
      <c r="F268" s="26">
        <f>+SUM(START:END!F268)</f>
        <v>896.81999999999994</v>
      </c>
      <c r="G268" s="91"/>
      <c r="H268" s="117"/>
      <c r="I268" s="26">
        <f>+SUM(START:END!I268)</f>
        <v>896.81999999999994</v>
      </c>
      <c r="J268" s="24"/>
      <c r="K268" s="117"/>
      <c r="L268" s="34">
        <f>+SUM(START:END!L268)</f>
        <v>1827.94</v>
      </c>
      <c r="M268" s="24"/>
      <c r="N268" s="94">
        <f t="shared" si="93"/>
        <v>931.12000000000012</v>
      </c>
      <c r="O268" s="24"/>
      <c r="P268" s="117"/>
      <c r="Q268" s="34">
        <f>+SUM(START:END!Q268)</f>
        <v>5256.98</v>
      </c>
      <c r="R268" s="24"/>
      <c r="S268" s="95">
        <f t="shared" si="94"/>
        <v>-3429.0399999999995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8"/>
        <v>CarrosserieInformatique</v>
      </c>
      <c r="B269" s="12" t="s">
        <v>100</v>
      </c>
      <c r="C269" s="108" t="s">
        <v>54</v>
      </c>
      <c r="D269" s="82"/>
      <c r="E269" s="14"/>
      <c r="F269" s="31">
        <f>+SUM(START:END!F269)</f>
        <v>4309.8538000000008</v>
      </c>
      <c r="G269" s="84"/>
      <c r="H269" s="14"/>
      <c r="I269" s="31">
        <f>+SUM(START:END!I269)</f>
        <v>4309.8538000000008</v>
      </c>
      <c r="J269" s="42"/>
      <c r="K269" s="14"/>
      <c r="L269" s="114">
        <f>+SUM(START:END!L269)</f>
        <v>3920.95</v>
      </c>
      <c r="M269" s="42"/>
      <c r="N269" s="60">
        <f t="shared" si="93"/>
        <v>-388.90380000000096</v>
      </c>
      <c r="O269" s="42"/>
      <c r="P269" s="14"/>
      <c r="Q269" s="114">
        <f>+SUM(START:END!Q269)</f>
        <v>4237.07</v>
      </c>
      <c r="R269" s="42"/>
      <c r="S269" s="86">
        <f t="shared" si="94"/>
        <v>-316.11999999999989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8"/>
        <v>CarrosserieFrais de déplacement</v>
      </c>
      <c r="B270" s="12" t="s">
        <v>100</v>
      </c>
      <c r="C270" s="108" t="s">
        <v>55</v>
      </c>
      <c r="D270" s="82"/>
      <c r="E270" s="14"/>
      <c r="F270" s="31">
        <f>+SUM(START:END!F270)</f>
        <v>1047.7010250000001</v>
      </c>
      <c r="G270" s="84"/>
      <c r="H270" s="14"/>
      <c r="I270" s="31">
        <f>+SUM(START:END!I270)</f>
        <v>1047.7010250000001</v>
      </c>
      <c r="J270" s="42"/>
      <c r="K270" s="14"/>
      <c r="L270" s="34">
        <f>+SUM(START:END!L270)</f>
        <v>345.18</v>
      </c>
      <c r="M270" s="42"/>
      <c r="N270" s="60">
        <f t="shared" si="93"/>
        <v>-702.52102500000001</v>
      </c>
      <c r="O270" s="42"/>
      <c r="P270" s="14"/>
      <c r="Q270" s="34">
        <f>+SUM(START:END!Q270)</f>
        <v>1276.17</v>
      </c>
      <c r="R270" s="42"/>
      <c r="S270" s="86">
        <f t="shared" si="94"/>
        <v>-930.99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8"/>
        <v>CarrosserieServices extérieurs</v>
      </c>
      <c r="B271" s="12" t="s">
        <v>100</v>
      </c>
      <c r="C271" s="108" t="s">
        <v>56</v>
      </c>
      <c r="D271" s="89"/>
      <c r="E271" s="117"/>
      <c r="F271" s="26">
        <f>+SUM(START:END!F271)</f>
        <v>3270.3308750000001</v>
      </c>
      <c r="G271" s="91"/>
      <c r="H271" s="117"/>
      <c r="I271" s="26">
        <f>+SUM(START:END!I271)</f>
        <v>3270.3308750000001</v>
      </c>
      <c r="J271" s="24"/>
      <c r="K271" s="117"/>
      <c r="L271" s="34">
        <f>+SUM(START:END!L271)</f>
        <v>2076.7600000000002</v>
      </c>
      <c r="M271" s="24"/>
      <c r="N271" s="94">
        <f t="shared" si="93"/>
        <v>-1193.5708749999999</v>
      </c>
      <c r="O271" s="24"/>
      <c r="P271" s="117"/>
      <c r="Q271" s="34">
        <f>+SUM(START:END!Q271)</f>
        <v>2852.1899999999996</v>
      </c>
      <c r="R271" s="24"/>
      <c r="S271" s="95">
        <f t="shared" si="94"/>
        <v>-775.42999999999938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8"/>
        <v>CarrosserieFournitures d'atelier</v>
      </c>
      <c r="B272" s="12" t="s">
        <v>100</v>
      </c>
      <c r="C272" s="222" t="s">
        <v>99</v>
      </c>
      <c r="D272" s="82"/>
      <c r="E272" s="14"/>
      <c r="F272" s="31">
        <f>+SUM(START:END!F272)</f>
        <v>0</v>
      </c>
      <c r="G272" s="84"/>
      <c r="H272" s="14"/>
      <c r="I272" s="31">
        <f>+SUM(START:END!I272)</f>
        <v>0</v>
      </c>
      <c r="J272" s="42"/>
      <c r="K272" s="14"/>
      <c r="L272" s="56">
        <f>+SUM(START:END!L272)</f>
        <v>0</v>
      </c>
      <c r="M272" s="42"/>
      <c r="N272" s="60">
        <f t="shared" si="93"/>
        <v>0</v>
      </c>
      <c r="O272" s="42"/>
      <c r="P272" s="14"/>
      <c r="Q272" s="56">
        <f>+SUM(START:END!Q272)</f>
        <v>0</v>
      </c>
      <c r="R272" s="42"/>
      <c r="S272" s="86">
        <f t="shared" si="94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8"/>
        <v>CarrosserieFournitures autres</v>
      </c>
      <c r="B273" s="12" t="s">
        <v>100</v>
      </c>
      <c r="C273" s="108" t="s">
        <v>57</v>
      </c>
      <c r="D273" s="82"/>
      <c r="E273" s="14"/>
      <c r="F273" s="31">
        <f>+SUM(START:END!F273)</f>
        <v>0</v>
      </c>
      <c r="G273" s="84"/>
      <c r="H273" s="14"/>
      <c r="I273" s="31">
        <f>+SUM(START:END!I273)</f>
        <v>0</v>
      </c>
      <c r="J273" s="42"/>
      <c r="K273" s="14"/>
      <c r="L273" s="34">
        <f>+SUM(START:END!L273)</f>
        <v>122.69</v>
      </c>
      <c r="M273" s="42"/>
      <c r="N273" s="60">
        <f t="shared" si="93"/>
        <v>122.69</v>
      </c>
      <c r="O273" s="42"/>
      <c r="P273" s="14"/>
      <c r="Q273" s="34">
        <f>+SUM(START:END!Q273)</f>
        <v>0</v>
      </c>
      <c r="R273" s="42"/>
      <c r="S273" s="86">
        <f t="shared" si="94"/>
        <v>122.69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8"/>
        <v>CarrosserieUniformes</v>
      </c>
      <c r="B274" s="12" t="s">
        <v>100</v>
      </c>
      <c r="C274" s="108" t="s">
        <v>58</v>
      </c>
      <c r="D274" s="82"/>
      <c r="E274" s="14"/>
      <c r="F274" s="31">
        <f>+SUM(START:END!F274)</f>
        <v>0</v>
      </c>
      <c r="G274" s="84"/>
      <c r="H274" s="14"/>
      <c r="I274" s="31">
        <f>+SUM(START:END!I274)</f>
        <v>0</v>
      </c>
      <c r="J274" s="42"/>
      <c r="K274" s="14"/>
      <c r="L274" s="34">
        <f>+SUM(START:END!L274)</f>
        <v>0</v>
      </c>
      <c r="M274" s="42"/>
      <c r="N274" s="60">
        <f t="shared" si="93"/>
        <v>0</v>
      </c>
      <c r="O274" s="42"/>
      <c r="P274" s="14"/>
      <c r="Q274" s="34">
        <f>+SUM(START:END!Q274)</f>
        <v>0</v>
      </c>
      <c r="R274" s="42"/>
      <c r="S274" s="86">
        <f t="shared" si="94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8"/>
        <v>CarrosseriePapeterie</v>
      </c>
      <c r="B275" s="12" t="s">
        <v>100</v>
      </c>
      <c r="C275" s="108" t="s">
        <v>59</v>
      </c>
      <c r="D275" s="82"/>
      <c r="E275" s="14"/>
      <c r="F275" s="31">
        <f>+SUM(START:END!F275)</f>
        <v>457.80000000000007</v>
      </c>
      <c r="G275" s="84"/>
      <c r="H275" s="14"/>
      <c r="I275" s="31">
        <f>+SUM(START:END!I275)</f>
        <v>457.80000000000007</v>
      </c>
      <c r="J275" s="42"/>
      <c r="K275" s="14"/>
      <c r="L275" s="33">
        <f>+SUM(START:END!L275)</f>
        <v>387.21000000000004</v>
      </c>
      <c r="M275" s="42"/>
      <c r="N275" s="60">
        <f t="shared" si="93"/>
        <v>-70.590000000000032</v>
      </c>
      <c r="O275" s="42"/>
      <c r="P275" s="14"/>
      <c r="Q275" s="33">
        <f>+SUM(START:END!Q275)</f>
        <v>388.5</v>
      </c>
      <c r="R275" s="42"/>
      <c r="S275" s="86">
        <f t="shared" si="94"/>
        <v>-1.2899999999999636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8"/>
        <v>CarrosserieTéléphone</v>
      </c>
      <c r="B276" s="12" t="s">
        <v>100</v>
      </c>
      <c r="C276" s="108" t="s">
        <v>60</v>
      </c>
      <c r="D276" s="82"/>
      <c r="E276" s="14"/>
      <c r="F276" s="31">
        <f>+SUM(START:END!F276)</f>
        <v>532.91100000000006</v>
      </c>
      <c r="G276" s="84"/>
      <c r="H276" s="14"/>
      <c r="I276" s="31">
        <f>+SUM(START:END!I276)</f>
        <v>532.91100000000006</v>
      </c>
      <c r="J276" s="42"/>
      <c r="K276" s="14"/>
      <c r="L276" s="34">
        <f>+SUM(START:END!L276)</f>
        <v>113.24</v>
      </c>
      <c r="M276" s="42"/>
      <c r="N276" s="60">
        <f t="shared" si="93"/>
        <v>-419.67100000000005</v>
      </c>
      <c r="O276" s="42"/>
      <c r="P276" s="14"/>
      <c r="Q276" s="34">
        <f>+SUM(START:END!Q276)</f>
        <v>362.87</v>
      </c>
      <c r="R276" s="42"/>
      <c r="S276" s="86">
        <f t="shared" si="94"/>
        <v>-249.63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8"/>
        <v>CarrosserieFrais postaux</v>
      </c>
      <c r="B277" s="12" t="s">
        <v>100</v>
      </c>
      <c r="C277" s="108" t="s">
        <v>61</v>
      </c>
      <c r="D277" s="82"/>
      <c r="E277" s="14"/>
      <c r="F277" s="31">
        <f>+SUM(START:END!F277)</f>
        <v>181.65</v>
      </c>
      <c r="G277" s="84"/>
      <c r="H277" s="14"/>
      <c r="I277" s="31">
        <f>+SUM(START:END!I277)</f>
        <v>181.65</v>
      </c>
      <c r="J277" s="42"/>
      <c r="K277" s="14"/>
      <c r="L277" s="34">
        <f>+SUM(START:END!L277)</f>
        <v>104.68</v>
      </c>
      <c r="M277" s="42"/>
      <c r="N277" s="60">
        <f t="shared" si="93"/>
        <v>-76.97</v>
      </c>
      <c r="O277" s="42"/>
      <c r="P277" s="14"/>
      <c r="Q277" s="34">
        <f>+SUM(START:END!Q277)</f>
        <v>68</v>
      </c>
      <c r="R277" s="42"/>
      <c r="S277" s="86">
        <f t="shared" si="94"/>
        <v>36.680000000000007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8"/>
        <v>CarrosserieDivers</v>
      </c>
      <c r="B278" s="12" t="s">
        <v>100</v>
      </c>
      <c r="C278" s="108" t="s">
        <v>62</v>
      </c>
      <c r="D278" s="82"/>
      <c r="E278" s="14"/>
      <c r="F278" s="31">
        <f>+SUM(START:END!F278)</f>
        <v>754.11000000000013</v>
      </c>
      <c r="G278" s="84"/>
      <c r="H278" s="14"/>
      <c r="I278" s="31">
        <f>+SUM(START:END!I278)</f>
        <v>754.11000000000013</v>
      </c>
      <c r="J278" s="42"/>
      <c r="K278" s="14"/>
      <c r="L278" s="34">
        <f>+SUM(START:END!L278)</f>
        <v>435.68</v>
      </c>
      <c r="M278" s="42"/>
      <c r="N278" s="60">
        <f t="shared" si="93"/>
        <v>-318.43000000000012</v>
      </c>
      <c r="O278" s="42"/>
      <c r="P278" s="14"/>
      <c r="Q278" s="34">
        <f>+SUM(START:END!Q278)</f>
        <v>1112.33</v>
      </c>
      <c r="R278" s="42"/>
      <c r="S278" s="86">
        <f t="shared" si="94"/>
        <v>-676.64999999999986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8"/>
        <v>CarrosserieFormation</v>
      </c>
      <c r="B279" s="12" t="s">
        <v>100</v>
      </c>
      <c r="C279" s="108" t="s">
        <v>63</v>
      </c>
      <c r="D279" s="82"/>
      <c r="E279" s="14"/>
      <c r="F279" s="31">
        <f>+SUM(START:END!F279)</f>
        <v>123.60250000000002</v>
      </c>
      <c r="G279" s="84"/>
      <c r="H279" s="14"/>
      <c r="I279" s="31">
        <f>+SUM(START:END!I279)</f>
        <v>123.60250000000002</v>
      </c>
      <c r="J279" s="42"/>
      <c r="K279" s="14"/>
      <c r="L279" s="34">
        <f>+SUM(START:END!L279)</f>
        <v>88.600000000000009</v>
      </c>
      <c r="M279" s="42"/>
      <c r="N279" s="60">
        <f t="shared" si="93"/>
        <v>-35.002500000000012</v>
      </c>
      <c r="O279" s="42"/>
      <c r="P279" s="14"/>
      <c r="Q279" s="34">
        <f>+SUM(START:END!Q279)</f>
        <v>105</v>
      </c>
      <c r="R279" s="42"/>
      <c r="S279" s="86">
        <f t="shared" si="94"/>
        <v>-16.399999999999991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8"/>
        <v>CarrosserieFrais bancaires</v>
      </c>
      <c r="B280" s="12" t="s">
        <v>100</v>
      </c>
      <c r="C280" s="108" t="s">
        <v>64</v>
      </c>
      <c r="D280" s="82"/>
      <c r="E280" s="14"/>
      <c r="F280" s="31">
        <f>+SUM(START:END!F280)</f>
        <v>2209.7756178362652</v>
      </c>
      <c r="G280" s="84"/>
      <c r="H280" s="14"/>
      <c r="I280" s="31">
        <f>+SUM(START:END!I280)</f>
        <v>2209.7756178362652</v>
      </c>
      <c r="J280" s="42"/>
      <c r="K280" s="14"/>
      <c r="L280" s="34">
        <f>+SUM(START:END!L280)</f>
        <v>545.15924999999993</v>
      </c>
      <c r="M280" s="42"/>
      <c r="N280" s="60">
        <f t="shared" si="93"/>
        <v>-1664.6163678362652</v>
      </c>
      <c r="O280" s="42"/>
      <c r="P280" s="14"/>
      <c r="Q280" s="34">
        <f>+SUM(START:END!Q280)</f>
        <v>721.16000000000008</v>
      </c>
      <c r="R280" s="42"/>
      <c r="S280" s="86">
        <f t="shared" si="94"/>
        <v>-176.00075000000015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8"/>
        <v>Carrosserie[...]</v>
      </c>
      <c r="B281" s="12" t="s">
        <v>100</v>
      </c>
      <c r="C281" s="108" t="s">
        <v>21</v>
      </c>
      <c r="D281" s="82"/>
      <c r="E281" s="14"/>
      <c r="F281" s="31">
        <f>+SUM(START:END!F281)</f>
        <v>0</v>
      </c>
      <c r="G281" s="84"/>
      <c r="H281" s="14"/>
      <c r="I281" s="31">
        <f>+SUM(START:END!I281)</f>
        <v>0</v>
      </c>
      <c r="J281" s="42"/>
      <c r="K281" s="14"/>
      <c r="L281" s="34">
        <f>+SUM(START:END!L281)</f>
        <v>0</v>
      </c>
      <c r="M281" s="42"/>
      <c r="N281" s="60">
        <f t="shared" si="93"/>
        <v>0</v>
      </c>
      <c r="O281" s="42"/>
      <c r="P281" s="14"/>
      <c r="Q281" s="34">
        <f>+SUM(START:END!Q281)</f>
        <v>0</v>
      </c>
      <c r="R281" s="42"/>
      <c r="S281" s="86">
        <f t="shared" si="94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8"/>
        <v>Carrosserie[...]</v>
      </c>
      <c r="B282" s="12" t="s">
        <v>100</v>
      </c>
      <c r="C282" s="108" t="s">
        <v>21</v>
      </c>
      <c r="D282" s="82"/>
      <c r="E282" s="14"/>
      <c r="F282" s="31">
        <f>+SUM(START:END!F282)</f>
        <v>0</v>
      </c>
      <c r="G282" s="84"/>
      <c r="H282" s="14"/>
      <c r="I282" s="31">
        <f>+SUM(START:END!I282)</f>
        <v>0</v>
      </c>
      <c r="J282" s="42"/>
      <c r="K282" s="14"/>
      <c r="L282" s="34">
        <f>+SUM(START:END!L282)</f>
        <v>0</v>
      </c>
      <c r="M282" s="42"/>
      <c r="N282" s="60">
        <f t="shared" si="93"/>
        <v>0</v>
      </c>
      <c r="O282" s="42"/>
      <c r="P282" s="14"/>
      <c r="Q282" s="34">
        <f>+SUM(START:END!Q282)</f>
        <v>0</v>
      </c>
      <c r="R282" s="42"/>
      <c r="S282" s="86">
        <f t="shared" si="94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8"/>
        <v>Carrosserie[...]</v>
      </c>
      <c r="B283" s="12" t="s">
        <v>100</v>
      </c>
      <c r="C283" s="108" t="s">
        <v>21</v>
      </c>
      <c r="D283" s="82"/>
      <c r="E283" s="14"/>
      <c r="F283" s="31">
        <f>+SUM(START:END!F283)</f>
        <v>0</v>
      </c>
      <c r="G283" s="84"/>
      <c r="H283" s="14"/>
      <c r="I283" s="31">
        <f>+SUM(START:END!I283)</f>
        <v>0</v>
      </c>
      <c r="J283" s="42"/>
      <c r="K283" s="14"/>
      <c r="L283" s="34">
        <f>+SUM(START:END!L283)</f>
        <v>0</v>
      </c>
      <c r="M283" s="42"/>
      <c r="N283" s="60">
        <f t="shared" si="93"/>
        <v>0</v>
      </c>
      <c r="O283" s="42"/>
      <c r="P283" s="14"/>
      <c r="Q283" s="34">
        <f>+SUM(START:END!Q283)</f>
        <v>0</v>
      </c>
      <c r="R283" s="42"/>
      <c r="S283" s="86">
        <f t="shared" si="94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>
        <f>F284/F$249</f>
        <v>0.2827064482668285</v>
      </c>
      <c r="F284" s="105">
        <f>+SUM(F266:F283)</f>
        <v>17176.543814557888</v>
      </c>
      <c r="G284" s="103" t="s">
        <v>40</v>
      </c>
      <c r="H284" s="101">
        <f>I284/I$249</f>
        <v>0.2827064482668285</v>
      </c>
      <c r="I284" s="105">
        <f>+SUM(I266:I283)</f>
        <v>17176.543814557888</v>
      </c>
      <c r="J284" s="103" t="s">
        <v>40</v>
      </c>
      <c r="K284" s="101">
        <f>L284/L$249</f>
        <v>0.20561980388990189</v>
      </c>
      <c r="L284" s="102">
        <f>+SUM(L266:L283)</f>
        <v>10274.589250000001</v>
      </c>
      <c r="M284" s="106"/>
      <c r="N284" s="102">
        <f>+SUM(N266:N283)</f>
        <v>-6901.9545645578892</v>
      </c>
      <c r="O284" s="103" t="s">
        <v>40</v>
      </c>
      <c r="P284" s="101">
        <f>Q284/Q$249</f>
        <v>0.2131249535183728</v>
      </c>
      <c r="Q284" s="102">
        <f>+SUM(Q266:Q283)</f>
        <v>17394.89</v>
      </c>
      <c r="R284" s="106"/>
      <c r="S284" s="107">
        <f t="shared" si="94"/>
        <v>-7120.3007499999985</v>
      </c>
      <c r="T284" s="77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450"/>
      <c r="G285" s="91"/>
      <c r="H285" s="117"/>
      <c r="I285" s="45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>
        <f>F286/F$249</f>
        <v>0.8000012452867179</v>
      </c>
      <c r="F286" s="105">
        <f>F265+F284</f>
        <v>48606.094857796423</v>
      </c>
      <c r="G286" s="103" t="s">
        <v>40</v>
      </c>
      <c r="H286" s="101">
        <f>I286/I$249</f>
        <v>0.8000012452867179</v>
      </c>
      <c r="I286" s="105">
        <f>I265+I284</f>
        <v>48606.094857796423</v>
      </c>
      <c r="J286" s="103" t="s">
        <v>40</v>
      </c>
      <c r="K286" s="101">
        <f>L286/L$249</f>
        <v>0.7238962828256873</v>
      </c>
      <c r="L286" s="102">
        <f>L265+L284</f>
        <v>36172.27925</v>
      </c>
      <c r="M286" s="106"/>
      <c r="N286" s="119">
        <f t="shared" ref="N286:N288" si="95">L286-I286</f>
        <v>-12433.815607796423</v>
      </c>
      <c r="O286" s="103" t="s">
        <v>40</v>
      </c>
      <c r="P286" s="101">
        <f>Q286/Q$249</f>
        <v>0.8948544241381251</v>
      </c>
      <c r="Q286" s="102">
        <f>Q265+Q284</f>
        <v>73036.47</v>
      </c>
      <c r="R286" s="106"/>
      <c r="S286" s="120">
        <f>L286-Q286</f>
        <v>-36864.190750000002</v>
      </c>
      <c r="T286" s="77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450"/>
      <c r="G287" s="84"/>
      <c r="H287" s="14"/>
      <c r="I287" s="60"/>
      <c r="J287" s="42"/>
      <c r="K287" s="14"/>
      <c r="L287" s="60"/>
      <c r="M287" s="42"/>
      <c r="N287" s="60">
        <f t="shared" si="95"/>
        <v>0</v>
      </c>
      <c r="O287" s="42"/>
      <c r="P287" s="14"/>
      <c r="Q287" s="60"/>
      <c r="R287" s="42"/>
      <c r="S287" s="86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456">
        <f>F249-F286</f>
        <v>12151.42913877705</v>
      </c>
      <c r="G288" s="160"/>
      <c r="H288" s="131"/>
      <c r="I288" s="133">
        <f>I249-I286</f>
        <v>12151.42913877705</v>
      </c>
      <c r="J288" s="161"/>
      <c r="K288" s="132"/>
      <c r="L288" s="133">
        <f>L249-L286</f>
        <v>13796.590749999996</v>
      </c>
      <c r="M288" s="161"/>
      <c r="N288" s="133">
        <f t="shared" si="95"/>
        <v>1645.1616112229458</v>
      </c>
      <c r="O288" s="161"/>
      <c r="P288" s="132"/>
      <c r="Q288" s="133">
        <f>Q249-Q286</f>
        <v>8581.7999999999884</v>
      </c>
      <c r="R288" s="161"/>
      <c r="S288" s="135">
        <f>L288-Q288</f>
        <v>5214.7907500000074</v>
      </c>
      <c r="T288" s="77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 xml:space="preserve">Réalisé  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19" t="s">
        <v>5</v>
      </c>
      <c r="E292" s="520"/>
      <c r="F292" s="521"/>
      <c r="G292" s="522" t="s">
        <v>75</v>
      </c>
      <c r="H292" s="520"/>
      <c r="I292" s="521"/>
      <c r="J292" s="522" t="s">
        <v>7</v>
      </c>
      <c r="K292" s="520"/>
      <c r="L292" s="521"/>
      <c r="M292" s="522" t="s">
        <v>8</v>
      </c>
      <c r="N292" s="521"/>
      <c r="O292" s="519" t="s">
        <v>9</v>
      </c>
      <c r="P292" s="520"/>
      <c r="Q292" s="521"/>
      <c r="R292" s="522" t="s">
        <v>10</v>
      </c>
      <c r="S292" s="523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96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96"/>
        <v>PiècesPièces Ro Clients</v>
      </c>
      <c r="B294" s="12" t="s">
        <v>104</v>
      </c>
      <c r="C294" s="30" t="s">
        <v>106</v>
      </c>
      <c r="D294" s="83">
        <f>+SUM(START:END!D294)</f>
        <v>237164.61193013878</v>
      </c>
      <c r="E294" s="155">
        <f>IF(D294=0,0,F294/D294)</f>
        <v>0.35812717564768926</v>
      </c>
      <c r="F294" s="86">
        <f>+SUM(START:END!F294)</f>
        <v>84935.092634120869</v>
      </c>
      <c r="G294" s="83">
        <f>+SUM(START:END!G294)</f>
        <v>237164.61193013878</v>
      </c>
      <c r="H294" s="155">
        <f>IF(G294=0,0,I294/G294)</f>
        <v>0.35812717564768926</v>
      </c>
      <c r="I294" s="86">
        <f>+SUM(START:END!I294)</f>
        <v>84935.092634120869</v>
      </c>
      <c r="J294" s="31">
        <f>+SUM(START:END!J294)</f>
        <v>206426.86</v>
      </c>
      <c r="K294" s="155">
        <f>IF(J294=0,0,L294/J294)</f>
        <v>0.37034381087809992</v>
      </c>
      <c r="L294" s="34">
        <f>+SUM(START:END!L294)</f>
        <v>76448.91</v>
      </c>
      <c r="M294" s="164">
        <f t="shared" ref="M294:M300" si="97">(+J294-G294)/G294</f>
        <v>-0.1296051366179081</v>
      </c>
      <c r="N294" s="60">
        <f t="shared" ref="N294:N303" si="98">L294-I294</f>
        <v>-8486.1826341208653</v>
      </c>
      <c r="O294" s="31">
        <f>+SUM(START:END!O294)</f>
        <v>247282.96000000002</v>
      </c>
      <c r="P294" s="155">
        <f>IF(O294=0,0,Q294/O294)</f>
        <v>0.34427111354538953</v>
      </c>
      <c r="Q294" s="34">
        <f>+SUM(START:END!Q294)</f>
        <v>85132.380000000019</v>
      </c>
      <c r="R294" s="164">
        <f>IF(O294=0,0,(J294-O294)/O294)</f>
        <v>-0.16522003780608269</v>
      </c>
      <c r="S294" s="86">
        <f t="shared" ref="S294:S303" si="99">L294-Q294</f>
        <v>-8683.4700000000157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96"/>
        <v>PiècesPièces Ro Carrosserie</v>
      </c>
      <c r="B295" s="12" t="s">
        <v>104</v>
      </c>
      <c r="C295" s="30" t="s">
        <v>107</v>
      </c>
      <c r="D295" s="83">
        <f>+SUM(START:END!D295)</f>
        <v>116912.14911750077</v>
      </c>
      <c r="E295" s="155">
        <f t="shared" ref="E295:E302" si="100">IF(D295=0,0,F295/D295)</f>
        <v>0.27367264200070923</v>
      </c>
      <c r="F295" s="86">
        <f>+SUM(START:END!F295)</f>
        <v>31995.656730967319</v>
      </c>
      <c r="G295" s="83">
        <f>+SUM(START:END!G295)</f>
        <v>116912.14911750077</v>
      </c>
      <c r="H295" s="155">
        <f t="shared" ref="H295:H302" si="101">IF(G295=0,0,I295/G295)</f>
        <v>0.27367264200070923</v>
      </c>
      <c r="I295" s="86">
        <f>+SUM(START:END!I295)</f>
        <v>31995.656730967319</v>
      </c>
      <c r="J295" s="31">
        <f>+SUM(START:END!J295)</f>
        <v>138704.85</v>
      </c>
      <c r="K295" s="155">
        <f t="shared" ref="K295:K302" si="102">IF(J295=0,0,L295/J295)</f>
        <v>0.24860154493516265</v>
      </c>
      <c r="L295" s="34">
        <f>+SUM(START:END!L295)</f>
        <v>34482.239999999998</v>
      </c>
      <c r="M295" s="164">
        <f t="shared" si="97"/>
        <v>0.18640236320176456</v>
      </c>
      <c r="N295" s="60">
        <f t="shared" si="98"/>
        <v>2486.5832690326788</v>
      </c>
      <c r="O295" s="31">
        <f>+SUM(START:END!O295)</f>
        <v>177617.02000000002</v>
      </c>
      <c r="P295" s="155">
        <f t="shared" ref="P295:P302" si="103">IF(O295=0,0,Q295/O295)</f>
        <v>0.27087640587596834</v>
      </c>
      <c r="Q295" s="34">
        <f>+SUM(START:END!Q295)</f>
        <v>48112.259999999995</v>
      </c>
      <c r="R295" s="164">
        <f t="shared" ref="R295:R302" si="104">IF(O295=0,0,(J295-O295)/O295)</f>
        <v>-0.21907906122960519</v>
      </c>
      <c r="S295" s="86">
        <f t="shared" si="99"/>
        <v>-13630.019999999997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96"/>
        <v>PiècesP/A Garantie</v>
      </c>
      <c r="B296" s="12" t="s">
        <v>104</v>
      </c>
      <c r="C296" s="30" t="s">
        <v>108</v>
      </c>
      <c r="D296" s="83">
        <f>+SUM(START:END!D296)</f>
        <v>225037.9323560654</v>
      </c>
      <c r="E296" s="155">
        <f t="shared" si="100"/>
        <v>0.23983607715678651</v>
      </c>
      <c r="F296" s="86">
        <f>+SUM(START:END!F296)</f>
        <v>53972.214907753005</v>
      </c>
      <c r="G296" s="83">
        <f>+SUM(START:END!G296)</f>
        <v>225037.9323560654</v>
      </c>
      <c r="H296" s="155">
        <f t="shared" si="101"/>
        <v>0.23983607715678651</v>
      </c>
      <c r="I296" s="86">
        <f>+SUM(START:END!I296)</f>
        <v>53972.214907753005</v>
      </c>
      <c r="J296" s="31">
        <f>+SUM(START:END!J296)</f>
        <v>247684.75</v>
      </c>
      <c r="K296" s="155">
        <f t="shared" si="102"/>
        <v>0.23684978586691349</v>
      </c>
      <c r="L296" s="34">
        <f>+SUM(START:END!L296)</f>
        <v>58664.08</v>
      </c>
      <c r="M296" s="164">
        <f t="shared" si="97"/>
        <v>0.10063555688959032</v>
      </c>
      <c r="N296" s="60">
        <f t="shared" si="98"/>
        <v>4691.8650922469969</v>
      </c>
      <c r="O296" s="31">
        <f>+SUM(START:END!O296)</f>
        <v>273418.40000000002</v>
      </c>
      <c r="P296" s="155">
        <f t="shared" si="103"/>
        <v>0.23919191246821719</v>
      </c>
      <c r="Q296" s="34">
        <f>+SUM(START:END!Q296)</f>
        <v>65399.47</v>
      </c>
      <c r="R296" s="164">
        <f t="shared" si="104"/>
        <v>-9.4118208577038051E-2</v>
      </c>
      <c r="S296" s="86">
        <f t="shared" si="99"/>
        <v>-6735.3899999999994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96"/>
        <v>PiècesVentes Internes</v>
      </c>
      <c r="B297" s="12" t="s">
        <v>104</v>
      </c>
      <c r="C297" s="30" t="s">
        <v>109</v>
      </c>
      <c r="D297" s="83">
        <f>+SUM(START:END!D297)</f>
        <v>174105.18275639846</v>
      </c>
      <c r="E297" s="155">
        <f t="shared" si="100"/>
        <v>0.32994466198333772</v>
      </c>
      <c r="F297" s="86">
        <f>+SUM(START:END!F297)</f>
        <v>57445.075674107131</v>
      </c>
      <c r="G297" s="83">
        <f>+SUM(START:END!G297)</f>
        <v>174105.18275639846</v>
      </c>
      <c r="H297" s="155">
        <f t="shared" si="101"/>
        <v>0.32994466198333772</v>
      </c>
      <c r="I297" s="86">
        <f>+SUM(START:END!I297)</f>
        <v>57445.075674107131</v>
      </c>
      <c r="J297" s="31">
        <f>+SUM(START:END!J297)</f>
        <v>186808.57</v>
      </c>
      <c r="K297" s="155">
        <f t="shared" si="102"/>
        <v>0.30510447138479779</v>
      </c>
      <c r="L297" s="34">
        <f>+SUM(START:END!L297)</f>
        <v>56996.13</v>
      </c>
      <c r="M297" s="164">
        <f t="shared" si="97"/>
        <v>7.2963866109463621E-2</v>
      </c>
      <c r="N297" s="60">
        <f t="shared" si="98"/>
        <v>-448.94567410713353</v>
      </c>
      <c r="O297" s="31">
        <f>+SUM(START:END!O297)</f>
        <v>138276.79999999999</v>
      </c>
      <c r="P297" s="155">
        <f t="shared" si="103"/>
        <v>0.31424808789326919</v>
      </c>
      <c r="Q297" s="34">
        <f>+SUM(START:END!Q297)</f>
        <v>43453.22</v>
      </c>
      <c r="R297" s="164">
        <f t="shared" si="104"/>
        <v>0.35097550709880487</v>
      </c>
      <c r="S297" s="86">
        <f t="shared" si="99"/>
        <v>13542.909999999996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96"/>
        <v>PiècesVentes Détails</v>
      </c>
      <c r="B298" s="12" t="s">
        <v>104</v>
      </c>
      <c r="C298" s="30" t="s">
        <v>110</v>
      </c>
      <c r="D298" s="83">
        <f>+SUM(START:END!D298)</f>
        <v>39650.581944876183</v>
      </c>
      <c r="E298" s="155">
        <f t="shared" si="100"/>
        <v>0.29678579936093846</v>
      </c>
      <c r="F298" s="86">
        <f>+SUM(START:END!F298)</f>
        <v>11767.729657636472</v>
      </c>
      <c r="G298" s="83">
        <f>+SUM(START:END!G298)</f>
        <v>39650.581944876183</v>
      </c>
      <c r="H298" s="155">
        <f t="shared" si="101"/>
        <v>0.29678579936093846</v>
      </c>
      <c r="I298" s="86">
        <f>+SUM(START:END!I298)</f>
        <v>11767.729657636472</v>
      </c>
      <c r="J298" s="31">
        <f>+SUM(START:END!J298)</f>
        <v>54784.05</v>
      </c>
      <c r="K298" s="155">
        <f t="shared" si="102"/>
        <v>0.2641876604595681</v>
      </c>
      <c r="L298" s="34">
        <f>+SUM(START:END!L298)</f>
        <v>14473.270000000002</v>
      </c>
      <c r="M298" s="164">
        <f t="shared" si="97"/>
        <v>0.38167076781276427</v>
      </c>
      <c r="N298" s="60">
        <f t="shared" si="98"/>
        <v>2705.5403423635307</v>
      </c>
      <c r="O298" s="31">
        <f>+SUM(START:END!O298)</f>
        <v>45894.35</v>
      </c>
      <c r="P298" s="155">
        <f t="shared" si="103"/>
        <v>0.29852933966817274</v>
      </c>
      <c r="Q298" s="34">
        <f>+SUM(START:END!Q298)</f>
        <v>13700.810000000003</v>
      </c>
      <c r="R298" s="164">
        <f t="shared" si="104"/>
        <v>0.19369922441433432</v>
      </c>
      <c r="S298" s="86">
        <f t="shared" si="99"/>
        <v>772.45999999999913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96"/>
        <v>PiècesVentes de Gros</v>
      </c>
      <c r="B299" s="12" t="s">
        <v>104</v>
      </c>
      <c r="C299" s="30" t="s">
        <v>111</v>
      </c>
      <c r="D299" s="83">
        <f>+SUM(START:END!D299)</f>
        <v>152088.01084059713</v>
      </c>
      <c r="E299" s="155">
        <f t="shared" si="100"/>
        <v>0.19081606757663097</v>
      </c>
      <c r="F299" s="86">
        <f>+SUM(START:END!F299)</f>
        <v>29020.836154154764</v>
      </c>
      <c r="G299" s="83">
        <f>+SUM(START:END!G299)</f>
        <v>152088.01084059713</v>
      </c>
      <c r="H299" s="155">
        <f t="shared" si="101"/>
        <v>0.19081606757663097</v>
      </c>
      <c r="I299" s="86">
        <f>+SUM(START:END!I299)</f>
        <v>29020.836154154764</v>
      </c>
      <c r="J299" s="31">
        <f>+SUM(START:END!J299)</f>
        <v>121288.57</v>
      </c>
      <c r="K299" s="155">
        <f t="shared" si="102"/>
        <v>0.19581301024490597</v>
      </c>
      <c r="L299" s="34">
        <f>+SUM(START:END!L299)</f>
        <v>23749.879999999997</v>
      </c>
      <c r="M299" s="164">
        <f t="shared" si="97"/>
        <v>-0.20251064282034628</v>
      </c>
      <c r="N299" s="60">
        <f t="shared" si="98"/>
        <v>-5270.9561541547664</v>
      </c>
      <c r="O299" s="31">
        <f>+SUM(START:END!O299)</f>
        <v>161937.47999999998</v>
      </c>
      <c r="P299" s="155">
        <f t="shared" si="103"/>
        <v>0.19442237831538439</v>
      </c>
      <c r="Q299" s="34">
        <f>+SUM(START:END!Q299)</f>
        <v>31484.26999999999</v>
      </c>
      <c r="R299" s="164">
        <f t="shared" si="104"/>
        <v>-0.25101607114054125</v>
      </c>
      <c r="S299" s="86">
        <f t="shared" si="99"/>
        <v>-7734.3899999999921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96"/>
        <v>Pièces[...]</v>
      </c>
      <c r="B300" s="12" t="s">
        <v>104</v>
      </c>
      <c r="C300" s="30" t="s">
        <v>21</v>
      </c>
      <c r="D300" s="83">
        <f>+SUM(START:END!D300)</f>
        <v>0</v>
      </c>
      <c r="E300" s="155">
        <f t="shared" si="100"/>
        <v>0</v>
      </c>
      <c r="F300" s="86">
        <f>+SUM(START:END!F300)</f>
        <v>0</v>
      </c>
      <c r="G300" s="83">
        <f>+SUM(START:END!G300)</f>
        <v>0</v>
      </c>
      <c r="H300" s="155">
        <f t="shared" si="101"/>
        <v>0</v>
      </c>
      <c r="I300" s="86">
        <f>+SUM(START:END!I300)</f>
        <v>0</v>
      </c>
      <c r="J300" s="31">
        <f>+SUM(START:END!J300)</f>
        <v>0</v>
      </c>
      <c r="K300" s="155">
        <f t="shared" si="102"/>
        <v>0</v>
      </c>
      <c r="L300" s="34">
        <f>+SUM(START:END!L300)</f>
        <v>0</v>
      </c>
      <c r="M300" s="164" t="e">
        <f t="shared" si="97"/>
        <v>#DIV/0!</v>
      </c>
      <c r="N300" s="60">
        <f t="shared" si="98"/>
        <v>0</v>
      </c>
      <c r="O300" s="31">
        <f>+SUM(START:END!O300)</f>
        <v>0</v>
      </c>
      <c r="P300" s="155">
        <f t="shared" si="103"/>
        <v>0</v>
      </c>
      <c r="Q300" s="34">
        <f>+SUM(START:END!Q300)</f>
        <v>0</v>
      </c>
      <c r="R300" s="164">
        <f t="shared" si="104"/>
        <v>0</v>
      </c>
      <c r="S300" s="86">
        <f t="shared" si="9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96"/>
        <v>PiècesEscomptes</v>
      </c>
      <c r="B301" s="12" t="s">
        <v>104</v>
      </c>
      <c r="C301" s="30" t="s">
        <v>112</v>
      </c>
      <c r="D301" s="83">
        <f>+SUM(START:END!D301)</f>
        <v>0</v>
      </c>
      <c r="E301" s="155">
        <f t="shared" si="100"/>
        <v>0</v>
      </c>
      <c r="F301" s="86">
        <f>+SUM(START:END!F301)</f>
        <v>29957.362921143904</v>
      </c>
      <c r="G301" s="83">
        <f>+SUM(START:END!G301)</f>
        <v>0</v>
      </c>
      <c r="H301" s="155">
        <f t="shared" si="101"/>
        <v>0</v>
      </c>
      <c r="I301" s="86">
        <f>+SUM(START:END!I301)</f>
        <v>29957.362921143904</v>
      </c>
      <c r="J301" s="31">
        <f>+SUM(START:END!J301)</f>
        <v>0</v>
      </c>
      <c r="K301" s="155">
        <f t="shared" si="102"/>
        <v>0</v>
      </c>
      <c r="L301" s="34">
        <f>+SUM(START:END!L301)</f>
        <v>26327.420000000002</v>
      </c>
      <c r="M301" s="164"/>
      <c r="N301" s="60">
        <f t="shared" si="98"/>
        <v>-3629.9429211439019</v>
      </c>
      <c r="O301" s="31">
        <f>+SUM(START:END!O301)</f>
        <v>0</v>
      </c>
      <c r="P301" s="155">
        <f t="shared" si="103"/>
        <v>0</v>
      </c>
      <c r="Q301" s="34">
        <f>+SUM(START:END!Q301)</f>
        <v>37790.68</v>
      </c>
      <c r="R301" s="164">
        <f t="shared" si="104"/>
        <v>0</v>
      </c>
      <c r="S301" s="86">
        <f t="shared" si="99"/>
        <v>-11463.259999999998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96"/>
        <v>PiècesRectif. Inventaire</v>
      </c>
      <c r="B302" s="12" t="s">
        <v>104</v>
      </c>
      <c r="C302" s="88" t="s">
        <v>113</v>
      </c>
      <c r="D302" s="83">
        <f>+SUM(START:END!D302)</f>
        <v>0</v>
      </c>
      <c r="E302" s="155">
        <f t="shared" si="100"/>
        <v>0</v>
      </c>
      <c r="F302" s="86">
        <f>+SUM(START:END!F302)</f>
        <v>300</v>
      </c>
      <c r="G302" s="83">
        <f>+SUM(START:END!G302)</f>
        <v>0</v>
      </c>
      <c r="H302" s="155">
        <f t="shared" si="101"/>
        <v>0</v>
      </c>
      <c r="I302" s="86">
        <f>+SUM(START:END!I302)</f>
        <v>300</v>
      </c>
      <c r="J302" s="31">
        <f>+SUM(START:END!J302)</f>
        <v>0</v>
      </c>
      <c r="K302" s="155">
        <f t="shared" si="102"/>
        <v>0</v>
      </c>
      <c r="L302" s="34">
        <f>+SUM(START:END!L302)</f>
        <v>0</v>
      </c>
      <c r="M302" s="164"/>
      <c r="N302" s="60">
        <f t="shared" si="98"/>
        <v>-300</v>
      </c>
      <c r="O302" s="31">
        <f>+SUM(START:END!O302)</f>
        <v>0</v>
      </c>
      <c r="P302" s="155">
        <f t="shared" si="103"/>
        <v>0</v>
      </c>
      <c r="Q302" s="34">
        <f>+SUM(START:END!Q302)</f>
        <v>0</v>
      </c>
      <c r="R302" s="164">
        <f t="shared" si="104"/>
        <v>0</v>
      </c>
      <c r="S302" s="86">
        <f t="shared" si="9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96"/>
        <v>PiècesSous-total Pièces</v>
      </c>
      <c r="B303" s="12" t="s">
        <v>104</v>
      </c>
      <c r="C303" s="54" t="s">
        <v>114</v>
      </c>
      <c r="D303" s="204">
        <f>SUM(D294:D302)</f>
        <v>944958.46894557669</v>
      </c>
      <c r="E303" s="223">
        <f>IF(D303&lt;=0,0,F303/D303)</f>
        <v>0.31683293871524265</v>
      </c>
      <c r="F303" s="208">
        <f>SUM(F294:F302)</f>
        <v>299393.9686798834</v>
      </c>
      <c r="G303" s="204">
        <f>SUM(G294:G302)</f>
        <v>944958.46894557669</v>
      </c>
      <c r="H303" s="223">
        <f>IF(G303&lt;=0,0,I303/G303)</f>
        <v>0.31683293871524265</v>
      </c>
      <c r="I303" s="208">
        <f>SUM(I294:I302)</f>
        <v>299393.9686798834</v>
      </c>
      <c r="J303" s="204">
        <f>SUM(J294:J302)</f>
        <v>955697.65000000014</v>
      </c>
      <c r="K303" s="223">
        <f>IF(J303&lt;=0,0,L303/J303)</f>
        <v>0.30463811436598165</v>
      </c>
      <c r="L303" s="206">
        <f>SUM(L294:L302)</f>
        <v>291141.92999999993</v>
      </c>
      <c r="M303" s="224">
        <f>(+J303-G303)/G303</f>
        <v>1.1364712214714223E-2</v>
      </c>
      <c r="N303" s="206">
        <f t="shared" si="98"/>
        <v>-8252.0386798834661</v>
      </c>
      <c r="O303" s="204">
        <f>SUM(O294:O302)</f>
        <v>1044427.0100000001</v>
      </c>
      <c r="P303" s="223">
        <f>IF(O303&lt;=0,0,Q303/O303)</f>
        <v>0.31124538803338681</v>
      </c>
      <c r="Q303" s="206">
        <f>SUM(Q294:Q302)</f>
        <v>325073.09000000003</v>
      </c>
      <c r="R303" s="224">
        <f>IF(O303=0,0,(J303-O303)/O303)</f>
        <v>-8.4955060670060589E-2</v>
      </c>
      <c r="S303" s="208">
        <f t="shared" si="99"/>
        <v>-33931.160000000091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96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-2.7562474675990122E-2</v>
      </c>
      <c r="O304" s="42"/>
      <c r="P304" s="14"/>
      <c r="Q304" s="41"/>
      <c r="R304" s="42"/>
      <c r="S304" s="45">
        <f>IF(Q303=0,0,S303/Q303)</f>
        <v>-0.10438009495033898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96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96"/>
        <v>PiècesVentes Pneus</v>
      </c>
      <c r="B306" s="12" t="s">
        <v>104</v>
      </c>
      <c r="C306" s="30" t="s">
        <v>115</v>
      </c>
      <c r="D306" s="83">
        <f>+SUM(START:END!D306)</f>
        <v>87064.032245406575</v>
      </c>
      <c r="E306" s="155">
        <f t="shared" ref="E306:E307" si="105">IF(D306=0,0,F306/D306)</f>
        <v>0.19500000000000003</v>
      </c>
      <c r="F306" s="116">
        <f>+SUM(START:END!F306)</f>
        <v>16977.486287854284</v>
      </c>
      <c r="G306" s="83">
        <f>+SUM(START:END!G306)</f>
        <v>87064.032245406575</v>
      </c>
      <c r="H306" s="155">
        <f t="shared" ref="H306:H307" si="106">IF(G306=0,0,I306/G306)</f>
        <v>0.19500000000000003</v>
      </c>
      <c r="I306" s="116">
        <f>+SUM(START:END!I306)</f>
        <v>16977.486287854284</v>
      </c>
      <c r="J306" s="31">
        <f>+SUM(START:END!J306)</f>
        <v>110325.31</v>
      </c>
      <c r="K306" s="155">
        <f t="shared" ref="K306:K307" si="107">IF(J306=0,0,L306/J306)</f>
        <v>0.16800841076268003</v>
      </c>
      <c r="L306" s="34">
        <f>+SUM(START:END!L306)</f>
        <v>18535.580000000009</v>
      </c>
      <c r="M306" s="164">
        <f t="shared" ref="M306:M308" si="108">(+J306-G306)/G306</f>
        <v>0.26717436758530866</v>
      </c>
      <c r="N306" s="60">
        <f t="shared" ref="N306:N308" si="109">L306-I306</f>
        <v>1558.0937121457246</v>
      </c>
      <c r="O306" s="31">
        <f>+SUM(START:END!O306)</f>
        <v>80763.739999999991</v>
      </c>
      <c r="P306" s="155">
        <f t="shared" ref="P306:P307" si="110">IF(O306=0,0,Q306/O306)</f>
        <v>0.17534737742457199</v>
      </c>
      <c r="Q306" s="34">
        <f>+SUM(START:END!Q306)</f>
        <v>14161.710000000001</v>
      </c>
      <c r="R306" s="164">
        <f t="shared" ref="R306:R307" si="111">IF(O306=0,0,(J306-O306)/O306)</f>
        <v>0.36602527322285977</v>
      </c>
      <c r="S306" s="86">
        <f t="shared" ref="S306:S308" si="112">L306-Q306</f>
        <v>4373.8700000000081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96"/>
        <v>PiècesHuiles et Graisse</v>
      </c>
      <c r="B307" s="12" t="s">
        <v>104</v>
      </c>
      <c r="C307" s="88" t="s">
        <v>116</v>
      </c>
      <c r="D307" s="83">
        <f>+SUM(START:END!D307)</f>
        <v>64398.676087774962</v>
      </c>
      <c r="E307" s="155">
        <f t="shared" si="105"/>
        <v>0.30006987567403659</v>
      </c>
      <c r="F307" s="95">
        <f>+SUM(START:END!F307)</f>
        <v>19324.102727231188</v>
      </c>
      <c r="G307" s="83">
        <f>+SUM(START:END!G307)</f>
        <v>64398.676087774962</v>
      </c>
      <c r="H307" s="155">
        <f t="shared" si="106"/>
        <v>0.30006987567403659</v>
      </c>
      <c r="I307" s="95">
        <f>+SUM(START:END!I307)</f>
        <v>19324.102727231188</v>
      </c>
      <c r="J307" s="31">
        <f>+SUM(START:END!J307)</f>
        <v>60476.14</v>
      </c>
      <c r="K307" s="155">
        <f t="shared" si="107"/>
        <v>0.29017013982704587</v>
      </c>
      <c r="L307" s="34">
        <f>+SUM(START:END!L307)</f>
        <v>17548.370000000003</v>
      </c>
      <c r="M307" s="164">
        <f t="shared" si="108"/>
        <v>-6.0910197632457107E-2</v>
      </c>
      <c r="N307" s="60">
        <f t="shared" si="109"/>
        <v>-1775.732727231185</v>
      </c>
      <c r="O307" s="31">
        <f>+SUM(START:END!O307)</f>
        <v>65911.510000000009</v>
      </c>
      <c r="P307" s="155">
        <f t="shared" si="110"/>
        <v>0.30002635351549373</v>
      </c>
      <c r="Q307" s="34">
        <f>+SUM(START:END!Q307)</f>
        <v>19775.190000000002</v>
      </c>
      <c r="R307" s="164">
        <f t="shared" si="111"/>
        <v>-8.2464656021383961E-2</v>
      </c>
      <c r="S307" s="86">
        <f t="shared" si="112"/>
        <v>-2226.8199999999997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96"/>
        <v>PiècesSous-total Pièces et Acc.</v>
      </c>
      <c r="B308" s="12" t="s">
        <v>104</v>
      </c>
      <c r="C308" s="54" t="s">
        <v>117</v>
      </c>
      <c r="D308" s="204">
        <f>D303+D306+D307</f>
        <v>1096421.1772787583</v>
      </c>
      <c r="E308" s="223">
        <f>IF(D308&lt;=0,0,F308/D308)</f>
        <v>0.3061739089426766</v>
      </c>
      <c r="F308" s="206">
        <f t="shared" ref="F308" si="113">F303+F306+F307</f>
        <v>335695.55769496883</v>
      </c>
      <c r="G308" s="207">
        <f>G303+G306+G307</f>
        <v>1096421.1772787583</v>
      </c>
      <c r="H308" s="223">
        <f>IF(G308&lt;=0,0,I308/G308)</f>
        <v>0.3061739089426766</v>
      </c>
      <c r="I308" s="206">
        <f t="shared" ref="I308" si="114">I303+I306+I307</f>
        <v>335695.55769496883</v>
      </c>
      <c r="J308" s="207">
        <f>J303+J306+J307</f>
        <v>1126499.1000000001</v>
      </c>
      <c r="K308" s="223">
        <f>IF(J308&lt;=0,0,L308/J308)</f>
        <v>0.29048037410771116</v>
      </c>
      <c r="L308" s="206">
        <f t="shared" ref="L308" si="115">L303+L306+L307</f>
        <v>327225.87999999995</v>
      </c>
      <c r="M308" s="224">
        <f t="shared" si="108"/>
        <v>2.7432818103617047E-2</v>
      </c>
      <c r="N308" s="206">
        <f t="shared" si="109"/>
        <v>-8469.6776949688792</v>
      </c>
      <c r="O308" s="207">
        <f>O303+O306+O307</f>
        <v>1191102.26</v>
      </c>
      <c r="P308" s="223">
        <f>IF(O308&lt;=0,0,Q308/O308)</f>
        <v>0.30140988062603463</v>
      </c>
      <c r="Q308" s="206">
        <f t="shared" ref="Q308" si="116">Q303+Q306+Q307</f>
        <v>359009.99000000005</v>
      </c>
      <c r="R308" s="224">
        <f>IF(O308=0,0,(J308-O308)/O308)</f>
        <v>-5.4238130653870065E-2</v>
      </c>
      <c r="S308" s="208">
        <f t="shared" si="112"/>
        <v>-31784.110000000102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96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-2.523023466001563E-2</v>
      </c>
      <c r="O309" s="42"/>
      <c r="P309" s="14"/>
      <c r="Q309" s="41"/>
      <c r="R309" s="42"/>
      <c r="S309" s="45">
        <f>IF(Q308=0,0,S308/Q308)</f>
        <v>-8.8532661723424735E-2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96"/>
        <v>PiècesPièces recond. MCPA</v>
      </c>
      <c r="B310" s="12" t="s">
        <v>104</v>
      </c>
      <c r="C310" s="30" t="s">
        <v>199</v>
      </c>
      <c r="D310" s="450">
        <f>+SUM(START:END!D310)</f>
        <v>0</v>
      </c>
      <c r="E310" s="449">
        <f t="shared" ref="E310" si="117">IF(D310=0,0,F310/D310)</f>
        <v>0</v>
      </c>
      <c r="F310" s="60">
        <f>+SUM(START:END!F310)</f>
        <v>0</v>
      </c>
      <c r="G310" s="61">
        <f>+SUM(START:END!G310)</f>
        <v>0</v>
      </c>
      <c r="H310" s="449">
        <f t="shared" ref="H310" si="118">IF(G310=0,0,I310/G310)</f>
        <v>0</v>
      </c>
      <c r="I310" s="60">
        <f>+SUM(START:END!I310)</f>
        <v>0</v>
      </c>
      <c r="J310" s="32">
        <f>+SUM(START:END!J310)</f>
        <v>0</v>
      </c>
      <c r="K310" s="449">
        <f t="shared" ref="K310" si="119">IF(J310=0,0,L310/J310)</f>
        <v>0</v>
      </c>
      <c r="L310" s="34">
        <f>+SUM(START:END!L310)</f>
        <v>0</v>
      </c>
      <c r="M310" s="449">
        <f>IF(F310=0,0,(+L310-F310)/F310)</f>
        <v>0</v>
      </c>
      <c r="N310" s="60">
        <f>L310-I310</f>
        <v>0</v>
      </c>
      <c r="O310" s="32">
        <f>+SUM(START:END!O310)</f>
        <v>0</v>
      </c>
      <c r="P310" s="449">
        <f t="shared" ref="P310" si="120">IF(O310=0,0,Q310/O310)</f>
        <v>0</v>
      </c>
      <c r="Q310" s="34">
        <f>+SUM(START:END!Q310)</f>
        <v>0</v>
      </c>
      <c r="R310" s="449">
        <f>IF(S310=0,0,(+P310-K310)/K310)</f>
        <v>0</v>
      </c>
      <c r="S310" s="86">
        <f>L310-Q310</f>
        <v>0</v>
      </c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96"/>
        <v>PiècesAutostock</v>
      </c>
      <c r="B311" s="12" t="s">
        <v>104</v>
      </c>
      <c r="C311" s="88" t="s">
        <v>118</v>
      </c>
      <c r="D311" s="92">
        <f>+SUM(START:END!D311)</f>
        <v>0</v>
      </c>
      <c r="E311" s="227">
        <f t="shared" ref="E311" si="121">IF(D311=0,0,F311/D311)</f>
        <v>0</v>
      </c>
      <c r="F311" s="153">
        <f>+SUM(START:END!F311)</f>
        <v>0</v>
      </c>
      <c r="G311" s="181">
        <f>+SUM(START:END!G311)</f>
        <v>0</v>
      </c>
      <c r="H311" s="227">
        <f t="shared" ref="H311" si="122">IF(G311=0,0,I311/G311)</f>
        <v>0</v>
      </c>
      <c r="I311" s="153">
        <f>+SUM(START:END!I311)</f>
        <v>0</v>
      </c>
      <c r="J311" s="47">
        <f>+SUM(START:END!J311)</f>
        <v>0</v>
      </c>
      <c r="K311" s="228">
        <f t="shared" ref="K311" si="123">IF(J311=0,0,L311/J311)</f>
        <v>0</v>
      </c>
      <c r="L311" s="23">
        <f>+SUM(START:END!L311)</f>
        <v>0</v>
      </c>
      <c r="M311" s="228">
        <f>IF(F311=0,0,(+L311-F311)/F311)</f>
        <v>0</v>
      </c>
      <c r="N311" s="94">
        <f>L311-I311</f>
        <v>0</v>
      </c>
      <c r="O311" s="47">
        <f>+SUM(START:END!O311)</f>
        <v>0</v>
      </c>
      <c r="P311" s="228">
        <f t="shared" ref="P311" si="124">IF(O311=0,0,Q311/O311)</f>
        <v>0</v>
      </c>
      <c r="Q311" s="23">
        <f>+SUM(START:END!Q311)</f>
        <v>0</v>
      </c>
      <c r="R311" s="228">
        <f>IF(S311=0,0,(+P311-K311)/K311)</f>
        <v>0</v>
      </c>
      <c r="S311" s="95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96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96"/>
        <v>PiècesTotal Dépt. Pièces</v>
      </c>
      <c r="B313" s="12" t="s">
        <v>104</v>
      </c>
      <c r="C313" s="63" t="s">
        <v>119</v>
      </c>
      <c r="D313" s="64">
        <f>D308+D311+D310</f>
        <v>1096421.1772787583</v>
      </c>
      <c r="E313" s="229">
        <f>IF(D313&lt;=0,0,F313/D313)</f>
        <v>0.3061739089426766</v>
      </c>
      <c r="F313" s="66">
        <f>F308+F311+F310</f>
        <v>335695.55769496883</v>
      </c>
      <c r="G313" s="67">
        <f>G308+G311+G310</f>
        <v>1096421.1772787583</v>
      </c>
      <c r="H313" s="229">
        <f>IF(G313&lt;=0,0,I313/G313)</f>
        <v>0.3061739089426766</v>
      </c>
      <c r="I313" s="66">
        <f>I308+I311+I310</f>
        <v>335695.55769496883</v>
      </c>
      <c r="J313" s="67">
        <f>J308+J311+J310</f>
        <v>1126499.1000000001</v>
      </c>
      <c r="K313" s="229">
        <f>IF(J313&lt;=0,0,L313/J313)</f>
        <v>0.29048037410771116</v>
      </c>
      <c r="L313" s="66">
        <f>L308+L311+L310</f>
        <v>327225.87999999995</v>
      </c>
      <c r="M313" s="230">
        <f>(+J313-G313)/G313</f>
        <v>2.7432818103617047E-2</v>
      </c>
      <c r="N313" s="231">
        <f>L313-I313</f>
        <v>-8469.6776949688792</v>
      </c>
      <c r="O313" s="67">
        <f>O308+O311+O310</f>
        <v>1191102.26</v>
      </c>
      <c r="P313" s="229">
        <f>IF(O313&lt;=0,0,Q313/O313)</f>
        <v>0.30140988062603463</v>
      </c>
      <c r="Q313" s="66">
        <f>Q308+Q311+Q310</f>
        <v>359009.99000000005</v>
      </c>
      <c r="R313" s="230">
        <f>IF(O313=0,0,(J313-O313)/O313)</f>
        <v>-5.4238130653870065E-2</v>
      </c>
      <c r="S313" s="232">
        <f>L313-Q313</f>
        <v>-31784.110000000102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96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-2.523023466001563E-2</v>
      </c>
      <c r="O314" s="237"/>
      <c r="P314" s="235"/>
      <c r="Q314" s="236"/>
      <c r="R314" s="238"/>
      <c r="S314" s="76">
        <f>IF(Q313=0,0,S313/Q313)</f>
        <v>-8.8532661723424735E-2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96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96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96"/>
        <v>PiècesSalaires cadres</v>
      </c>
      <c r="B317" s="12" t="s">
        <v>104</v>
      </c>
      <c r="C317" s="108" t="s">
        <v>42</v>
      </c>
      <c r="D317" s="14"/>
      <c r="E317" s="14"/>
      <c r="F317" s="31">
        <f>+SUM(START:END!F317)</f>
        <v>27549.813859485006</v>
      </c>
      <c r="G317" s="42"/>
      <c r="H317" s="14"/>
      <c r="I317" s="31">
        <f>+SUM(START:END!I317)</f>
        <v>27549.813859485006</v>
      </c>
      <c r="J317" s="42"/>
      <c r="K317" s="14"/>
      <c r="L317" s="34">
        <f>+SUM(START:END!L317)</f>
        <v>17756.439999999999</v>
      </c>
      <c r="M317" s="42"/>
      <c r="N317" s="239">
        <f>L317-I317</f>
        <v>-9793.3738594850074</v>
      </c>
      <c r="O317" s="42"/>
      <c r="P317" s="14"/>
      <c r="Q317" s="34">
        <f>+SUM(START:END!Q317)</f>
        <v>38855.339999999997</v>
      </c>
      <c r="R317" s="42"/>
      <c r="S317" s="35">
        <f>L317-Q317</f>
        <v>-21098.899999999998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96"/>
        <v>PiècesSalaires commis</v>
      </c>
      <c r="B318" s="12" t="s">
        <v>104</v>
      </c>
      <c r="C318" s="109" t="s">
        <v>43</v>
      </c>
      <c r="D318" s="82"/>
      <c r="E318" s="14"/>
      <c r="F318" s="23">
        <f>+SUM(START:END!F318)</f>
        <v>13169.867375938698</v>
      </c>
      <c r="G318" s="84"/>
      <c r="H318" s="14"/>
      <c r="I318" s="23">
        <f>+SUM(START:END!I318)</f>
        <v>13169.867375938698</v>
      </c>
      <c r="J318" s="42"/>
      <c r="K318" s="14"/>
      <c r="L318" s="34">
        <f>+SUM(START:END!L318)</f>
        <v>12588.39</v>
      </c>
      <c r="M318" s="42"/>
      <c r="N318" s="60">
        <f>L318-I318</f>
        <v>-581.47737593869897</v>
      </c>
      <c r="O318" s="42"/>
      <c r="P318" s="14"/>
      <c r="Q318" s="34">
        <f>+SUM(START:END!Q318)</f>
        <v>14223.369999999999</v>
      </c>
      <c r="R318" s="42"/>
      <c r="S318" s="86">
        <f t="shared" ref="S318:S347" si="125">L318-Q318</f>
        <v>-1634.9799999999996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96"/>
        <v>PiècesSalaires autres</v>
      </c>
      <c r="B319" s="12" t="s">
        <v>104</v>
      </c>
      <c r="C319" s="108" t="s">
        <v>44</v>
      </c>
      <c r="D319" s="110"/>
      <c r="E319" s="111"/>
      <c r="F319" s="31">
        <f>+SUM(START:END!F319)</f>
        <v>48946.983719111107</v>
      </c>
      <c r="G319" s="112"/>
      <c r="H319" s="111"/>
      <c r="I319" s="31">
        <f>+SUM(START:END!I319)</f>
        <v>48946.983719111107</v>
      </c>
      <c r="J319" s="113"/>
      <c r="K319" s="111"/>
      <c r="L319" s="114">
        <f>+SUM(START:END!L319)</f>
        <v>68196.08</v>
      </c>
      <c r="M319" s="113"/>
      <c r="N319" s="115">
        <f t="shared" ref="N319:N347" si="126">L319-I319</f>
        <v>19249.096280888894</v>
      </c>
      <c r="O319" s="113"/>
      <c r="P319" s="111"/>
      <c r="Q319" s="114">
        <f>+SUM(START:END!Q319)</f>
        <v>47144.53</v>
      </c>
      <c r="R319" s="113"/>
      <c r="S319" s="116">
        <f t="shared" si="125"/>
        <v>21051.550000000003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96"/>
        <v>PiècesSalaires spécialistes</v>
      </c>
      <c r="B320" s="12" t="s">
        <v>104</v>
      </c>
      <c r="C320" s="108" t="s">
        <v>45</v>
      </c>
      <c r="D320" s="82"/>
      <c r="E320" s="14"/>
      <c r="F320" s="31">
        <f>+SUM(START:END!F320)</f>
        <v>0</v>
      </c>
      <c r="G320" s="84"/>
      <c r="H320" s="14"/>
      <c r="I320" s="31">
        <f>+SUM(START:END!I320)</f>
        <v>0</v>
      </c>
      <c r="J320" s="42"/>
      <c r="K320" s="14"/>
      <c r="L320" s="34">
        <f>+SUM(START:END!L320)</f>
        <v>0</v>
      </c>
      <c r="M320" s="42"/>
      <c r="N320" s="60">
        <f t="shared" si="126"/>
        <v>0</v>
      </c>
      <c r="O320" s="42"/>
      <c r="P320" s="14"/>
      <c r="Q320" s="34">
        <f>+SUM(START:END!Q320)</f>
        <v>0</v>
      </c>
      <c r="R320" s="42"/>
      <c r="S320" s="86">
        <f t="shared" si="125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96"/>
        <v>Pièces[...]</v>
      </c>
      <c r="B321" s="12" t="s">
        <v>104</v>
      </c>
      <c r="C321" s="240" t="s">
        <v>21</v>
      </c>
      <c r="D321" s="82"/>
      <c r="E321" s="14"/>
      <c r="F321" s="31">
        <f>+SUM(START:END!F321)</f>
        <v>0</v>
      </c>
      <c r="G321" s="84"/>
      <c r="H321" s="14"/>
      <c r="I321" s="31">
        <f>+SUM(START:END!I321)</f>
        <v>0</v>
      </c>
      <c r="J321" s="42"/>
      <c r="K321" s="14"/>
      <c r="L321" s="34">
        <f>+SUM(START:END!L321)</f>
        <v>0</v>
      </c>
      <c r="M321" s="42"/>
      <c r="N321" s="60">
        <f t="shared" si="126"/>
        <v>0</v>
      </c>
      <c r="O321" s="42"/>
      <c r="P321" s="14"/>
      <c r="Q321" s="34">
        <f>+SUM(START:END!Q321)</f>
        <v>0</v>
      </c>
      <c r="R321" s="42"/>
      <c r="S321" s="86">
        <f t="shared" si="125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96"/>
        <v>Pièces[...]</v>
      </c>
      <c r="B322" s="12" t="s">
        <v>104</v>
      </c>
      <c r="C322" s="240" t="s">
        <v>21</v>
      </c>
      <c r="D322" s="82"/>
      <c r="E322" s="14"/>
      <c r="F322" s="31">
        <f>+SUM(START:END!F322)</f>
        <v>0</v>
      </c>
      <c r="G322" s="84"/>
      <c r="H322" s="14"/>
      <c r="I322" s="31">
        <f>+SUM(START:END!I322)</f>
        <v>0</v>
      </c>
      <c r="J322" s="42"/>
      <c r="K322" s="14"/>
      <c r="L322" s="34">
        <f>+SUM(START:END!L322)</f>
        <v>0</v>
      </c>
      <c r="M322" s="42"/>
      <c r="N322" s="60">
        <f t="shared" si="126"/>
        <v>0</v>
      </c>
      <c r="O322" s="42"/>
      <c r="P322" s="14"/>
      <c r="Q322" s="34">
        <f>+SUM(START:END!Q322)</f>
        <v>0</v>
      </c>
      <c r="R322" s="42"/>
      <c r="S322" s="86">
        <f t="shared" si="125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96"/>
        <v>Pièces[...]</v>
      </c>
      <c r="B323" s="12" t="s">
        <v>104</v>
      </c>
      <c r="C323" s="240" t="s">
        <v>21</v>
      </c>
      <c r="D323" s="82"/>
      <c r="E323" s="14"/>
      <c r="F323" s="31">
        <f>+SUM(START:END!F323)</f>
        <v>0</v>
      </c>
      <c r="G323" s="84"/>
      <c r="H323" s="14"/>
      <c r="I323" s="31">
        <f>+SUM(START:END!I323)</f>
        <v>0</v>
      </c>
      <c r="J323" s="42"/>
      <c r="K323" s="14"/>
      <c r="L323" s="34">
        <f>+SUM(START:END!L323)</f>
        <v>0</v>
      </c>
      <c r="M323" s="42"/>
      <c r="N323" s="60">
        <f t="shared" si="126"/>
        <v>0</v>
      </c>
      <c r="O323" s="42"/>
      <c r="P323" s="14"/>
      <c r="Q323" s="34">
        <f>+SUM(START:END!Q323)</f>
        <v>0</v>
      </c>
      <c r="R323" s="42"/>
      <c r="S323" s="86">
        <f t="shared" si="125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96"/>
        <v>PiècesSalaires en absences</v>
      </c>
      <c r="B324" s="12" t="s">
        <v>104</v>
      </c>
      <c r="C324" s="109" t="s">
        <v>46</v>
      </c>
      <c r="D324" s="82"/>
      <c r="E324" s="14"/>
      <c r="F324" s="23">
        <f>+SUM(START:END!F324)</f>
        <v>10759.999794544177</v>
      </c>
      <c r="G324" s="84"/>
      <c r="H324" s="14"/>
      <c r="I324" s="23">
        <f>+SUM(START:END!I324)</f>
        <v>10759.999794544177</v>
      </c>
      <c r="J324" s="42"/>
      <c r="K324" s="14"/>
      <c r="L324" s="34">
        <f>+SUM(START:END!L324)</f>
        <v>9607.1</v>
      </c>
      <c r="M324" s="42"/>
      <c r="N324" s="60">
        <f t="shared" si="126"/>
        <v>-1152.899794544177</v>
      </c>
      <c r="O324" s="42"/>
      <c r="P324" s="14"/>
      <c r="Q324" s="34">
        <f>+SUM(START:END!Q324)</f>
        <v>12236.189999999999</v>
      </c>
      <c r="R324" s="42"/>
      <c r="S324" s="86">
        <f t="shared" si="125"/>
        <v>-2629.0899999999983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96"/>
        <v>PiècesDéduction à la source</v>
      </c>
      <c r="B325" s="12" t="s">
        <v>104</v>
      </c>
      <c r="C325" s="108" t="s">
        <v>47</v>
      </c>
      <c r="D325" s="110"/>
      <c r="E325" s="111"/>
      <c r="F325" s="31">
        <f>+SUM(START:END!F325)</f>
        <v>10759.999794544177</v>
      </c>
      <c r="G325" s="112"/>
      <c r="H325" s="111"/>
      <c r="I325" s="31">
        <f>+SUM(START:END!I325)</f>
        <v>10759.999794544177</v>
      </c>
      <c r="J325" s="113"/>
      <c r="K325" s="111"/>
      <c r="L325" s="114">
        <f>+SUM(START:END!L325)</f>
        <v>144.63999999999999</v>
      </c>
      <c r="M325" s="113"/>
      <c r="N325" s="115">
        <f t="shared" si="126"/>
        <v>-10615.359794544178</v>
      </c>
      <c r="O325" s="113"/>
      <c r="P325" s="111"/>
      <c r="Q325" s="114">
        <f>+SUM(START:END!Q325)</f>
        <v>0</v>
      </c>
      <c r="R325" s="113"/>
      <c r="S325" s="116">
        <f t="shared" si="125"/>
        <v>144.63999999999999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96"/>
        <v>PiècesBénéfices marginaux</v>
      </c>
      <c r="B326" s="12" t="s">
        <v>104</v>
      </c>
      <c r="C326" s="108" t="s">
        <v>48</v>
      </c>
      <c r="D326" s="82"/>
      <c r="E326" s="14"/>
      <c r="F326" s="31">
        <f>+SUM(START:END!F326)</f>
        <v>7711.3331860899925</v>
      </c>
      <c r="G326" s="84"/>
      <c r="H326" s="14"/>
      <c r="I326" s="31">
        <f>+SUM(START:END!I326)</f>
        <v>7711.3331860899925</v>
      </c>
      <c r="J326" s="42"/>
      <c r="K326" s="14"/>
      <c r="L326" s="34">
        <f>+SUM(START:END!L326)</f>
        <v>7949.77</v>
      </c>
      <c r="M326" s="42"/>
      <c r="N326" s="60">
        <f t="shared" si="126"/>
        <v>238.43681391000791</v>
      </c>
      <c r="O326" s="42"/>
      <c r="P326" s="14"/>
      <c r="Q326" s="34">
        <f>+SUM(START:END!Q326)</f>
        <v>13205.54</v>
      </c>
      <c r="R326" s="42"/>
      <c r="S326" s="86">
        <f t="shared" si="125"/>
        <v>-5255.77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96"/>
        <v>PiècesCsst</v>
      </c>
      <c r="B327" s="12" t="s">
        <v>104</v>
      </c>
      <c r="C327" s="108" t="s">
        <v>49</v>
      </c>
      <c r="D327" s="82"/>
      <c r="E327" s="14"/>
      <c r="F327" s="31">
        <f>+SUM(START:END!F327)</f>
        <v>1793.3332990906963</v>
      </c>
      <c r="G327" s="84"/>
      <c r="H327" s="14"/>
      <c r="I327" s="31">
        <f>+SUM(START:END!I327)</f>
        <v>1793.3332990906963</v>
      </c>
      <c r="J327" s="42"/>
      <c r="K327" s="14"/>
      <c r="L327" s="34">
        <f>+SUM(START:END!L327)</f>
        <v>12796.849999999999</v>
      </c>
      <c r="M327" s="42"/>
      <c r="N327" s="60">
        <f t="shared" si="126"/>
        <v>11003.516700909302</v>
      </c>
      <c r="O327" s="42"/>
      <c r="P327" s="14"/>
      <c r="Q327" s="34">
        <f>+SUM(START:END!Q327)</f>
        <v>14729.870000000003</v>
      </c>
      <c r="R327" s="42"/>
      <c r="S327" s="86">
        <f t="shared" si="125"/>
        <v>-1933.0200000000041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96"/>
        <v>Pièces[...]</v>
      </c>
      <c r="B328" s="12" t="s">
        <v>104</v>
      </c>
      <c r="C328" s="30" t="s">
        <v>21</v>
      </c>
      <c r="D328" s="89"/>
      <c r="E328" s="117"/>
      <c r="F328" s="31">
        <f>+SUM(START:END!F328)</f>
        <v>0</v>
      </c>
      <c r="G328" s="91"/>
      <c r="H328" s="117"/>
      <c r="I328" s="31">
        <f>+SUM(START:END!I328)</f>
        <v>0</v>
      </c>
      <c r="J328" s="24"/>
      <c r="K328" s="117"/>
      <c r="L328" s="34">
        <f>+SUM(START:END!L328)</f>
        <v>0</v>
      </c>
      <c r="M328" s="24"/>
      <c r="N328" s="94">
        <f t="shared" si="126"/>
        <v>0</v>
      </c>
      <c r="O328" s="24"/>
      <c r="P328" s="117"/>
      <c r="Q328" s="34">
        <f>+SUM(START:END!Q328)</f>
        <v>0</v>
      </c>
      <c r="R328" s="24"/>
      <c r="S328" s="95">
        <f t="shared" si="125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96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0.35952614880435962</v>
      </c>
      <c r="F329" s="102">
        <f>+SUM(F317:F328)</f>
        <v>120691.33102880385</v>
      </c>
      <c r="G329" s="103" t="s">
        <v>40</v>
      </c>
      <c r="H329" s="101">
        <f>I329/I$313</f>
        <v>0.35952614880435962</v>
      </c>
      <c r="I329" s="102">
        <f>+SUM(I317:I328)</f>
        <v>120691.33102880385</v>
      </c>
      <c r="J329" s="103" t="s">
        <v>40</v>
      </c>
      <c r="K329" s="101">
        <f>L329/L$313</f>
        <v>0.39434310635821362</v>
      </c>
      <c r="L329" s="102">
        <f>+SUM(L317:L328)</f>
        <v>129039.27000000002</v>
      </c>
      <c r="M329" s="154"/>
      <c r="N329" s="119">
        <f t="shared" si="126"/>
        <v>8347.9389711961703</v>
      </c>
      <c r="O329" s="103" t="s">
        <v>40</v>
      </c>
      <c r="P329" s="101">
        <f>Q329/Q$313</f>
        <v>0.39106109554221591</v>
      </c>
      <c r="Q329" s="102">
        <f>+SUM(Q317:Q328)</f>
        <v>140394.84</v>
      </c>
      <c r="R329" s="154"/>
      <c r="S329" s="120">
        <f t="shared" si="125"/>
        <v>-11355.569999999978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96"/>
        <v>PiècesPublicité 2</v>
      </c>
      <c r="B330" s="12" t="s">
        <v>104</v>
      </c>
      <c r="C330" s="221" t="s">
        <v>51</v>
      </c>
      <c r="D330" s="82"/>
      <c r="E330" s="14"/>
      <c r="F330" s="31">
        <f>+SUM(START:END!F330)</f>
        <v>11425.924999999999</v>
      </c>
      <c r="G330" s="84"/>
      <c r="H330" s="14"/>
      <c r="I330" s="31">
        <f>+SUM(START:END!I330)</f>
        <v>11425.924999999999</v>
      </c>
      <c r="J330" s="42"/>
      <c r="K330" s="14"/>
      <c r="L330" s="34">
        <f>+SUM(START:END!L330)</f>
        <v>3976</v>
      </c>
      <c r="M330" s="42"/>
      <c r="N330" s="60">
        <f t="shared" si="126"/>
        <v>-7449.9249999999993</v>
      </c>
      <c r="O330" s="42"/>
      <c r="P330" s="14"/>
      <c r="Q330" s="34">
        <f>+SUM(START:END!Q330)</f>
        <v>26450.69</v>
      </c>
      <c r="R330" s="42"/>
      <c r="S330" s="86">
        <f t="shared" si="125"/>
        <v>-22474.69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96"/>
        <v>PiècesService gratuit 2</v>
      </c>
      <c r="B331" s="12" t="s">
        <v>104</v>
      </c>
      <c r="C331" s="108" t="s">
        <v>52</v>
      </c>
      <c r="D331" s="82"/>
      <c r="E331" s="14"/>
      <c r="F331" s="31">
        <f>+SUM(START:END!F331)</f>
        <v>6930.1599056788464</v>
      </c>
      <c r="G331" s="84"/>
      <c r="H331" s="14"/>
      <c r="I331" s="31">
        <f>+SUM(START:END!I331)</f>
        <v>6930.1599056788464</v>
      </c>
      <c r="J331" s="42"/>
      <c r="K331" s="14"/>
      <c r="L331" s="34">
        <f>+SUM(START:END!L331)</f>
        <v>1932.11</v>
      </c>
      <c r="M331" s="42"/>
      <c r="N331" s="60">
        <f t="shared" si="126"/>
        <v>-4998.0499056788467</v>
      </c>
      <c r="O331" s="42"/>
      <c r="P331" s="14"/>
      <c r="Q331" s="34">
        <f>+SUM(START:END!Q331)</f>
        <v>3599.07</v>
      </c>
      <c r="R331" s="42"/>
      <c r="S331" s="86">
        <f t="shared" si="125"/>
        <v>-1666.9600000000003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96"/>
        <v>PiècesFrais véhicules de cie</v>
      </c>
      <c r="B332" s="12" t="s">
        <v>104</v>
      </c>
      <c r="C332" s="109" t="s">
        <v>53</v>
      </c>
      <c r="D332" s="89"/>
      <c r="E332" s="117"/>
      <c r="F332" s="23">
        <f>+SUM(START:END!F332)</f>
        <v>856.5</v>
      </c>
      <c r="G332" s="91"/>
      <c r="H332" s="117"/>
      <c r="I332" s="23">
        <f>+SUM(START:END!I332)</f>
        <v>856.5</v>
      </c>
      <c r="J332" s="24"/>
      <c r="K332" s="117"/>
      <c r="L332" s="34">
        <f>+SUM(START:END!L332)</f>
        <v>964.58999999999992</v>
      </c>
      <c r="M332" s="24"/>
      <c r="N332" s="94">
        <f t="shared" si="126"/>
        <v>108.08999999999992</v>
      </c>
      <c r="O332" s="24"/>
      <c r="P332" s="117"/>
      <c r="Q332" s="34">
        <f>+SUM(START:END!Q332)</f>
        <v>3265.8199999999997</v>
      </c>
      <c r="R332" s="24"/>
      <c r="S332" s="95">
        <f t="shared" si="125"/>
        <v>-2301.2299999999996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96"/>
        <v>PiècesInformatique</v>
      </c>
      <c r="B333" s="12" t="s">
        <v>104</v>
      </c>
      <c r="C333" s="108" t="s">
        <v>54</v>
      </c>
      <c r="D333" s="82"/>
      <c r="E333" s="14"/>
      <c r="F333" s="31">
        <f>+SUM(START:END!F333)</f>
        <v>12842.335000000001</v>
      </c>
      <c r="G333" s="84"/>
      <c r="H333" s="14"/>
      <c r="I333" s="31">
        <f>+SUM(START:END!I333)</f>
        <v>12842.335000000001</v>
      </c>
      <c r="J333" s="42"/>
      <c r="K333" s="14"/>
      <c r="L333" s="114">
        <f>+SUM(START:END!L333)</f>
        <v>10689.42</v>
      </c>
      <c r="M333" s="42"/>
      <c r="N333" s="60">
        <f t="shared" si="126"/>
        <v>-2152.9150000000009</v>
      </c>
      <c r="O333" s="42"/>
      <c r="P333" s="14"/>
      <c r="Q333" s="114">
        <f>+SUM(START:END!Q333)</f>
        <v>11867.02</v>
      </c>
      <c r="R333" s="42"/>
      <c r="S333" s="86">
        <f t="shared" si="125"/>
        <v>-1177.6000000000004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96"/>
        <v>PiècesFrais de déplacement</v>
      </c>
      <c r="B334" s="12" t="s">
        <v>104</v>
      </c>
      <c r="C334" s="108" t="s">
        <v>55</v>
      </c>
      <c r="D334" s="82"/>
      <c r="E334" s="14"/>
      <c r="F334" s="31">
        <f>+SUM(START:END!F334)</f>
        <v>3741.7893749999998</v>
      </c>
      <c r="G334" s="84"/>
      <c r="H334" s="14"/>
      <c r="I334" s="31">
        <f>+SUM(START:END!I334)</f>
        <v>3741.7893749999998</v>
      </c>
      <c r="J334" s="42"/>
      <c r="K334" s="14"/>
      <c r="L334" s="34">
        <f>+SUM(START:END!L334)</f>
        <v>1232.76</v>
      </c>
      <c r="M334" s="42"/>
      <c r="N334" s="60">
        <f t="shared" si="126"/>
        <v>-2509.0293750000001</v>
      </c>
      <c r="O334" s="42"/>
      <c r="P334" s="14"/>
      <c r="Q334" s="34">
        <f>+SUM(START:END!Q334)</f>
        <v>4557.75</v>
      </c>
      <c r="R334" s="42"/>
      <c r="S334" s="86">
        <f t="shared" si="125"/>
        <v>-3324.99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96"/>
        <v>PiècesServices extérieurs</v>
      </c>
      <c r="B335" s="12" t="s">
        <v>104</v>
      </c>
      <c r="C335" s="241" t="s">
        <v>56</v>
      </c>
      <c r="D335" s="89"/>
      <c r="E335" s="117"/>
      <c r="F335" s="23">
        <f>+SUM(START:END!F335)</f>
        <v>24214.329125</v>
      </c>
      <c r="G335" s="91"/>
      <c r="H335" s="117"/>
      <c r="I335" s="23">
        <f>+SUM(START:END!I335)</f>
        <v>24214.329125</v>
      </c>
      <c r="J335" s="24"/>
      <c r="K335" s="117"/>
      <c r="L335" s="49">
        <f>+SUM(START:END!L335)</f>
        <v>18387.55</v>
      </c>
      <c r="M335" s="24"/>
      <c r="N335" s="94">
        <f t="shared" si="126"/>
        <v>-5826.7791250000009</v>
      </c>
      <c r="O335" s="24"/>
      <c r="P335" s="117"/>
      <c r="Q335" s="49">
        <f>+SUM(START:END!Q335)</f>
        <v>34882.550000000003</v>
      </c>
      <c r="R335" s="24"/>
      <c r="S335" s="95">
        <f t="shared" si="125"/>
        <v>-16495.000000000004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96"/>
        <v>PiècesFournitures d'atelier</v>
      </c>
      <c r="B336" s="12" t="s">
        <v>104</v>
      </c>
      <c r="C336" s="108" t="s">
        <v>99</v>
      </c>
      <c r="D336" s="82"/>
      <c r="E336" s="14"/>
      <c r="F336" s="31">
        <f>+SUM(START:END!F336)</f>
        <v>0</v>
      </c>
      <c r="G336" s="84"/>
      <c r="H336" s="14"/>
      <c r="I336" s="31">
        <f>+SUM(START:END!I336)</f>
        <v>0</v>
      </c>
      <c r="J336" s="42"/>
      <c r="K336" s="14"/>
      <c r="L336" s="34">
        <f>+SUM(START:END!L336)</f>
        <v>0</v>
      </c>
      <c r="M336" s="42"/>
      <c r="N336" s="60">
        <f t="shared" si="126"/>
        <v>0</v>
      </c>
      <c r="O336" s="42"/>
      <c r="P336" s="14"/>
      <c r="Q336" s="34">
        <f>+SUM(START:END!Q336)</f>
        <v>0</v>
      </c>
      <c r="R336" s="42"/>
      <c r="S336" s="86">
        <f t="shared" si="125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96"/>
        <v>PiècesFournitures autres</v>
      </c>
      <c r="B337" s="12" t="s">
        <v>104</v>
      </c>
      <c r="C337" s="108" t="s">
        <v>57</v>
      </c>
      <c r="D337" s="82"/>
      <c r="E337" s="14"/>
      <c r="F337" s="31">
        <f>+SUM(START:END!F337)</f>
        <v>372</v>
      </c>
      <c r="G337" s="84"/>
      <c r="H337" s="14"/>
      <c r="I337" s="31">
        <f>+SUM(START:END!I337)</f>
        <v>372</v>
      </c>
      <c r="J337" s="42"/>
      <c r="K337" s="14"/>
      <c r="L337" s="34">
        <f>+SUM(START:END!L337)</f>
        <v>870.62</v>
      </c>
      <c r="M337" s="42"/>
      <c r="N337" s="60">
        <f t="shared" si="126"/>
        <v>498.62</v>
      </c>
      <c r="O337" s="42"/>
      <c r="P337" s="14"/>
      <c r="Q337" s="34">
        <f>+SUM(START:END!Q337)</f>
        <v>325</v>
      </c>
      <c r="R337" s="42"/>
      <c r="S337" s="86">
        <f t="shared" si="125"/>
        <v>545.62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96"/>
        <v>PiècesUniformes</v>
      </c>
      <c r="B338" s="12" t="s">
        <v>104</v>
      </c>
      <c r="C338" s="108" t="s">
        <v>58</v>
      </c>
      <c r="D338" s="82"/>
      <c r="E338" s="14"/>
      <c r="F338" s="31">
        <f>+SUM(START:END!F338)</f>
        <v>510</v>
      </c>
      <c r="G338" s="84"/>
      <c r="H338" s="14"/>
      <c r="I338" s="31">
        <f>+SUM(START:END!I338)</f>
        <v>510</v>
      </c>
      <c r="J338" s="42"/>
      <c r="K338" s="14"/>
      <c r="L338" s="34">
        <f>+SUM(START:END!L338)</f>
        <v>0</v>
      </c>
      <c r="M338" s="42"/>
      <c r="N338" s="60">
        <f t="shared" si="126"/>
        <v>-510</v>
      </c>
      <c r="O338" s="42"/>
      <c r="P338" s="14"/>
      <c r="Q338" s="34">
        <f>+SUM(START:END!Q338)</f>
        <v>510</v>
      </c>
      <c r="R338" s="42"/>
      <c r="S338" s="86">
        <f t="shared" si="125"/>
        <v>-510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96"/>
        <v>PiècesPapeterie</v>
      </c>
      <c r="B339" s="12" t="s">
        <v>104</v>
      </c>
      <c r="C339" s="108" t="s">
        <v>59</v>
      </c>
      <c r="D339" s="82"/>
      <c r="E339" s="14"/>
      <c r="F339" s="31">
        <f>+SUM(START:END!F339)</f>
        <v>1635</v>
      </c>
      <c r="G339" s="84"/>
      <c r="H339" s="14"/>
      <c r="I339" s="31">
        <f>+SUM(START:END!I339)</f>
        <v>1635</v>
      </c>
      <c r="J339" s="42"/>
      <c r="K339" s="14"/>
      <c r="L339" s="33">
        <f>+SUM(START:END!L339)</f>
        <v>1917.62</v>
      </c>
      <c r="M339" s="42"/>
      <c r="N339" s="60">
        <f t="shared" si="126"/>
        <v>282.61999999999989</v>
      </c>
      <c r="O339" s="42"/>
      <c r="P339" s="14"/>
      <c r="Q339" s="33">
        <f>+SUM(START:END!Q339)</f>
        <v>1387.5</v>
      </c>
      <c r="R339" s="42"/>
      <c r="S339" s="86">
        <f t="shared" si="125"/>
        <v>530.11999999999989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96"/>
        <v>PiècesTéléphone</v>
      </c>
      <c r="B340" s="12" t="s">
        <v>104</v>
      </c>
      <c r="C340" s="108" t="s">
        <v>60</v>
      </c>
      <c r="D340" s="82"/>
      <c r="E340" s="14"/>
      <c r="F340" s="31">
        <f>+SUM(START:END!F340)</f>
        <v>1356.8249999999998</v>
      </c>
      <c r="G340" s="84"/>
      <c r="H340" s="14"/>
      <c r="I340" s="31">
        <f>+SUM(START:END!I340)</f>
        <v>1356.8249999999998</v>
      </c>
      <c r="J340" s="42"/>
      <c r="K340" s="14"/>
      <c r="L340" s="34">
        <f>+SUM(START:END!L340)</f>
        <v>281.36</v>
      </c>
      <c r="M340" s="42"/>
      <c r="N340" s="60">
        <f t="shared" si="126"/>
        <v>-1075.4649999999997</v>
      </c>
      <c r="O340" s="42"/>
      <c r="P340" s="14"/>
      <c r="Q340" s="34">
        <f>+SUM(START:END!Q340)</f>
        <v>1002.2800000000001</v>
      </c>
      <c r="R340" s="42"/>
      <c r="S340" s="86">
        <f t="shared" si="125"/>
        <v>-720.92000000000007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96"/>
        <v>PiècesFrais postaux</v>
      </c>
      <c r="B341" s="12" t="s">
        <v>104</v>
      </c>
      <c r="C341" s="108" t="s">
        <v>61</v>
      </c>
      <c r="D341" s="82"/>
      <c r="E341" s="14"/>
      <c r="F341" s="31">
        <f>+SUM(START:END!F341)</f>
        <v>648.75</v>
      </c>
      <c r="G341" s="84"/>
      <c r="H341" s="14"/>
      <c r="I341" s="31">
        <f>+SUM(START:END!I341)</f>
        <v>648.75</v>
      </c>
      <c r="J341" s="42"/>
      <c r="K341" s="14"/>
      <c r="L341" s="34">
        <f>+SUM(START:END!L341)</f>
        <v>15.980000000000004</v>
      </c>
      <c r="M341" s="42"/>
      <c r="N341" s="60">
        <f t="shared" si="126"/>
        <v>-632.77</v>
      </c>
      <c r="O341" s="42"/>
      <c r="P341" s="14"/>
      <c r="Q341" s="34">
        <f>+SUM(START:END!Q341)</f>
        <v>242.8</v>
      </c>
      <c r="R341" s="42"/>
      <c r="S341" s="86">
        <f t="shared" si="125"/>
        <v>-226.82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96"/>
        <v>PiècesDivers</v>
      </c>
      <c r="B342" s="12" t="s">
        <v>104</v>
      </c>
      <c r="C342" s="108" t="s">
        <v>62</v>
      </c>
      <c r="D342" s="82"/>
      <c r="E342" s="14"/>
      <c r="F342" s="31">
        <f>+SUM(START:END!F342)</f>
        <v>2693.25</v>
      </c>
      <c r="G342" s="84"/>
      <c r="H342" s="14"/>
      <c r="I342" s="31">
        <f>+SUM(START:END!I342)</f>
        <v>2693.25</v>
      </c>
      <c r="J342" s="42"/>
      <c r="K342" s="14"/>
      <c r="L342" s="34">
        <f>+SUM(START:END!L342)</f>
        <v>1174.51</v>
      </c>
      <c r="M342" s="42"/>
      <c r="N342" s="60">
        <f t="shared" si="126"/>
        <v>-1518.74</v>
      </c>
      <c r="O342" s="42"/>
      <c r="P342" s="14"/>
      <c r="Q342" s="34">
        <f>+SUM(START:END!Q342)</f>
        <v>3972.5499999999997</v>
      </c>
      <c r="R342" s="42"/>
      <c r="S342" s="86">
        <f t="shared" si="125"/>
        <v>-2798.04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96"/>
        <v>PiècesFormation</v>
      </c>
      <c r="B343" s="12" t="s">
        <v>104</v>
      </c>
      <c r="C343" s="108" t="s">
        <v>63</v>
      </c>
      <c r="D343" s="82"/>
      <c r="E343" s="14"/>
      <c r="F343" s="31">
        <f>+SUM(START:END!F343)</f>
        <v>741.4375</v>
      </c>
      <c r="G343" s="84"/>
      <c r="H343" s="14"/>
      <c r="I343" s="31">
        <f>+SUM(START:END!I343)</f>
        <v>741.4375</v>
      </c>
      <c r="J343" s="42"/>
      <c r="K343" s="14"/>
      <c r="L343" s="34">
        <f>+SUM(START:END!L343)</f>
        <v>316.41999999999996</v>
      </c>
      <c r="M343" s="42"/>
      <c r="N343" s="60">
        <f t="shared" si="126"/>
        <v>-425.01750000000004</v>
      </c>
      <c r="O343" s="42"/>
      <c r="P343" s="14"/>
      <c r="Q343" s="34">
        <f>+SUM(START:END!Q343)</f>
        <v>975</v>
      </c>
      <c r="R343" s="42"/>
      <c r="S343" s="86">
        <f t="shared" si="125"/>
        <v>-658.58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96"/>
        <v>PiècesFrais bancaires</v>
      </c>
      <c r="B344" s="12" t="s">
        <v>104</v>
      </c>
      <c r="C344" s="108" t="s">
        <v>64</v>
      </c>
      <c r="D344" s="82"/>
      <c r="E344" s="14"/>
      <c r="F344" s="31">
        <f>+SUM(START:END!F344)</f>
        <v>7892.0557779866604</v>
      </c>
      <c r="G344" s="84"/>
      <c r="H344" s="14"/>
      <c r="I344" s="31">
        <f>+SUM(START:END!I344)</f>
        <v>7892.0557779866604</v>
      </c>
      <c r="J344" s="42"/>
      <c r="K344" s="14"/>
      <c r="L344" s="33">
        <f>+SUM(START:END!L344)</f>
        <v>4361.2739999999994</v>
      </c>
      <c r="M344" s="42"/>
      <c r="N344" s="60">
        <f t="shared" si="126"/>
        <v>-3530.7817779866609</v>
      </c>
      <c r="O344" s="42"/>
      <c r="P344" s="14"/>
      <c r="Q344" s="34">
        <f>+SUM(START:END!Q344)</f>
        <v>5769.2800000000007</v>
      </c>
      <c r="R344" s="42"/>
      <c r="S344" s="86">
        <f t="shared" si="125"/>
        <v>-1408.0060000000012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96"/>
        <v>Pièces[...]</v>
      </c>
      <c r="B345" s="12" t="s">
        <v>104</v>
      </c>
      <c r="C345" s="108" t="s">
        <v>21</v>
      </c>
      <c r="D345" s="82"/>
      <c r="E345" s="14"/>
      <c r="F345" s="31">
        <f>+SUM(START:END!F345)</f>
        <v>0</v>
      </c>
      <c r="G345" s="84"/>
      <c r="H345" s="14"/>
      <c r="I345" s="31">
        <f>+SUM(START:END!I345)</f>
        <v>0</v>
      </c>
      <c r="J345" s="42"/>
      <c r="K345" s="14"/>
      <c r="L345" s="34">
        <f>+SUM(START:END!L345)</f>
        <v>0</v>
      </c>
      <c r="M345" s="42"/>
      <c r="N345" s="60">
        <f t="shared" si="126"/>
        <v>0</v>
      </c>
      <c r="O345" s="42"/>
      <c r="P345" s="14"/>
      <c r="Q345" s="34">
        <f>+SUM(START:END!Q345)</f>
        <v>0</v>
      </c>
      <c r="R345" s="42"/>
      <c r="S345" s="86">
        <f t="shared" si="125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96"/>
        <v>Pièces[...]</v>
      </c>
      <c r="B346" s="12" t="s">
        <v>104</v>
      </c>
      <c r="C346" s="108" t="s">
        <v>21</v>
      </c>
      <c r="D346" s="82"/>
      <c r="E346" s="14"/>
      <c r="F346" s="31">
        <f>+SUM(START:END!F346)</f>
        <v>0</v>
      </c>
      <c r="G346" s="84"/>
      <c r="H346" s="14"/>
      <c r="I346" s="31">
        <f>+SUM(START:END!I346)</f>
        <v>0</v>
      </c>
      <c r="J346" s="42"/>
      <c r="K346" s="14"/>
      <c r="L346" s="34">
        <f>+SUM(START:END!L346)</f>
        <v>0</v>
      </c>
      <c r="M346" s="42"/>
      <c r="N346" s="60">
        <f t="shared" si="126"/>
        <v>0</v>
      </c>
      <c r="O346" s="42"/>
      <c r="P346" s="14"/>
      <c r="Q346" s="34">
        <f>+SUM(START:END!Q346)</f>
        <v>0</v>
      </c>
      <c r="R346" s="42"/>
      <c r="S346" s="86">
        <f t="shared" si="125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96"/>
        <v>Pièces[...]</v>
      </c>
      <c r="B347" s="12" t="s">
        <v>104</v>
      </c>
      <c r="C347" s="108" t="s">
        <v>21</v>
      </c>
      <c r="D347" s="82"/>
      <c r="E347" s="14"/>
      <c r="F347" s="31">
        <f>+SUM(START:END!F347)</f>
        <v>0</v>
      </c>
      <c r="G347" s="84"/>
      <c r="H347" s="14"/>
      <c r="I347" s="31">
        <f>+SUM(START:END!I347)</f>
        <v>0</v>
      </c>
      <c r="J347" s="42"/>
      <c r="K347" s="14"/>
      <c r="L347" s="34">
        <f>+SUM(START:END!L347)</f>
        <v>0</v>
      </c>
      <c r="M347" s="42"/>
      <c r="N347" s="60">
        <f t="shared" si="126"/>
        <v>0</v>
      </c>
      <c r="O347" s="42"/>
      <c r="P347" s="14"/>
      <c r="Q347" s="34">
        <f>+SUM(START:END!Q347)</f>
        <v>0</v>
      </c>
      <c r="R347" s="42"/>
      <c r="S347" s="86">
        <f t="shared" si="125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0.2259796263154496</v>
      </c>
      <c r="F348" s="102">
        <f>+SUM(F330:F347)</f>
        <v>75860.356683665508</v>
      </c>
      <c r="G348" s="103" t="s">
        <v>40</v>
      </c>
      <c r="H348" s="101">
        <f>I348/I$313</f>
        <v>0.2259796263154496</v>
      </c>
      <c r="I348" s="102">
        <f>+SUM(I330:I347)</f>
        <v>75860.356683665508</v>
      </c>
      <c r="J348" s="103" t="s">
        <v>40</v>
      </c>
      <c r="K348" s="101">
        <f>L348/L$313</f>
        <v>0.14094305132589149</v>
      </c>
      <c r="L348" s="102">
        <f>+SUM(L330:L347)</f>
        <v>46120.214</v>
      </c>
      <c r="M348" s="106"/>
      <c r="N348" s="102">
        <f>+SUM(N330:N347)</f>
        <v>-29740.142683665512</v>
      </c>
      <c r="O348" s="103" t="s">
        <v>40</v>
      </c>
      <c r="P348" s="101">
        <f>Q348/Q$313</f>
        <v>0.27522161709204807</v>
      </c>
      <c r="Q348" s="102">
        <f>+SUM(Q330:Q347)</f>
        <v>98807.310000000012</v>
      </c>
      <c r="R348" s="106"/>
      <c r="S348" s="107">
        <f>+SUM(S330:S347)</f>
        <v>-52687.095999999998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0.58550577511980928</v>
      </c>
      <c r="F350" s="102">
        <f>F329+F348</f>
        <v>196551.68771246937</v>
      </c>
      <c r="G350" s="103" t="s">
        <v>40</v>
      </c>
      <c r="H350" s="101">
        <f>I350/I$313</f>
        <v>0.58550577511980928</v>
      </c>
      <c r="I350" s="102">
        <f>I329+I348</f>
        <v>196551.68771246937</v>
      </c>
      <c r="J350" s="103" t="s">
        <v>40</v>
      </c>
      <c r="K350" s="101">
        <f>L350/L$313</f>
        <v>0.53528615768410515</v>
      </c>
      <c r="L350" s="102">
        <f>L329+L348</f>
        <v>175159.48400000003</v>
      </c>
      <c r="M350" s="106"/>
      <c r="N350" s="119">
        <f t="shared" ref="N350:N352" si="127">L350-I350</f>
        <v>-21392.203712469345</v>
      </c>
      <c r="O350" s="103" t="s">
        <v>40</v>
      </c>
      <c r="P350" s="101">
        <f>Q350/Q$313</f>
        <v>0.66628271263426397</v>
      </c>
      <c r="Q350" s="102">
        <f>Q329+Q348</f>
        <v>239202.15000000002</v>
      </c>
      <c r="R350" s="106"/>
      <c r="S350" s="120">
        <f>L350-Q350</f>
        <v>-64042.665999999997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27"/>
        <v>0</v>
      </c>
      <c r="O351" s="42"/>
      <c r="P351" s="14"/>
      <c r="Q351" s="60"/>
      <c r="R351" s="42"/>
      <c r="S351" s="86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f>F313-F350</f>
        <v>139143.86998249945</v>
      </c>
      <c r="G352" s="160"/>
      <c r="H352" s="131"/>
      <c r="I352" s="133">
        <f>I313-I350</f>
        <v>139143.86998249945</v>
      </c>
      <c r="J352" s="161"/>
      <c r="K352" s="132"/>
      <c r="L352" s="133">
        <f>L313-L350</f>
        <v>152066.39599999992</v>
      </c>
      <c r="M352" s="161"/>
      <c r="N352" s="133">
        <f t="shared" si="127"/>
        <v>12922.526017500466</v>
      </c>
      <c r="O352" s="161"/>
      <c r="P352" s="132"/>
      <c r="Q352" s="133">
        <f>Q313-Q350</f>
        <v>119807.84000000003</v>
      </c>
      <c r="R352" s="161"/>
      <c r="S352" s="135">
        <f>L352-Q352</f>
        <v>32258.555999999895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 xml:space="preserve">Réalisé  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19" t="s">
        <v>5</v>
      </c>
      <c r="E357" s="520"/>
      <c r="F357" s="521"/>
      <c r="G357" s="522" t="s">
        <v>75</v>
      </c>
      <c r="H357" s="520"/>
      <c r="I357" s="521"/>
      <c r="J357" s="522" t="s">
        <v>7</v>
      </c>
      <c r="K357" s="520"/>
      <c r="L357" s="521"/>
      <c r="M357" s="522" t="s">
        <v>8</v>
      </c>
      <c r="N357" s="521"/>
      <c r="O357" s="519" t="s">
        <v>9</v>
      </c>
      <c r="P357" s="520"/>
      <c r="Q357" s="521"/>
      <c r="R357" s="522" t="s">
        <v>10</v>
      </c>
      <c r="S357" s="523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28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28"/>
        <v>BoutiqueBoutique</v>
      </c>
      <c r="B359" s="12" t="s">
        <v>120</v>
      </c>
      <c r="C359" s="63" t="s">
        <v>120</v>
      </c>
      <c r="D359" s="245">
        <f>+SUM(START:END!D359)</f>
        <v>0</v>
      </c>
      <c r="E359" s="246">
        <f>IFERROR(F359/D359,0)</f>
        <v>0</v>
      </c>
      <c r="F359" s="247">
        <f>+SUM(START:END!F359)</f>
        <v>0</v>
      </c>
      <c r="G359" s="245">
        <f>+SUM(START:END!G359)</f>
        <v>0</v>
      </c>
      <c r="H359" s="246">
        <f>IFERROR(I359/G359,0)</f>
        <v>0</v>
      </c>
      <c r="I359" s="245">
        <f>+SUM(START:END!I359)</f>
        <v>0</v>
      </c>
      <c r="J359" s="248">
        <f>+SUM(START:END!J359)</f>
        <v>0</v>
      </c>
      <c r="K359" s="229">
        <f>IFERROR(L359/J359,0)</f>
        <v>0</v>
      </c>
      <c r="L359" s="249">
        <f>+SUM(START:END!L359)</f>
        <v>0</v>
      </c>
      <c r="M359" s="230">
        <f>IF(G359=0,0,(+J359-G359)/G359)</f>
        <v>0</v>
      </c>
      <c r="N359" s="231">
        <f>L359-I359</f>
        <v>0</v>
      </c>
      <c r="O359" s="248">
        <f>+SUM(START:END!O359)</f>
        <v>0</v>
      </c>
      <c r="P359" s="229">
        <f>IFERROR(Q359/O359,0)</f>
        <v>0</v>
      </c>
      <c r="Q359" s="249">
        <f>+SUM(START:END!Q359)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X359" s="250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28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28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29">+F359</f>
        <v>0</v>
      </c>
      <c r="G361" s="184">
        <f>+G359</f>
        <v>0</v>
      </c>
      <c r="H361" s="183">
        <f>IF(G361&lt;=0,0,I361/G361)</f>
        <v>0</v>
      </c>
      <c r="I361" s="185">
        <f t="shared" ref="I361" si="130">+I359</f>
        <v>0</v>
      </c>
      <c r="J361" s="184">
        <f>+J359</f>
        <v>0</v>
      </c>
      <c r="K361" s="183">
        <f>IF(J361&lt;=0,0,L361/J361)</f>
        <v>0</v>
      </c>
      <c r="L361" s="185">
        <f t="shared" ref="L361" si="131">+L359</f>
        <v>0</v>
      </c>
      <c r="M361" s="252">
        <f>IF(G361=0,0,(+J361-G361)/G361)</f>
        <v>0</v>
      </c>
      <c r="N361" s="253">
        <f>L361-I361</f>
        <v>0</v>
      </c>
      <c r="O361" s="184">
        <f>+O359</f>
        <v>0</v>
      </c>
      <c r="P361" s="183">
        <f>IF(O361&lt;=0,0,Q361/O361)</f>
        <v>0</v>
      </c>
      <c r="Q361" s="185">
        <f t="shared" ref="Q361" si="132"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28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28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28"/>
        <v>BoutiqueSalaires cadres</v>
      </c>
      <c r="B364" s="12" t="s">
        <v>120</v>
      </c>
      <c r="C364" s="108" t="s">
        <v>42</v>
      </c>
      <c r="D364" s="14"/>
      <c r="E364" s="14"/>
      <c r="F364" s="31">
        <f>+SUM(START:END!F364)</f>
        <v>0</v>
      </c>
      <c r="G364" s="42"/>
      <c r="H364" s="14"/>
      <c r="I364" s="31">
        <f>+SUM(START:END!I364)</f>
        <v>0</v>
      </c>
      <c r="J364" s="42"/>
      <c r="K364" s="14"/>
      <c r="L364" s="34">
        <f>+SUM(START:END!L364)</f>
        <v>0</v>
      </c>
      <c r="M364" s="42"/>
      <c r="N364" s="41"/>
      <c r="O364" s="42"/>
      <c r="P364" s="14"/>
      <c r="Q364" s="34">
        <f>+SUM(START:END!Q364)</f>
        <v>0</v>
      </c>
      <c r="R364" s="42"/>
      <c r="S364" s="35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28"/>
        <v>BoutiqueSalaires commis</v>
      </c>
      <c r="B365" s="12" t="s">
        <v>120</v>
      </c>
      <c r="C365" s="109" t="s">
        <v>43</v>
      </c>
      <c r="D365" s="82"/>
      <c r="E365" s="14"/>
      <c r="F365" s="23">
        <f>+SUM(START:END!F365)</f>
        <v>0</v>
      </c>
      <c r="G365" s="84"/>
      <c r="H365" s="14"/>
      <c r="I365" s="23">
        <f>+SUM(START:END!I365)</f>
        <v>0</v>
      </c>
      <c r="J365" s="42"/>
      <c r="K365" s="14"/>
      <c r="L365" s="23">
        <f>+SUM(START:END!L365)</f>
        <v>0</v>
      </c>
      <c r="M365" s="42"/>
      <c r="N365" s="60">
        <f t="shared" ref="N365:N393" si="133">L365-I365</f>
        <v>0</v>
      </c>
      <c r="O365" s="42"/>
      <c r="P365" s="14"/>
      <c r="Q365" s="23">
        <f>+SUM(START:END!Q365)</f>
        <v>0</v>
      </c>
      <c r="R365" s="42"/>
      <c r="S365" s="86">
        <f t="shared" ref="S365:S393" si="134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28"/>
        <v>BoutiqueSalaires autres</v>
      </c>
      <c r="B366" s="12" t="s">
        <v>120</v>
      </c>
      <c r="C366" s="108" t="s">
        <v>44</v>
      </c>
      <c r="D366" s="110"/>
      <c r="E366" s="111"/>
      <c r="F366" s="31">
        <f>+SUM(START:END!F366)</f>
        <v>0</v>
      </c>
      <c r="G366" s="112"/>
      <c r="H366" s="111"/>
      <c r="I366" s="31">
        <f>+SUM(START:END!I366)</f>
        <v>0</v>
      </c>
      <c r="J366" s="113"/>
      <c r="K366" s="111"/>
      <c r="L366" s="34">
        <f>+SUM(START:END!L366)</f>
        <v>0</v>
      </c>
      <c r="M366" s="113"/>
      <c r="N366" s="115">
        <f t="shared" si="133"/>
        <v>0</v>
      </c>
      <c r="O366" s="113"/>
      <c r="P366" s="111"/>
      <c r="Q366" s="34">
        <f>+SUM(START:END!Q366)</f>
        <v>0</v>
      </c>
      <c r="R366" s="113"/>
      <c r="S366" s="116">
        <f t="shared" si="134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28"/>
        <v>BoutiqueSalaires spécialistes</v>
      </c>
      <c r="B367" s="12" t="s">
        <v>120</v>
      </c>
      <c r="C367" s="108" t="s">
        <v>45</v>
      </c>
      <c r="D367" s="82"/>
      <c r="E367" s="14"/>
      <c r="F367" s="31">
        <f>+SUM(START:END!F367)</f>
        <v>0</v>
      </c>
      <c r="G367" s="84"/>
      <c r="H367" s="14"/>
      <c r="I367" s="31">
        <f>+SUM(START:END!I367)</f>
        <v>0</v>
      </c>
      <c r="J367" s="42"/>
      <c r="K367" s="14"/>
      <c r="L367" s="34">
        <f>+SUM(START:END!L367)</f>
        <v>0</v>
      </c>
      <c r="M367" s="42"/>
      <c r="N367" s="60">
        <f t="shared" si="133"/>
        <v>0</v>
      </c>
      <c r="O367" s="42"/>
      <c r="P367" s="14"/>
      <c r="Q367" s="34">
        <f>+SUM(START:END!Q367)</f>
        <v>0</v>
      </c>
      <c r="R367" s="42"/>
      <c r="S367" s="86">
        <f t="shared" si="134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28"/>
        <v>Boutique[...]</v>
      </c>
      <c r="B368" s="12" t="s">
        <v>120</v>
      </c>
      <c r="C368" s="30" t="s">
        <v>21</v>
      </c>
      <c r="D368" s="82"/>
      <c r="E368" s="14"/>
      <c r="F368" s="31">
        <f>+SUM(START:END!F368)</f>
        <v>0</v>
      </c>
      <c r="G368" s="84"/>
      <c r="H368" s="14"/>
      <c r="I368" s="31">
        <f>+SUM(START:END!I368)</f>
        <v>0</v>
      </c>
      <c r="J368" s="42"/>
      <c r="K368" s="14"/>
      <c r="L368" s="34">
        <f>+SUM(START:END!L368)</f>
        <v>0</v>
      </c>
      <c r="M368" s="42"/>
      <c r="N368" s="60">
        <f t="shared" si="133"/>
        <v>0</v>
      </c>
      <c r="O368" s="42"/>
      <c r="P368" s="14"/>
      <c r="Q368" s="34">
        <f>+SUM(START:END!Q368)</f>
        <v>0</v>
      </c>
      <c r="R368" s="42"/>
      <c r="S368" s="86">
        <f t="shared" si="134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28"/>
        <v>Boutique[...]</v>
      </c>
      <c r="B369" s="12" t="s">
        <v>120</v>
      </c>
      <c r="C369" s="30" t="s">
        <v>21</v>
      </c>
      <c r="D369" s="82"/>
      <c r="E369" s="14"/>
      <c r="F369" s="31">
        <f>+SUM(START:END!F369)</f>
        <v>0</v>
      </c>
      <c r="G369" s="84"/>
      <c r="H369" s="14"/>
      <c r="I369" s="31">
        <f>+SUM(START:END!I369)</f>
        <v>0</v>
      </c>
      <c r="J369" s="42"/>
      <c r="K369" s="14"/>
      <c r="L369" s="34">
        <f>+SUM(START:END!L369)</f>
        <v>0</v>
      </c>
      <c r="M369" s="42"/>
      <c r="N369" s="60">
        <f t="shared" si="133"/>
        <v>0</v>
      </c>
      <c r="O369" s="42"/>
      <c r="P369" s="14"/>
      <c r="Q369" s="34">
        <f>+SUM(START:END!Q369)</f>
        <v>0</v>
      </c>
      <c r="R369" s="42"/>
      <c r="S369" s="86">
        <f t="shared" si="134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28"/>
        <v>Boutique[...]</v>
      </c>
      <c r="B370" s="12" t="s">
        <v>120</v>
      </c>
      <c r="C370" s="30" t="s">
        <v>21</v>
      </c>
      <c r="D370" s="82"/>
      <c r="E370" s="14"/>
      <c r="F370" s="31">
        <f>+SUM(START:END!F370)</f>
        <v>0</v>
      </c>
      <c r="G370" s="84"/>
      <c r="H370" s="14"/>
      <c r="I370" s="31">
        <f>+SUM(START:END!I370)</f>
        <v>0</v>
      </c>
      <c r="J370" s="42"/>
      <c r="K370" s="14"/>
      <c r="L370" s="34">
        <f>+SUM(START:END!L370)</f>
        <v>0</v>
      </c>
      <c r="M370" s="42"/>
      <c r="N370" s="60">
        <f t="shared" si="133"/>
        <v>0</v>
      </c>
      <c r="O370" s="42"/>
      <c r="P370" s="14"/>
      <c r="Q370" s="34">
        <f>+SUM(START:END!Q370)</f>
        <v>0</v>
      </c>
      <c r="R370" s="42"/>
      <c r="S370" s="86">
        <f t="shared" si="134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28"/>
        <v>BoutiqueSalaires en absences</v>
      </c>
      <c r="B371" s="12" t="s">
        <v>120</v>
      </c>
      <c r="C371" s="109" t="s">
        <v>46</v>
      </c>
      <c r="D371" s="82"/>
      <c r="E371" s="14"/>
      <c r="F371" s="23">
        <f>+SUM(START:END!F371)</f>
        <v>0</v>
      </c>
      <c r="G371" s="84"/>
      <c r="H371" s="14"/>
      <c r="I371" s="23">
        <f>+SUM(START:END!I371)</f>
        <v>0</v>
      </c>
      <c r="J371" s="42"/>
      <c r="K371" s="14"/>
      <c r="L371" s="23">
        <f>+SUM(START:END!L371)</f>
        <v>0</v>
      </c>
      <c r="M371" s="42"/>
      <c r="N371" s="60">
        <f t="shared" si="133"/>
        <v>0</v>
      </c>
      <c r="O371" s="42"/>
      <c r="P371" s="14"/>
      <c r="Q371" s="23">
        <f>+SUM(START:END!Q371)</f>
        <v>0</v>
      </c>
      <c r="R371" s="42"/>
      <c r="S371" s="86">
        <f t="shared" si="134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28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+SUM(START:END!F372)</f>
        <v>0</v>
      </c>
      <c r="G372" s="112"/>
      <c r="H372" s="111"/>
      <c r="I372" s="31">
        <f>+SUM(START:END!I372)</f>
        <v>0</v>
      </c>
      <c r="J372" s="113"/>
      <c r="K372" s="111"/>
      <c r="L372" s="34">
        <f>+SUM(START:END!L372)</f>
        <v>0</v>
      </c>
      <c r="M372" s="113"/>
      <c r="N372" s="115">
        <f t="shared" si="133"/>
        <v>0</v>
      </c>
      <c r="O372" s="113"/>
      <c r="P372" s="111"/>
      <c r="Q372" s="34">
        <f>+SUM(START:END!Q372)</f>
        <v>0</v>
      </c>
      <c r="R372" s="113"/>
      <c r="S372" s="116">
        <f t="shared" si="134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28"/>
        <v>BoutiqueBénéfices marginaux</v>
      </c>
      <c r="B373" s="12" t="s">
        <v>120</v>
      </c>
      <c r="C373" s="108" t="s">
        <v>48</v>
      </c>
      <c r="D373" s="82"/>
      <c r="E373" s="14"/>
      <c r="F373" s="31">
        <f>+SUM(START:END!F373)</f>
        <v>0</v>
      </c>
      <c r="G373" s="84"/>
      <c r="H373" s="14"/>
      <c r="I373" s="31">
        <f>+SUM(START:END!I373)</f>
        <v>0</v>
      </c>
      <c r="J373" s="42"/>
      <c r="K373" s="14"/>
      <c r="L373" s="34">
        <f>+SUM(START:END!L373)</f>
        <v>0</v>
      </c>
      <c r="M373" s="42"/>
      <c r="N373" s="60">
        <f t="shared" si="133"/>
        <v>0</v>
      </c>
      <c r="O373" s="42"/>
      <c r="P373" s="14"/>
      <c r="Q373" s="34">
        <f>+SUM(START:END!Q373)</f>
        <v>0</v>
      </c>
      <c r="R373" s="42"/>
      <c r="S373" s="86">
        <f t="shared" si="134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28"/>
        <v>BoutiqueCsst</v>
      </c>
      <c r="B374" s="12" t="s">
        <v>120</v>
      </c>
      <c r="C374" s="108" t="s">
        <v>49</v>
      </c>
      <c r="D374" s="82"/>
      <c r="E374" s="14"/>
      <c r="F374" s="31">
        <f>+SUM(START:END!F374)</f>
        <v>0</v>
      </c>
      <c r="G374" s="84"/>
      <c r="H374" s="14"/>
      <c r="I374" s="31">
        <f>+SUM(START:END!I374)</f>
        <v>0</v>
      </c>
      <c r="J374" s="42"/>
      <c r="K374" s="14"/>
      <c r="L374" s="34">
        <f>+SUM(START:END!L374)</f>
        <v>0</v>
      </c>
      <c r="M374" s="42"/>
      <c r="N374" s="60">
        <f t="shared" si="133"/>
        <v>0</v>
      </c>
      <c r="O374" s="42"/>
      <c r="P374" s="14"/>
      <c r="Q374" s="34">
        <f>+SUM(START:END!Q374)</f>
        <v>0</v>
      </c>
      <c r="R374" s="42"/>
      <c r="S374" s="86">
        <f t="shared" si="134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28"/>
        <v>Boutique[...]</v>
      </c>
      <c r="B375" s="12" t="s">
        <v>120</v>
      </c>
      <c r="C375" s="30" t="s">
        <v>21</v>
      </c>
      <c r="D375" s="89"/>
      <c r="E375" s="117"/>
      <c r="F375" s="31">
        <f>+SUM(START:END!F375)</f>
        <v>0</v>
      </c>
      <c r="G375" s="91"/>
      <c r="H375" s="117"/>
      <c r="I375" s="31">
        <f>+SUM(START:END!I375)</f>
        <v>0</v>
      </c>
      <c r="J375" s="24"/>
      <c r="K375" s="117"/>
      <c r="L375" s="34">
        <f>+SUM(START:END!L375)</f>
        <v>0</v>
      </c>
      <c r="M375" s="24"/>
      <c r="N375" s="94">
        <f t="shared" si="133"/>
        <v>0</v>
      </c>
      <c r="O375" s="24"/>
      <c r="P375" s="117"/>
      <c r="Q375" s="34">
        <f>+SUM(START:END!Q375)</f>
        <v>0</v>
      </c>
      <c r="R375" s="24"/>
      <c r="S375" s="95">
        <f t="shared" si="134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28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33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34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28"/>
        <v>BoutiquePublicité 2</v>
      </c>
      <c r="B377" s="12" t="s">
        <v>120</v>
      </c>
      <c r="C377" s="221" t="s">
        <v>51</v>
      </c>
      <c r="D377" s="82"/>
      <c r="E377" s="14"/>
      <c r="F377" s="31">
        <f>+SUM(START:END!F377)</f>
        <v>0</v>
      </c>
      <c r="G377" s="84"/>
      <c r="H377" s="14"/>
      <c r="I377" s="31">
        <f>+SUM(START:END!I377)</f>
        <v>0</v>
      </c>
      <c r="J377" s="42"/>
      <c r="K377" s="14"/>
      <c r="L377" s="34">
        <f>+SUM(START:END!L377)</f>
        <v>0</v>
      </c>
      <c r="M377" s="42"/>
      <c r="N377" s="60">
        <f t="shared" si="133"/>
        <v>0</v>
      </c>
      <c r="O377" s="42"/>
      <c r="P377" s="14"/>
      <c r="Q377" s="34">
        <f>+SUM(START:END!Q377)</f>
        <v>0</v>
      </c>
      <c r="R377" s="42"/>
      <c r="S377" s="86">
        <f t="shared" si="134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28"/>
        <v>BoutiqueService gratuit 2</v>
      </c>
      <c r="B378" s="12" t="s">
        <v>120</v>
      </c>
      <c r="C378" s="108" t="s">
        <v>52</v>
      </c>
      <c r="D378" s="82"/>
      <c r="E378" s="14"/>
      <c r="F378" s="31">
        <f>+SUM(START:END!F378)</f>
        <v>0</v>
      </c>
      <c r="G378" s="84"/>
      <c r="H378" s="14"/>
      <c r="I378" s="31">
        <f>+SUM(START:END!I378)</f>
        <v>0</v>
      </c>
      <c r="J378" s="42"/>
      <c r="K378" s="14"/>
      <c r="L378" s="34">
        <f>+SUM(START:END!L378)</f>
        <v>0</v>
      </c>
      <c r="M378" s="42"/>
      <c r="N378" s="60">
        <f t="shared" si="133"/>
        <v>0</v>
      </c>
      <c r="O378" s="42"/>
      <c r="P378" s="14"/>
      <c r="Q378" s="34">
        <f>+SUM(START:END!Q378)</f>
        <v>0</v>
      </c>
      <c r="R378" s="42"/>
      <c r="S378" s="86">
        <f t="shared" si="134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28"/>
        <v>BoutiqueFrais véhicules de cie</v>
      </c>
      <c r="B379" s="12" t="s">
        <v>120</v>
      </c>
      <c r="C379" s="109" t="s">
        <v>53</v>
      </c>
      <c r="D379" s="89"/>
      <c r="E379" s="117"/>
      <c r="F379" s="23">
        <f>+SUM(START:END!F379)</f>
        <v>0</v>
      </c>
      <c r="G379" s="91"/>
      <c r="H379" s="117"/>
      <c r="I379" s="23">
        <f>+SUM(START:END!I379)</f>
        <v>0</v>
      </c>
      <c r="J379" s="24"/>
      <c r="K379" s="117"/>
      <c r="L379" s="23">
        <f>+SUM(START:END!L379)</f>
        <v>0</v>
      </c>
      <c r="M379" s="24"/>
      <c r="N379" s="94">
        <f t="shared" si="133"/>
        <v>0</v>
      </c>
      <c r="O379" s="24"/>
      <c r="P379" s="117"/>
      <c r="Q379" s="23">
        <f>+SUM(START:END!Q379)</f>
        <v>0</v>
      </c>
      <c r="R379" s="24"/>
      <c r="S379" s="95">
        <f t="shared" si="134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28"/>
        <v>BoutiqueInformatique</v>
      </c>
      <c r="B380" s="12" t="s">
        <v>120</v>
      </c>
      <c r="C380" s="108" t="s">
        <v>54</v>
      </c>
      <c r="D380" s="82"/>
      <c r="E380" s="14"/>
      <c r="F380" s="31">
        <f>+SUM(START:END!F380)</f>
        <v>0</v>
      </c>
      <c r="G380" s="84"/>
      <c r="H380" s="14"/>
      <c r="I380" s="31">
        <f>+SUM(START:END!I380)</f>
        <v>0</v>
      </c>
      <c r="J380" s="42"/>
      <c r="K380" s="14"/>
      <c r="L380" s="34">
        <f>+SUM(START:END!L380)</f>
        <v>0</v>
      </c>
      <c r="M380" s="42"/>
      <c r="N380" s="60">
        <f t="shared" si="133"/>
        <v>0</v>
      </c>
      <c r="O380" s="42"/>
      <c r="P380" s="14"/>
      <c r="Q380" s="34">
        <f>+SUM(START:END!Q380)</f>
        <v>0</v>
      </c>
      <c r="R380" s="42"/>
      <c r="S380" s="86">
        <f t="shared" si="134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28"/>
        <v>BoutiqueFrais de déplacement</v>
      </c>
      <c r="B381" s="12" t="s">
        <v>120</v>
      </c>
      <c r="C381" s="108" t="s">
        <v>55</v>
      </c>
      <c r="D381" s="82"/>
      <c r="E381" s="14"/>
      <c r="F381" s="31">
        <f>+SUM(START:END!F381)</f>
        <v>0</v>
      </c>
      <c r="G381" s="84"/>
      <c r="H381" s="14"/>
      <c r="I381" s="31">
        <f>+SUM(START:END!I381)</f>
        <v>0</v>
      </c>
      <c r="J381" s="42"/>
      <c r="K381" s="14"/>
      <c r="L381" s="34">
        <f>+SUM(START:END!L381)</f>
        <v>0</v>
      </c>
      <c r="M381" s="42"/>
      <c r="N381" s="60">
        <f t="shared" si="133"/>
        <v>0</v>
      </c>
      <c r="O381" s="42"/>
      <c r="P381" s="14"/>
      <c r="Q381" s="34">
        <f>+SUM(START:END!Q381)</f>
        <v>0</v>
      </c>
      <c r="R381" s="42"/>
      <c r="S381" s="86">
        <f t="shared" si="134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28"/>
        <v>BoutiqueServices extérieurs</v>
      </c>
      <c r="B382" s="12" t="s">
        <v>120</v>
      </c>
      <c r="C382" s="108" t="s">
        <v>56</v>
      </c>
      <c r="D382" s="89"/>
      <c r="E382" s="117"/>
      <c r="F382" s="23">
        <f>+SUM(START:END!F382)</f>
        <v>0</v>
      </c>
      <c r="G382" s="91"/>
      <c r="H382" s="117"/>
      <c r="I382" s="23">
        <f>+SUM(START:END!I382)</f>
        <v>0</v>
      </c>
      <c r="J382" s="24"/>
      <c r="K382" s="117"/>
      <c r="L382" s="23">
        <f>+SUM(START:END!L382)</f>
        <v>0</v>
      </c>
      <c r="M382" s="24"/>
      <c r="N382" s="94">
        <f t="shared" si="133"/>
        <v>0</v>
      </c>
      <c r="O382" s="24"/>
      <c r="P382" s="117"/>
      <c r="Q382" s="23">
        <f>+SUM(START:END!Q382)</f>
        <v>0</v>
      </c>
      <c r="R382" s="24"/>
      <c r="S382" s="95">
        <f t="shared" si="134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28"/>
        <v>BoutiqueFournitures autres</v>
      </c>
      <c r="B383" s="12" t="s">
        <v>120</v>
      </c>
      <c r="C383" s="221" t="s">
        <v>57</v>
      </c>
      <c r="D383" s="82"/>
      <c r="E383" s="14"/>
      <c r="F383" s="31">
        <f>+SUM(START:END!F383)</f>
        <v>0</v>
      </c>
      <c r="G383" s="84"/>
      <c r="H383" s="14"/>
      <c r="I383" s="31">
        <f>+SUM(START:END!I383)</f>
        <v>0</v>
      </c>
      <c r="J383" s="42"/>
      <c r="K383" s="14"/>
      <c r="L383" s="34">
        <f>+SUM(START:END!L383)</f>
        <v>0</v>
      </c>
      <c r="M383" s="42"/>
      <c r="N383" s="60">
        <f t="shared" si="133"/>
        <v>0</v>
      </c>
      <c r="O383" s="42"/>
      <c r="P383" s="14"/>
      <c r="Q383" s="34">
        <f>+SUM(START:END!Q383)</f>
        <v>0</v>
      </c>
      <c r="R383" s="42"/>
      <c r="S383" s="86">
        <f t="shared" si="134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28"/>
        <v>BoutiqueUniformes</v>
      </c>
      <c r="B384" s="12" t="s">
        <v>120</v>
      </c>
      <c r="C384" s="108" t="s">
        <v>58</v>
      </c>
      <c r="D384" s="82"/>
      <c r="E384" s="14"/>
      <c r="F384" s="31">
        <f>+SUM(START:END!F384)</f>
        <v>0</v>
      </c>
      <c r="G384" s="84"/>
      <c r="H384" s="14"/>
      <c r="I384" s="31">
        <f>+SUM(START:END!I384)</f>
        <v>0</v>
      </c>
      <c r="J384" s="42"/>
      <c r="K384" s="14"/>
      <c r="L384" s="34">
        <f>+SUM(START:END!L384)</f>
        <v>0</v>
      </c>
      <c r="M384" s="42"/>
      <c r="N384" s="60">
        <f t="shared" si="133"/>
        <v>0</v>
      </c>
      <c r="O384" s="42"/>
      <c r="P384" s="14"/>
      <c r="Q384" s="34">
        <f>+SUM(START:END!Q384)</f>
        <v>0</v>
      </c>
      <c r="R384" s="42"/>
      <c r="S384" s="86">
        <f t="shared" si="134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28"/>
        <v>BoutiquePapeterie</v>
      </c>
      <c r="B385" s="12" t="s">
        <v>120</v>
      </c>
      <c r="C385" s="108" t="s">
        <v>59</v>
      </c>
      <c r="D385" s="82"/>
      <c r="E385" s="14"/>
      <c r="F385" s="31">
        <f>+SUM(START:END!F385)</f>
        <v>0</v>
      </c>
      <c r="G385" s="84"/>
      <c r="H385" s="14"/>
      <c r="I385" s="31">
        <f>+SUM(START:END!I385)</f>
        <v>0</v>
      </c>
      <c r="J385" s="42"/>
      <c r="K385" s="14"/>
      <c r="L385" s="34">
        <f>+SUM(START:END!L385)</f>
        <v>0</v>
      </c>
      <c r="M385" s="42"/>
      <c r="N385" s="60">
        <f t="shared" si="133"/>
        <v>0</v>
      </c>
      <c r="O385" s="42"/>
      <c r="P385" s="14"/>
      <c r="Q385" s="34">
        <f>+SUM(START:END!Q385)</f>
        <v>0</v>
      </c>
      <c r="R385" s="42"/>
      <c r="S385" s="86">
        <f t="shared" si="134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28"/>
        <v>BoutiqueTéléphone</v>
      </c>
      <c r="B386" s="12" t="s">
        <v>120</v>
      </c>
      <c r="C386" s="108" t="s">
        <v>60</v>
      </c>
      <c r="D386" s="82"/>
      <c r="E386" s="14"/>
      <c r="F386" s="31">
        <f>+SUM(START:END!F386)</f>
        <v>0</v>
      </c>
      <c r="G386" s="84"/>
      <c r="H386" s="14"/>
      <c r="I386" s="31">
        <f>+SUM(START:END!I386)</f>
        <v>0</v>
      </c>
      <c r="J386" s="42"/>
      <c r="K386" s="14"/>
      <c r="L386" s="34">
        <f>+SUM(START:END!L386)</f>
        <v>0</v>
      </c>
      <c r="M386" s="42"/>
      <c r="N386" s="60">
        <f t="shared" si="133"/>
        <v>0</v>
      </c>
      <c r="O386" s="42"/>
      <c r="P386" s="14"/>
      <c r="Q386" s="34">
        <f>+SUM(START:END!Q386)</f>
        <v>0</v>
      </c>
      <c r="R386" s="42"/>
      <c r="S386" s="86">
        <f t="shared" si="134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28"/>
        <v>BoutiqueFrais postaux</v>
      </c>
      <c r="B387" s="12" t="s">
        <v>120</v>
      </c>
      <c r="C387" s="108" t="s">
        <v>61</v>
      </c>
      <c r="D387" s="82"/>
      <c r="E387" s="14"/>
      <c r="F387" s="31">
        <f>+SUM(START:END!F387)</f>
        <v>0</v>
      </c>
      <c r="G387" s="84"/>
      <c r="H387" s="14"/>
      <c r="I387" s="31">
        <f>+SUM(START:END!I387)</f>
        <v>0</v>
      </c>
      <c r="J387" s="42"/>
      <c r="K387" s="14"/>
      <c r="L387" s="34">
        <f>+SUM(START:END!L387)</f>
        <v>0</v>
      </c>
      <c r="M387" s="42"/>
      <c r="N387" s="60">
        <f t="shared" si="133"/>
        <v>0</v>
      </c>
      <c r="O387" s="42"/>
      <c r="P387" s="14"/>
      <c r="Q387" s="34">
        <f>+SUM(START:END!Q387)</f>
        <v>0</v>
      </c>
      <c r="R387" s="42"/>
      <c r="S387" s="86">
        <f t="shared" si="134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28"/>
        <v>BoutiqueDivers</v>
      </c>
      <c r="B388" s="12" t="s">
        <v>120</v>
      </c>
      <c r="C388" s="108" t="s">
        <v>62</v>
      </c>
      <c r="D388" s="82"/>
      <c r="E388" s="14"/>
      <c r="F388" s="31">
        <f>+SUM(START:END!F388)</f>
        <v>0</v>
      </c>
      <c r="G388" s="84"/>
      <c r="H388" s="14"/>
      <c r="I388" s="31">
        <f>+SUM(START:END!I388)</f>
        <v>0</v>
      </c>
      <c r="J388" s="42"/>
      <c r="K388" s="14"/>
      <c r="L388" s="34">
        <f>+SUM(START:END!L388)</f>
        <v>0</v>
      </c>
      <c r="M388" s="42"/>
      <c r="N388" s="60">
        <f t="shared" si="133"/>
        <v>0</v>
      </c>
      <c r="O388" s="42"/>
      <c r="P388" s="14"/>
      <c r="Q388" s="34">
        <f>+SUM(START:END!Q388)</f>
        <v>0</v>
      </c>
      <c r="R388" s="42"/>
      <c r="S388" s="86">
        <f t="shared" si="134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28"/>
        <v>BoutiqueFormation</v>
      </c>
      <c r="B389" s="12" t="s">
        <v>120</v>
      </c>
      <c r="C389" s="108" t="s">
        <v>63</v>
      </c>
      <c r="D389" s="82"/>
      <c r="E389" s="14"/>
      <c r="F389" s="31">
        <f>+SUM(START:END!F389)</f>
        <v>0</v>
      </c>
      <c r="G389" s="84"/>
      <c r="H389" s="14"/>
      <c r="I389" s="31">
        <f>+SUM(START:END!I389)</f>
        <v>0</v>
      </c>
      <c r="J389" s="42"/>
      <c r="K389" s="14"/>
      <c r="L389" s="34">
        <f>+SUM(START:END!L389)</f>
        <v>0</v>
      </c>
      <c r="M389" s="42"/>
      <c r="N389" s="60">
        <f t="shared" si="133"/>
        <v>0</v>
      </c>
      <c r="O389" s="42"/>
      <c r="P389" s="14"/>
      <c r="Q389" s="34">
        <f>+SUM(START:END!Q389)</f>
        <v>0</v>
      </c>
      <c r="R389" s="42"/>
      <c r="S389" s="86">
        <f t="shared" si="134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28"/>
        <v>BoutiqueFrais bancaires</v>
      </c>
      <c r="B390" s="12" t="s">
        <v>120</v>
      </c>
      <c r="C390" s="108" t="s">
        <v>64</v>
      </c>
      <c r="D390" s="82"/>
      <c r="E390" s="14"/>
      <c r="F390" s="31">
        <f>+SUM(START:END!F390)</f>
        <v>0</v>
      </c>
      <c r="G390" s="84"/>
      <c r="H390" s="14"/>
      <c r="I390" s="31">
        <f>+SUM(START:END!I390)</f>
        <v>0</v>
      </c>
      <c r="J390" s="42"/>
      <c r="K390" s="14"/>
      <c r="L390" s="34">
        <f>+SUM(START:END!L390)</f>
        <v>0</v>
      </c>
      <c r="M390" s="42"/>
      <c r="N390" s="60">
        <f t="shared" si="133"/>
        <v>0</v>
      </c>
      <c r="O390" s="42"/>
      <c r="P390" s="14"/>
      <c r="Q390" s="34">
        <f>+SUM(START:END!Q390)</f>
        <v>0</v>
      </c>
      <c r="R390" s="42"/>
      <c r="S390" s="86">
        <f t="shared" si="134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28"/>
        <v>Boutique[...]</v>
      </c>
      <c r="B391" s="12" t="s">
        <v>120</v>
      </c>
      <c r="C391" s="108" t="s">
        <v>21</v>
      </c>
      <c r="D391" s="82"/>
      <c r="E391" s="14"/>
      <c r="F391" s="31">
        <f>+SUM(START:END!F391)</f>
        <v>0</v>
      </c>
      <c r="G391" s="84"/>
      <c r="H391" s="14"/>
      <c r="I391" s="31">
        <f>+SUM(START:END!I391)</f>
        <v>0</v>
      </c>
      <c r="J391" s="42"/>
      <c r="K391" s="14"/>
      <c r="L391" s="34">
        <f>+SUM(START:END!L391)</f>
        <v>0</v>
      </c>
      <c r="M391" s="42"/>
      <c r="N391" s="60">
        <f t="shared" si="133"/>
        <v>0</v>
      </c>
      <c r="O391" s="42"/>
      <c r="P391" s="14"/>
      <c r="Q391" s="34">
        <f>+SUM(START:END!Q391)</f>
        <v>0</v>
      </c>
      <c r="R391" s="42"/>
      <c r="S391" s="86">
        <f t="shared" si="134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28"/>
        <v>Boutique[...]</v>
      </c>
      <c r="B392" s="12" t="s">
        <v>120</v>
      </c>
      <c r="C392" s="108" t="s">
        <v>21</v>
      </c>
      <c r="D392" s="82"/>
      <c r="E392" s="14"/>
      <c r="F392" s="31">
        <f>+SUM(START:END!F392)</f>
        <v>0</v>
      </c>
      <c r="G392" s="84"/>
      <c r="H392" s="14"/>
      <c r="I392" s="31">
        <f>+SUM(START:END!I392)</f>
        <v>0</v>
      </c>
      <c r="J392" s="42"/>
      <c r="K392" s="14"/>
      <c r="L392" s="34">
        <f>+SUM(START:END!L392)</f>
        <v>0</v>
      </c>
      <c r="M392" s="42"/>
      <c r="N392" s="60">
        <f t="shared" si="133"/>
        <v>0</v>
      </c>
      <c r="O392" s="42"/>
      <c r="P392" s="14"/>
      <c r="Q392" s="34">
        <f>+SUM(START:END!Q392)</f>
        <v>0</v>
      </c>
      <c r="R392" s="42"/>
      <c r="S392" s="86">
        <f t="shared" si="134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28"/>
        <v>Boutique[...]</v>
      </c>
      <c r="B393" s="12" t="s">
        <v>120</v>
      </c>
      <c r="C393" s="108" t="s">
        <v>21</v>
      </c>
      <c r="D393" s="89"/>
      <c r="E393" s="117"/>
      <c r="F393" s="31">
        <f>+SUM(START:END!F393)</f>
        <v>0</v>
      </c>
      <c r="G393" s="91"/>
      <c r="H393" s="117"/>
      <c r="I393" s="31">
        <f>+SUM(START:END!I393)</f>
        <v>0</v>
      </c>
      <c r="J393" s="24"/>
      <c r="K393" s="117"/>
      <c r="L393" s="34">
        <f>+SUM(START:END!L393)</f>
        <v>0</v>
      </c>
      <c r="M393" s="24"/>
      <c r="N393" s="94">
        <f t="shared" si="133"/>
        <v>0</v>
      </c>
      <c r="O393" s="24"/>
      <c r="P393" s="117"/>
      <c r="Q393" s="34">
        <f>+SUM(START:END!Q393)</f>
        <v>0</v>
      </c>
      <c r="R393" s="24"/>
      <c r="S393" s="95">
        <f t="shared" si="134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 xml:space="preserve">Réalisé  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8"/>
      <c r="W403" s="269"/>
      <c r="X403" s="524" t="s">
        <v>123</v>
      </c>
      <c r="Y403" s="517"/>
      <c r="Z403" s="525"/>
      <c r="AA403" s="516" t="s">
        <v>75</v>
      </c>
      <c r="AB403" s="517"/>
      <c r="AC403" s="525"/>
      <c r="AD403" s="516" t="s">
        <v>7</v>
      </c>
      <c r="AE403" s="517"/>
      <c r="AF403" s="525"/>
      <c r="AG403" s="516" t="s">
        <v>124</v>
      </c>
      <c r="AH403" s="517"/>
      <c r="AI403" s="525"/>
      <c r="AJ403" s="516" t="s">
        <v>125</v>
      </c>
      <c r="AK403" s="517"/>
      <c r="AL403" s="517"/>
      <c r="AM403" s="516" t="s">
        <v>126</v>
      </c>
      <c r="AN403" s="517"/>
      <c r="AO403" s="518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35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35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8038384.2232491253</v>
      </c>
      <c r="AA405" s="274"/>
      <c r="AB405" s="274"/>
      <c r="AC405" s="275">
        <f>I5+I93+H193+H249+G313+G361</f>
        <v>8038384.2232491253</v>
      </c>
      <c r="AD405" s="276"/>
      <c r="AE405" s="277"/>
      <c r="AF405" s="277">
        <f>L5+L93+K193+K249+J313+J361</f>
        <v>16048941.219999997</v>
      </c>
      <c r="AG405" s="276"/>
      <c r="AH405" s="277"/>
      <c r="AI405" s="278"/>
      <c r="AJ405" s="276"/>
      <c r="AK405" s="277"/>
      <c r="AL405" s="277">
        <f>Q5+Q93+P193+P249+O313+O361</f>
        <v>15054918.41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35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1712610.4907553252</v>
      </c>
      <c r="AA406" s="282"/>
      <c r="AB406" s="282"/>
      <c r="AC406" s="283">
        <f>I27+I107+I193+I249+I313+I361</f>
        <v>1778116.1486271881</v>
      </c>
      <c r="AD406" s="284"/>
      <c r="AE406" s="285"/>
      <c r="AF406" s="285">
        <f>L27+L107+L193+L249+L313+L361</f>
        <v>1948196.6899999995</v>
      </c>
      <c r="AG406" s="284"/>
      <c r="AH406" s="285">
        <f>AF406-AC406</f>
        <v>170080.54137281142</v>
      </c>
      <c r="AI406" s="286">
        <f>AH406/AC406</f>
        <v>9.5652098713643524E-2</v>
      </c>
      <c r="AJ406" s="284"/>
      <c r="AK406" s="285"/>
      <c r="AL406" s="285">
        <f>Q27+Q107+Q193+Q249+Q313+Q361</f>
        <v>1646743.33</v>
      </c>
      <c r="AM406" s="287"/>
      <c r="AN406" s="285">
        <f>AF406-AL406</f>
        <v>301453.3599999994</v>
      </c>
      <c r="AO406" s="288">
        <f>IF(AL406=0,0,AN406/AL406)</f>
        <v>0.183060319424521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35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35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36">Z408/(D$13+D$96)</f>
        <v>379.70966055593465</v>
      </c>
      <c r="Z408" s="291">
        <f>+SUM(START:END!Z408)</f>
        <v>128493.05078954903</v>
      </c>
      <c r="AA408" s="290"/>
      <c r="AB408" s="298">
        <f t="shared" ref="AB408:AB417" si="137">IF(AC408=0,0,AC408/(G$13+G$96))</f>
        <v>413.58024143290459</v>
      </c>
      <c r="AC408" s="291">
        <f>+SUM(START:END!AC408)</f>
        <v>129700.25692158192</v>
      </c>
      <c r="AD408" s="299"/>
      <c r="AE408" s="298">
        <f t="shared" ref="AE408:AE413" si="138">IF(AF408=0,0,AF408/(J$13+J$96))</f>
        <v>593.12009375000002</v>
      </c>
      <c r="AF408" s="291">
        <f>+SUM(START:END!AF408)</f>
        <v>189798.43</v>
      </c>
      <c r="AG408" s="292">
        <f t="shared" ref="AG408:AH417" si="139">AE408-AB408</f>
        <v>179.53985231709544</v>
      </c>
      <c r="AH408" s="293">
        <f t="shared" si="139"/>
        <v>60098.173078418069</v>
      </c>
      <c r="AI408" s="294">
        <f>IF(AC408=0,0,AH408/AC408)</f>
        <v>0.46336202028307488</v>
      </c>
      <c r="AJ408" s="299"/>
      <c r="AK408" s="293">
        <f t="shared" ref="AK408:AK417" si="140">AL408/(O$13+O$96)</f>
        <v>427.07985835694052</v>
      </c>
      <c r="AL408" s="291">
        <f t="shared" ref="AL408:AL417" si="141">+SUMIF($C:$C,$V408,Q:Q)</f>
        <v>150759.19</v>
      </c>
      <c r="AM408" s="295">
        <f t="shared" ref="AM408:AM417" si="142">AE408-Y408</f>
        <v>213.41043319406538</v>
      </c>
      <c r="AN408" s="293">
        <f t="shared" ref="AN408:AN430" si="143">AF408-AL408</f>
        <v>39039.239999999991</v>
      </c>
      <c r="AO408" s="300">
        <f>IF(AL408=0,0,AN408/AL408)</f>
        <v>0.25895098003644085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35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7"/>
      <c r="U409" s="257"/>
      <c r="V409" s="109" t="s">
        <v>33</v>
      </c>
      <c r="W409" s="301" t="s">
        <v>137</v>
      </c>
      <c r="X409" s="274"/>
      <c r="Y409" s="302">
        <f t="shared" si="136"/>
        <v>334.44577403245887</v>
      </c>
      <c r="Z409" s="275">
        <f>+SUM(START:END!Z409)</f>
        <v>113175.83483702892</v>
      </c>
      <c r="AA409" s="274"/>
      <c r="AB409" s="302">
        <f t="shared" si="137"/>
        <v>360.88817560761743</v>
      </c>
      <c r="AC409" s="275">
        <f>+SUM(START:END!AC409)</f>
        <v>113175.83483702892</v>
      </c>
      <c r="AD409" s="303"/>
      <c r="AE409" s="302">
        <f t="shared" si="138"/>
        <v>397.81321874999998</v>
      </c>
      <c r="AF409" s="275">
        <f>+SUM(START:END!AF409)</f>
        <v>127300.23</v>
      </c>
      <c r="AG409" s="276">
        <f t="shared" si="139"/>
        <v>36.925043142382549</v>
      </c>
      <c r="AH409" s="277">
        <f t="shared" si="139"/>
        <v>14124.395162971079</v>
      </c>
      <c r="AI409" s="304">
        <f t="shared" ref="AI409:AI417" si="144">IF(AC409=0,0,AH409/AC409)</f>
        <v>0.12480045040807469</v>
      </c>
      <c r="AJ409" s="303"/>
      <c r="AK409" s="277">
        <f t="shared" si="140"/>
        <v>267.10518413597737</v>
      </c>
      <c r="AL409" s="275">
        <f t="shared" si="141"/>
        <v>94288.13</v>
      </c>
      <c r="AM409" s="279">
        <f t="shared" si="142"/>
        <v>63.367444717541105</v>
      </c>
      <c r="AN409" s="277">
        <f t="shared" si="143"/>
        <v>33012.099999999991</v>
      </c>
      <c r="AO409" s="305">
        <f t="shared" ref="AO409:AO417" si="145">IF(AL409=0,0,AN409/AL409)</f>
        <v>0.35011936285086986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3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7"/>
      <c r="U410" s="257"/>
      <c r="V410" s="108" t="s">
        <v>34</v>
      </c>
      <c r="W410" s="297" t="s">
        <v>138</v>
      </c>
      <c r="X410" s="290"/>
      <c r="Y410" s="298">
        <f t="shared" si="136"/>
        <v>150.06206627863619</v>
      </c>
      <c r="Z410" s="291">
        <f>+SUM(START:END!Z410)</f>
        <v>50780.727242216351</v>
      </c>
      <c r="AA410" s="290"/>
      <c r="AB410" s="298">
        <f t="shared" si="137"/>
        <v>161.92647517785781</v>
      </c>
      <c r="AC410" s="291">
        <f>+SUM(START:END!AC410)</f>
        <v>50780.727242216351</v>
      </c>
      <c r="AD410" s="299"/>
      <c r="AE410" s="298">
        <f t="shared" si="138"/>
        <v>122.67784374999999</v>
      </c>
      <c r="AF410" s="291">
        <f>+SUM(START:END!AF410)</f>
        <v>39256.909999999996</v>
      </c>
      <c r="AG410" s="292">
        <f t="shared" si="139"/>
        <v>-39.248631427857816</v>
      </c>
      <c r="AH410" s="293">
        <f t="shared" si="139"/>
        <v>-11523.817242216355</v>
      </c>
      <c r="AI410" s="294">
        <f t="shared" si="144"/>
        <v>-0.22693289104052208</v>
      </c>
      <c r="AJ410" s="299"/>
      <c r="AK410" s="293">
        <f t="shared" si="140"/>
        <v>107.94586402266289</v>
      </c>
      <c r="AL410" s="291">
        <f t="shared" si="141"/>
        <v>38104.89</v>
      </c>
      <c r="AM410" s="295">
        <f t="shared" si="142"/>
        <v>-27.384222528636201</v>
      </c>
      <c r="AN410" s="293">
        <f t="shared" si="143"/>
        <v>1152.0199999999968</v>
      </c>
      <c r="AO410" s="300">
        <f t="shared" si="145"/>
        <v>3.0232865125709503E-2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3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7"/>
      <c r="U411" s="257"/>
      <c r="V411" s="108" t="s">
        <v>35</v>
      </c>
      <c r="W411" s="297" t="s">
        <v>139</v>
      </c>
      <c r="X411" s="290"/>
      <c r="Y411" s="298">
        <f t="shared" si="136"/>
        <v>37.154249205813784</v>
      </c>
      <c r="Z411" s="291">
        <f>+SUM(START:END!Z411)</f>
        <v>12572.929599053299</v>
      </c>
      <c r="AA411" s="290"/>
      <c r="AB411" s="298">
        <f t="shared" si="137"/>
        <v>40.091788424438484</v>
      </c>
      <c r="AC411" s="291">
        <f>+SUM(START:END!AC411)</f>
        <v>12572.929599053299</v>
      </c>
      <c r="AD411" s="299"/>
      <c r="AE411" s="298">
        <f t="shared" si="138"/>
        <v>5.2784687499999992</v>
      </c>
      <c r="AF411" s="291">
        <f>+SUM(START:END!AF411)</f>
        <v>1689.1099999999997</v>
      </c>
      <c r="AG411" s="292">
        <f t="shared" si="139"/>
        <v>-34.813319674438482</v>
      </c>
      <c r="AH411" s="293">
        <f t="shared" si="139"/>
        <v>-10883.819599053299</v>
      </c>
      <c r="AI411" s="294">
        <f t="shared" si="144"/>
        <v>-0.86565501805345468</v>
      </c>
      <c r="AJ411" s="299"/>
      <c r="AK411" s="293">
        <f t="shared" si="140"/>
        <v>19.125099150141644</v>
      </c>
      <c r="AL411" s="291">
        <f t="shared" si="141"/>
        <v>6751.16</v>
      </c>
      <c r="AM411" s="295">
        <f t="shared" si="142"/>
        <v>-31.875780455813786</v>
      </c>
      <c r="AN411" s="293">
        <f t="shared" si="143"/>
        <v>-5062.05</v>
      </c>
      <c r="AO411" s="306">
        <f t="shared" si="145"/>
        <v>-0.74980447804525452</v>
      </c>
      <c r="AP411" s="257"/>
      <c r="AQ411" s="257"/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3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7"/>
      <c r="U412" s="257"/>
      <c r="V412" s="109" t="s">
        <v>36</v>
      </c>
      <c r="W412" s="301"/>
      <c r="X412" s="274"/>
      <c r="Y412" s="302">
        <f t="shared" si="136"/>
        <v>42.191752444434975</v>
      </c>
      <c r="Z412" s="275">
        <f>+SUM(START:END!Z412)</f>
        <v>14277.611430284507</v>
      </c>
      <c r="AA412" s="274"/>
      <c r="AB412" s="302">
        <f t="shared" si="137"/>
        <v>45.527573518936428</v>
      </c>
      <c r="AC412" s="275">
        <f>+SUM(START:END!AC412)</f>
        <v>14277.611430284507</v>
      </c>
      <c r="AD412" s="303"/>
      <c r="AE412" s="302">
        <f t="shared" si="138"/>
        <v>48.973593749999999</v>
      </c>
      <c r="AF412" s="275">
        <f>+SUM(START:END!AF412)</f>
        <v>15671.55</v>
      </c>
      <c r="AG412" s="276">
        <f t="shared" si="139"/>
        <v>3.4460202310635708</v>
      </c>
      <c r="AH412" s="277">
        <f t="shared" si="139"/>
        <v>1393.9385697154921</v>
      </c>
      <c r="AI412" s="304">
        <f t="shared" si="144"/>
        <v>9.7631076214806004E-2</v>
      </c>
      <c r="AJ412" s="303"/>
      <c r="AK412" s="277">
        <f t="shared" si="140"/>
        <v>36.034249291784704</v>
      </c>
      <c r="AL412" s="275">
        <f t="shared" si="141"/>
        <v>12720.09</v>
      </c>
      <c r="AM412" s="279">
        <f t="shared" si="142"/>
        <v>6.781841305565024</v>
      </c>
      <c r="AN412" s="277">
        <f t="shared" si="143"/>
        <v>2951.4599999999991</v>
      </c>
      <c r="AO412" s="305">
        <f t="shared" si="145"/>
        <v>0.23203137713648245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3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7"/>
      <c r="U413" s="257"/>
      <c r="V413" s="108" t="s">
        <v>37</v>
      </c>
      <c r="W413" s="297" t="s">
        <v>140</v>
      </c>
      <c r="X413" s="294"/>
      <c r="Y413" s="298">
        <f t="shared" si="136"/>
        <v>130.65124681860314</v>
      </c>
      <c r="Z413" s="291">
        <f>+SUM(START:END!Z413)</f>
        <v>44212.141636327127</v>
      </c>
      <c r="AA413" s="294"/>
      <c r="AB413" s="298">
        <f t="shared" si="137"/>
        <v>140.98097140450079</v>
      </c>
      <c r="AC413" s="291">
        <f>+SUM(START:END!AC413)</f>
        <v>44212.141636327127</v>
      </c>
      <c r="AD413" s="299"/>
      <c r="AE413" s="298">
        <f t="shared" si="138"/>
        <v>130.38081249999999</v>
      </c>
      <c r="AF413" s="291">
        <f>+SUM(START:END!AF413)</f>
        <v>41721.86</v>
      </c>
      <c r="AG413" s="292">
        <f t="shared" si="139"/>
        <v>-10.600158904500802</v>
      </c>
      <c r="AH413" s="293">
        <f t="shared" si="139"/>
        <v>-2490.2816363271268</v>
      </c>
      <c r="AI413" s="294">
        <f t="shared" si="144"/>
        <v>-5.6325740942641297E-2</v>
      </c>
      <c r="AJ413" s="299"/>
      <c r="AK413" s="293">
        <f t="shared" si="140"/>
        <v>124.05099150141643</v>
      </c>
      <c r="AL413" s="291">
        <f t="shared" si="141"/>
        <v>43790</v>
      </c>
      <c r="AM413" s="295">
        <f t="shared" si="142"/>
        <v>-0.27043431860315081</v>
      </c>
      <c r="AN413" s="293">
        <f t="shared" si="143"/>
        <v>-2068.1399999999994</v>
      </c>
      <c r="AO413" s="300">
        <f t="shared" si="145"/>
        <v>-4.7228591002511977E-2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35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7"/>
      <c r="U414" s="257"/>
      <c r="V414" s="108" t="s">
        <v>38</v>
      </c>
      <c r="W414" s="297" t="s">
        <v>141</v>
      </c>
      <c r="X414" s="290"/>
      <c r="Y414" s="298">
        <f t="shared" si="136"/>
        <v>145.9994997611287</v>
      </c>
      <c r="Z414" s="291">
        <f>+SUM(START:END!Z414)</f>
        <v>49405.962204356285</v>
      </c>
      <c r="AA414" s="290"/>
      <c r="AB414" s="298">
        <f t="shared" si="137"/>
        <v>158.4762340711095</v>
      </c>
      <c r="AC414" s="291">
        <f>+SUM(START:END!AC414)</f>
        <v>49698.719174238438</v>
      </c>
      <c r="AD414" s="299"/>
      <c r="AE414" s="298">
        <f>IF(AF414=0,0,AF414/(J$13+J$13))</f>
        <v>113.51295566502462</v>
      </c>
      <c r="AF414" s="291">
        <f>+SUM(START:END!AF414)</f>
        <v>46086.259999999995</v>
      </c>
      <c r="AG414" s="292">
        <f t="shared" si="139"/>
        <v>-44.963278406084882</v>
      </c>
      <c r="AH414" s="293">
        <f t="shared" si="139"/>
        <v>-3612.4591742384437</v>
      </c>
      <c r="AI414" s="294">
        <f t="shared" si="144"/>
        <v>-7.268716848765347E-2</v>
      </c>
      <c r="AJ414" s="299"/>
      <c r="AK414" s="293">
        <f t="shared" si="140"/>
        <v>181.00971671388101</v>
      </c>
      <c r="AL414" s="291">
        <f t="shared" si="141"/>
        <v>63896.429999999993</v>
      </c>
      <c r="AM414" s="295">
        <f t="shared" si="142"/>
        <v>-32.486544096104083</v>
      </c>
      <c r="AN414" s="293">
        <f t="shared" si="143"/>
        <v>-17810.169999999998</v>
      </c>
      <c r="AO414" s="300">
        <f t="shared" si="145"/>
        <v>-0.27873497783835499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3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7"/>
      <c r="U415" s="257"/>
      <c r="V415" s="108" t="s">
        <v>21</v>
      </c>
      <c r="W415" s="297"/>
      <c r="X415" s="294"/>
      <c r="Y415" s="298">
        <f t="shared" si="136"/>
        <v>0</v>
      </c>
      <c r="Z415" s="291">
        <f t="shared" ref="Z415:Z417" si="146">+SUMIF($C:$C,$V415,F:F)</f>
        <v>0</v>
      </c>
      <c r="AA415" s="290"/>
      <c r="AB415" s="298">
        <f t="shared" si="137"/>
        <v>0</v>
      </c>
      <c r="AC415" s="291">
        <f t="shared" ref="AC415:AC417" si="147">+SUMIF($C:$C,$V415,I:I)</f>
        <v>0</v>
      </c>
      <c r="AD415" s="299"/>
      <c r="AE415" s="298">
        <f t="shared" ref="AE415:AE417" si="148">IF(AF415=0,0,AF415/(J$13+J$13))</f>
        <v>0</v>
      </c>
      <c r="AF415" s="291">
        <f t="shared" ref="AF415:AF417" si="149">+SUMIF($C:$C,$V415,L:L)</f>
        <v>0</v>
      </c>
      <c r="AG415" s="292">
        <f t="shared" si="139"/>
        <v>0</v>
      </c>
      <c r="AH415" s="293">
        <f t="shared" si="139"/>
        <v>0</v>
      </c>
      <c r="AI415" s="294">
        <f t="shared" si="144"/>
        <v>0</v>
      </c>
      <c r="AJ415" s="299"/>
      <c r="AK415" s="293">
        <f t="shared" si="140"/>
        <v>0</v>
      </c>
      <c r="AL415" s="291">
        <f t="shared" si="141"/>
        <v>0</v>
      </c>
      <c r="AM415" s="295">
        <f t="shared" si="142"/>
        <v>0</v>
      </c>
      <c r="AN415" s="293">
        <f t="shared" si="143"/>
        <v>0</v>
      </c>
      <c r="AO415" s="300">
        <f t="shared" si="145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3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7"/>
      <c r="U416" s="257"/>
      <c r="V416" s="108" t="s">
        <v>21</v>
      </c>
      <c r="W416" s="297"/>
      <c r="X416" s="294"/>
      <c r="Y416" s="298">
        <f t="shared" si="136"/>
        <v>0</v>
      </c>
      <c r="Z416" s="291">
        <f t="shared" si="146"/>
        <v>0</v>
      </c>
      <c r="AA416" s="290"/>
      <c r="AB416" s="298">
        <f t="shared" si="137"/>
        <v>0</v>
      </c>
      <c r="AC416" s="291">
        <f t="shared" si="147"/>
        <v>0</v>
      </c>
      <c r="AD416" s="299"/>
      <c r="AE416" s="298">
        <f t="shared" si="148"/>
        <v>0</v>
      </c>
      <c r="AF416" s="291">
        <f t="shared" si="149"/>
        <v>0</v>
      </c>
      <c r="AG416" s="292">
        <f t="shared" si="139"/>
        <v>0</v>
      </c>
      <c r="AH416" s="293">
        <f t="shared" si="139"/>
        <v>0</v>
      </c>
      <c r="AI416" s="294">
        <f t="shared" si="144"/>
        <v>0</v>
      </c>
      <c r="AJ416" s="299"/>
      <c r="AK416" s="293">
        <f t="shared" si="140"/>
        <v>0</v>
      </c>
      <c r="AL416" s="291">
        <f t="shared" si="141"/>
        <v>0</v>
      </c>
      <c r="AM416" s="295">
        <f t="shared" si="142"/>
        <v>0</v>
      </c>
      <c r="AN416" s="293">
        <f t="shared" si="143"/>
        <v>0</v>
      </c>
      <c r="AO416" s="300">
        <f t="shared" si="145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3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7"/>
      <c r="U417" s="257"/>
      <c r="V417" s="108" t="s">
        <v>21</v>
      </c>
      <c r="W417" s="297" t="s">
        <v>141</v>
      </c>
      <c r="X417" s="290"/>
      <c r="Y417" s="298">
        <f t="shared" si="136"/>
        <v>0</v>
      </c>
      <c r="Z417" s="291">
        <f t="shared" si="146"/>
        <v>0</v>
      </c>
      <c r="AA417" s="290"/>
      <c r="AB417" s="298">
        <f t="shared" si="137"/>
        <v>0</v>
      </c>
      <c r="AC417" s="291">
        <f t="shared" si="147"/>
        <v>0</v>
      </c>
      <c r="AD417" s="299"/>
      <c r="AE417" s="298">
        <f t="shared" si="148"/>
        <v>0</v>
      </c>
      <c r="AF417" s="291">
        <f t="shared" si="149"/>
        <v>0</v>
      </c>
      <c r="AG417" s="292">
        <f t="shared" si="139"/>
        <v>0</v>
      </c>
      <c r="AH417" s="293">
        <f t="shared" si="139"/>
        <v>0</v>
      </c>
      <c r="AI417" s="294">
        <f t="shared" si="144"/>
        <v>0</v>
      </c>
      <c r="AJ417" s="299"/>
      <c r="AK417" s="293">
        <f t="shared" si="140"/>
        <v>0</v>
      </c>
      <c r="AL417" s="291">
        <f t="shared" si="141"/>
        <v>0</v>
      </c>
      <c r="AM417" s="295">
        <f t="shared" si="142"/>
        <v>0</v>
      </c>
      <c r="AN417" s="293">
        <f t="shared" si="143"/>
        <v>0</v>
      </c>
      <c r="AO417" s="300">
        <f t="shared" si="145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35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7"/>
      <c r="U418" s="257"/>
      <c r="V418" s="307" t="s">
        <v>39</v>
      </c>
      <c r="W418" s="308"/>
      <c r="X418" s="309">
        <f>Z418/Z406</f>
        <v>0.24110459440003965</v>
      </c>
      <c r="Y418" s="308"/>
      <c r="Z418" s="310">
        <f>SUM(Z408:Z417)</f>
        <v>412918.2577388155</v>
      </c>
      <c r="AA418" s="309">
        <f>AC418/AC406</f>
        <v>0.2330658889525784</v>
      </c>
      <c r="AB418" s="308"/>
      <c r="AC418" s="310">
        <f>SUM(AC408:AC417)</f>
        <v>414418.22084073059</v>
      </c>
      <c r="AD418" s="311">
        <f>AF418/AF406</f>
        <v>0.2368982312561059</v>
      </c>
      <c r="AE418" s="308"/>
      <c r="AF418" s="310">
        <f>SUM(AF408:AF417)</f>
        <v>461524.34999999992</v>
      </c>
      <c r="AG418" s="312"/>
      <c r="AH418" s="313">
        <f>AF418-AC418</f>
        <v>47106.129159269331</v>
      </c>
      <c r="AI418" s="309">
        <f>AH418/AC418</f>
        <v>0.11366809370424179</v>
      </c>
      <c r="AJ418" s="311">
        <f>IF($AL$406=0,0,AL418/$AL$406)</f>
        <v>0.24916444628927084</v>
      </c>
      <c r="AK418" s="308"/>
      <c r="AL418" s="310">
        <f>SUM(AL408:AL417)</f>
        <v>410309.89</v>
      </c>
      <c r="AM418" s="314"/>
      <c r="AN418" s="313">
        <f t="shared" si="143"/>
        <v>51214.459999999905</v>
      </c>
      <c r="AO418" s="288">
        <f>IF(AL418=0,0,AN418/AL418)</f>
        <v>0.12481897523844698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35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5"/>
      <c r="P419" s="162"/>
      <c r="Q419" s="11"/>
      <c r="R419" s="11"/>
      <c r="S419" s="11"/>
      <c r="T419" s="257"/>
      <c r="U419" s="257"/>
      <c r="V419" s="108" t="s">
        <v>142</v>
      </c>
      <c r="W419" s="297" t="s">
        <v>143</v>
      </c>
      <c r="X419" s="290"/>
      <c r="Y419" s="290"/>
      <c r="Z419" s="291">
        <f>+SUM(START:END!Z419)</f>
        <v>0</v>
      </c>
      <c r="AA419" s="299">
        <f>AC418/(AC406+AC480)</f>
        <v>0.19461783813414837</v>
      </c>
      <c r="AB419" s="290"/>
      <c r="AC419" s="291">
        <f>+SUM(START:END!AC419)</f>
        <v>0</v>
      </c>
      <c r="AD419" s="299">
        <f>AF418/(AF406+AF480)</f>
        <v>0.19883470999036212</v>
      </c>
      <c r="AE419" s="298"/>
      <c r="AF419" s="291">
        <f>+SUM(START:END!AF419)</f>
        <v>7589.17</v>
      </c>
      <c r="AG419" s="292"/>
      <c r="AH419" s="293">
        <f t="shared" ref="AH419:AH430" si="150">AF419-AC419</f>
        <v>7589.17</v>
      </c>
      <c r="AI419" s="294">
        <f>IF(AC419=0,0,AH419/AC419)</f>
        <v>0</v>
      </c>
      <c r="AJ419" s="299"/>
      <c r="AK419" s="290"/>
      <c r="AL419" s="291">
        <f>+SUM(START:END!AL419)</f>
        <v>28192.79</v>
      </c>
      <c r="AM419" s="295"/>
      <c r="AN419" s="293">
        <f t="shared" si="143"/>
        <v>-20603.620000000003</v>
      </c>
      <c r="AO419" s="300">
        <f t="shared" ref="AO419:AO430" si="151">IF(AL419=0,0,AN419/AL419)</f>
        <v>-0.73081167206225428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3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5"/>
      <c r="P420" s="162"/>
      <c r="Q420" s="11"/>
      <c r="R420" s="11"/>
      <c r="S420" s="11"/>
      <c r="T420" s="257"/>
      <c r="U420" s="257"/>
      <c r="V420" s="108" t="s">
        <v>42</v>
      </c>
      <c r="W420" s="297" t="s">
        <v>144</v>
      </c>
      <c r="X420" s="290"/>
      <c r="Y420" s="290"/>
      <c r="Z420" s="291">
        <f>+SUM(START:END!Z420)</f>
        <v>159613.79284186047</v>
      </c>
      <c r="AA420" s="290"/>
      <c r="AB420" s="290"/>
      <c r="AC420" s="291">
        <f>+SUM(START:END!AC420)</f>
        <v>159613.79284186047</v>
      </c>
      <c r="AD420" s="299"/>
      <c r="AE420" s="298"/>
      <c r="AF420" s="291">
        <f>+SUM(START:END!AF420)</f>
        <v>158321.40000000002</v>
      </c>
      <c r="AG420" s="292"/>
      <c r="AH420" s="293">
        <f t="shared" si="150"/>
        <v>-1292.3928418604482</v>
      </c>
      <c r="AI420" s="294">
        <f t="shared" ref="AI420:AI430" si="152">IF(AC420=0,0,AH420/AC420)</f>
        <v>-8.0969997570379398E-3</v>
      </c>
      <c r="AJ420" s="299"/>
      <c r="AK420" s="290"/>
      <c r="AL420" s="291">
        <f>+SUM(START:END!AL420)</f>
        <v>161011.43</v>
      </c>
      <c r="AM420" s="295"/>
      <c r="AN420" s="293">
        <f t="shared" si="143"/>
        <v>-2690.0299999999697</v>
      </c>
      <c r="AO420" s="300">
        <f t="shared" si="151"/>
        <v>-1.6707074771026939E-2</v>
      </c>
      <c r="AP420" s="257"/>
      <c r="AQ420" s="257"/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3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257"/>
      <c r="M421" s="257"/>
      <c r="N421" s="257"/>
      <c r="O421" s="316"/>
      <c r="P421" s="162"/>
      <c r="Q421" s="257"/>
      <c r="R421" s="257"/>
      <c r="S421" s="257"/>
      <c r="T421" s="257"/>
      <c r="U421" s="257"/>
      <c r="V421" s="109" t="s">
        <v>43</v>
      </c>
      <c r="W421" s="301" t="s">
        <v>145</v>
      </c>
      <c r="X421" s="274"/>
      <c r="Y421" s="274"/>
      <c r="Z421" s="275">
        <f>+SUM(START:END!Z421)</f>
        <v>78104.300006130274</v>
      </c>
      <c r="AA421" s="274"/>
      <c r="AB421" s="274"/>
      <c r="AC421" s="275">
        <f>+SUM(START:END!AC421)</f>
        <v>78104.300006130274</v>
      </c>
      <c r="AD421" s="303"/>
      <c r="AE421" s="302"/>
      <c r="AF421" s="275">
        <f>+SUM(START:END!AF421)</f>
        <v>75816.47</v>
      </c>
      <c r="AG421" s="276"/>
      <c r="AH421" s="277">
        <f t="shared" si="150"/>
        <v>-2287.8300061302725</v>
      </c>
      <c r="AI421" s="304">
        <f t="shared" si="152"/>
        <v>-2.9291985280588965E-2</v>
      </c>
      <c r="AJ421" s="303"/>
      <c r="AK421" s="274"/>
      <c r="AL421" s="275">
        <f>+SUM(START:END!AL421)</f>
        <v>88038.890000000014</v>
      </c>
      <c r="AM421" s="279"/>
      <c r="AN421" s="277">
        <f t="shared" si="143"/>
        <v>-12222.420000000013</v>
      </c>
      <c r="AO421" s="280">
        <f t="shared" si="151"/>
        <v>-0.1388297830651887</v>
      </c>
      <c r="AP421" s="257"/>
      <c r="AQ421" s="257"/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3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257"/>
      <c r="N422" s="257"/>
      <c r="O422" s="316"/>
      <c r="P422" s="162"/>
      <c r="Q422" s="257"/>
      <c r="R422" s="257"/>
      <c r="S422" s="257"/>
      <c r="T422" s="257"/>
      <c r="U422" s="257"/>
      <c r="V422" s="108" t="s">
        <v>44</v>
      </c>
      <c r="W422" s="297" t="s">
        <v>146</v>
      </c>
      <c r="X422" s="290"/>
      <c r="Y422" s="290"/>
      <c r="Z422" s="291">
        <f>+SUM(START:END!Z422)</f>
        <v>135157.72904459768</v>
      </c>
      <c r="AA422" s="290"/>
      <c r="AB422" s="290"/>
      <c r="AC422" s="291">
        <f>+SUM(START:END!AC422)</f>
        <v>135157.72904459768</v>
      </c>
      <c r="AD422" s="299"/>
      <c r="AE422" s="298"/>
      <c r="AF422" s="291">
        <f>+SUM(START:END!AF422)</f>
        <v>158063.97999999998</v>
      </c>
      <c r="AG422" s="292"/>
      <c r="AH422" s="293">
        <f t="shared" si="150"/>
        <v>22906.250955402298</v>
      </c>
      <c r="AI422" s="294">
        <f t="shared" si="152"/>
        <v>0.16947792122079808</v>
      </c>
      <c r="AJ422" s="299"/>
      <c r="AK422" s="290"/>
      <c r="AL422" s="291">
        <f>+SUM(START:END!AL422)</f>
        <v>154787.08000000002</v>
      </c>
      <c r="AM422" s="295"/>
      <c r="AN422" s="293">
        <f t="shared" si="143"/>
        <v>3276.8999999999651</v>
      </c>
      <c r="AO422" s="300">
        <f t="shared" si="151"/>
        <v>2.1170371583984687E-2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3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257"/>
      <c r="N423" s="257"/>
      <c r="O423" s="316"/>
      <c r="P423" s="162"/>
      <c r="Q423" s="257"/>
      <c r="R423" s="257"/>
      <c r="S423" s="257"/>
      <c r="T423" s="257"/>
      <c r="U423" s="257"/>
      <c r="V423" s="108" t="s">
        <v>45</v>
      </c>
      <c r="W423" s="297" t="s">
        <v>147</v>
      </c>
      <c r="X423" s="290"/>
      <c r="Y423" s="290"/>
      <c r="Z423" s="291">
        <f>+SUM(START:END!Z423)</f>
        <v>103392.64581609197</v>
      </c>
      <c r="AA423" s="290"/>
      <c r="AB423" s="290"/>
      <c r="AC423" s="291">
        <f>+SUM(START:END!AC423)</f>
        <v>103392.64581609197</v>
      </c>
      <c r="AD423" s="299"/>
      <c r="AE423" s="298"/>
      <c r="AF423" s="291">
        <f>+SUM(START:END!AF423)</f>
        <v>87236.81</v>
      </c>
      <c r="AG423" s="292"/>
      <c r="AH423" s="293">
        <f t="shared" si="150"/>
        <v>-16155.835816091974</v>
      </c>
      <c r="AI423" s="294">
        <f t="shared" si="152"/>
        <v>-0.15625710792650485</v>
      </c>
      <c r="AJ423" s="299"/>
      <c r="AK423" s="290"/>
      <c r="AL423" s="291">
        <f>+SUM(START:END!AL423)</f>
        <v>96158.76999999999</v>
      </c>
      <c r="AM423" s="295"/>
      <c r="AN423" s="293">
        <f t="shared" si="143"/>
        <v>-8921.9599999999919</v>
      </c>
      <c r="AO423" s="300">
        <f t="shared" si="151"/>
        <v>-9.2783632735734797E-2</v>
      </c>
      <c r="AP423" s="257"/>
      <c r="AQ423" s="257"/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3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316"/>
      <c r="P424" s="162"/>
      <c r="Q424" s="257"/>
      <c r="R424" s="257"/>
      <c r="S424" s="257"/>
      <c r="T424" s="257"/>
      <c r="U424" s="257"/>
      <c r="V424" s="108" t="s">
        <v>21</v>
      </c>
      <c r="W424" s="297"/>
      <c r="X424" s="290"/>
      <c r="Y424" s="290"/>
      <c r="Z424" s="291">
        <f>+SUM(START:END!Z424)</f>
        <v>0</v>
      </c>
      <c r="AA424" s="290"/>
      <c r="AB424" s="290"/>
      <c r="AC424" s="291">
        <f>+SUM(START:END!AC424)</f>
        <v>0</v>
      </c>
      <c r="AD424" s="299"/>
      <c r="AE424" s="298"/>
      <c r="AF424" s="291">
        <f>+SUM(START:END!AF424)</f>
        <v>0</v>
      </c>
      <c r="AG424" s="292"/>
      <c r="AH424" s="293">
        <f t="shared" si="150"/>
        <v>0</v>
      </c>
      <c r="AI424" s="294">
        <f t="shared" si="152"/>
        <v>0</v>
      </c>
      <c r="AJ424" s="299"/>
      <c r="AK424" s="290"/>
      <c r="AL424" s="291">
        <f>+SUM(START:END!AL424)</f>
        <v>0</v>
      </c>
      <c r="AM424" s="295"/>
      <c r="AN424" s="293">
        <f t="shared" si="143"/>
        <v>0</v>
      </c>
      <c r="AO424" s="300">
        <f t="shared" si="151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3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316"/>
      <c r="P425" s="162"/>
      <c r="Q425" s="257"/>
      <c r="R425" s="257"/>
      <c r="S425" s="257"/>
      <c r="T425" s="257"/>
      <c r="U425" s="257"/>
      <c r="V425" s="108" t="s">
        <v>21</v>
      </c>
      <c r="W425" s="297"/>
      <c r="X425" s="290"/>
      <c r="Y425" s="290"/>
      <c r="Z425" s="291">
        <f>+SUM(START:END!Z425)</f>
        <v>0</v>
      </c>
      <c r="AA425" s="290"/>
      <c r="AB425" s="290"/>
      <c r="AC425" s="291">
        <f>+SUM(START:END!AC425)</f>
        <v>0</v>
      </c>
      <c r="AD425" s="299"/>
      <c r="AE425" s="298"/>
      <c r="AF425" s="291">
        <f>+SUM(START:END!AF425)</f>
        <v>0</v>
      </c>
      <c r="AG425" s="292"/>
      <c r="AH425" s="293">
        <f t="shared" si="150"/>
        <v>0</v>
      </c>
      <c r="AI425" s="294">
        <f t="shared" si="152"/>
        <v>0</v>
      </c>
      <c r="AJ425" s="299"/>
      <c r="AK425" s="290"/>
      <c r="AL425" s="291">
        <f>+SUM(START:END!AL425)</f>
        <v>0</v>
      </c>
      <c r="AM425" s="295"/>
      <c r="AN425" s="293">
        <f t="shared" si="143"/>
        <v>0</v>
      </c>
      <c r="AO425" s="300">
        <f t="shared" si="151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3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257"/>
      <c r="N426" s="257"/>
      <c r="O426" s="316"/>
      <c r="P426" s="162"/>
      <c r="Q426" s="257"/>
      <c r="R426" s="257"/>
      <c r="S426" s="257"/>
      <c r="T426" s="257"/>
      <c r="U426" s="257"/>
      <c r="V426" s="108" t="s">
        <v>21</v>
      </c>
      <c r="W426" s="297"/>
      <c r="X426" s="290"/>
      <c r="Y426" s="290"/>
      <c r="Z426" s="291">
        <f>+SUM(START:END!Z426)</f>
        <v>0</v>
      </c>
      <c r="AA426" s="290"/>
      <c r="AB426" s="290"/>
      <c r="AC426" s="291">
        <f>+SUM(START:END!AC426)</f>
        <v>0</v>
      </c>
      <c r="AD426" s="299"/>
      <c r="AE426" s="298"/>
      <c r="AF426" s="291">
        <f>+SUM(START:END!AF426)</f>
        <v>0</v>
      </c>
      <c r="AG426" s="292"/>
      <c r="AH426" s="293">
        <f t="shared" si="150"/>
        <v>0</v>
      </c>
      <c r="AI426" s="294">
        <f t="shared" si="152"/>
        <v>0</v>
      </c>
      <c r="AJ426" s="299"/>
      <c r="AK426" s="290"/>
      <c r="AL426" s="291">
        <f>+SUM(START:END!AL426)</f>
        <v>0</v>
      </c>
      <c r="AM426" s="295"/>
      <c r="AN426" s="293">
        <f t="shared" si="143"/>
        <v>0</v>
      </c>
      <c r="AO426" s="300">
        <f t="shared" si="151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3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257"/>
      <c r="M427" s="257"/>
      <c r="N427" s="257"/>
      <c r="O427" s="316"/>
      <c r="P427" s="162"/>
      <c r="Q427" s="257"/>
      <c r="R427" s="257"/>
      <c r="S427" s="257"/>
      <c r="T427" s="257"/>
      <c r="U427" s="257"/>
      <c r="V427" s="109" t="s">
        <v>46</v>
      </c>
      <c r="W427" s="301" t="s">
        <v>148</v>
      </c>
      <c r="X427" s="274"/>
      <c r="Y427" s="274"/>
      <c r="Z427" s="275">
        <f>+SUM(START:END!Z427)</f>
        <v>113018.62000023099</v>
      </c>
      <c r="AA427" s="274"/>
      <c r="AB427" s="274"/>
      <c r="AC427" s="275">
        <f>+SUM(START:END!AC427)</f>
        <v>113163.48473607494</v>
      </c>
      <c r="AD427" s="303"/>
      <c r="AE427" s="302"/>
      <c r="AF427" s="275">
        <f>+SUM(START:END!AF427)</f>
        <v>110456.89</v>
      </c>
      <c r="AG427" s="276"/>
      <c r="AH427" s="277">
        <f t="shared" si="150"/>
        <v>-2706.5947360749415</v>
      </c>
      <c r="AI427" s="304">
        <f t="shared" si="152"/>
        <v>-2.3917562651834076E-2</v>
      </c>
      <c r="AJ427" s="303"/>
      <c r="AK427" s="274"/>
      <c r="AL427" s="275">
        <f>+SUM(START:END!AL427)</f>
        <v>128866.51999999999</v>
      </c>
      <c r="AM427" s="279"/>
      <c r="AN427" s="277">
        <f t="shared" si="143"/>
        <v>-18409.62999999999</v>
      </c>
      <c r="AO427" s="305">
        <f t="shared" si="151"/>
        <v>-0.14285812948157514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3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257"/>
      <c r="M428" s="257"/>
      <c r="N428" s="257"/>
      <c r="O428" s="316"/>
      <c r="P428" s="162"/>
      <c r="Q428" s="257"/>
      <c r="R428" s="257"/>
      <c r="S428" s="257"/>
      <c r="T428" s="257"/>
      <c r="U428" s="257"/>
      <c r="V428" s="108" t="s">
        <v>47</v>
      </c>
      <c r="W428" s="297" t="s">
        <v>149</v>
      </c>
      <c r="X428" s="290"/>
      <c r="Y428" s="290"/>
      <c r="Z428" s="291">
        <f>+SUM(START:END!Z428)</f>
        <v>113018.62000023099</v>
      </c>
      <c r="AA428" s="290"/>
      <c r="AB428" s="290"/>
      <c r="AC428" s="291">
        <f>+SUM(START:END!AC428)</f>
        <v>113163.48473607494</v>
      </c>
      <c r="AD428" s="299"/>
      <c r="AE428" s="298"/>
      <c r="AF428" s="291">
        <f>+SUM(START:END!AF428)</f>
        <v>109634.43000000001</v>
      </c>
      <c r="AG428" s="292"/>
      <c r="AH428" s="293">
        <f t="shared" si="150"/>
        <v>-3529.0547360749333</v>
      </c>
      <c r="AI428" s="294">
        <f t="shared" si="152"/>
        <v>-3.1185454780802802E-2</v>
      </c>
      <c r="AJ428" s="299"/>
      <c r="AK428" s="290"/>
      <c r="AL428" s="291">
        <f>+SUM(START:END!AL428)</f>
        <v>101795.38</v>
      </c>
      <c r="AM428" s="295"/>
      <c r="AN428" s="293">
        <f t="shared" si="143"/>
        <v>7839.0500000000029</v>
      </c>
      <c r="AO428" s="300">
        <f t="shared" si="151"/>
        <v>7.7007915290458195E-2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3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257"/>
      <c r="M429" s="257"/>
      <c r="N429" s="257"/>
      <c r="O429" s="316"/>
      <c r="P429" s="162"/>
      <c r="Q429" s="257"/>
      <c r="R429" s="257"/>
      <c r="S429" s="257"/>
      <c r="T429" s="257"/>
      <c r="U429" s="257"/>
      <c r="V429" s="108" t="s">
        <v>48</v>
      </c>
      <c r="W429" s="297" t="s">
        <v>150</v>
      </c>
      <c r="X429" s="290"/>
      <c r="Y429" s="290"/>
      <c r="Z429" s="291">
        <f>+SUM(START:END!Z429)</f>
        <v>80996.677666832213</v>
      </c>
      <c r="AA429" s="290"/>
      <c r="AB429" s="290"/>
      <c r="AC429" s="291">
        <f>+SUM(START:END!AC429)</f>
        <v>81100.497394187041</v>
      </c>
      <c r="AD429" s="299"/>
      <c r="AE429" s="298"/>
      <c r="AF429" s="291">
        <f>+SUM(START:END!AF429)</f>
        <v>86417.430000000008</v>
      </c>
      <c r="AG429" s="292"/>
      <c r="AH429" s="293">
        <f t="shared" si="150"/>
        <v>5316.9326058129664</v>
      </c>
      <c r="AI429" s="294">
        <f t="shared" si="152"/>
        <v>6.5559802672604361E-2</v>
      </c>
      <c r="AJ429" s="299"/>
      <c r="AK429" s="290"/>
      <c r="AL429" s="291">
        <f>+SUM(START:END!AL429)</f>
        <v>79250.37000000001</v>
      </c>
      <c r="AM429" s="295"/>
      <c r="AN429" s="293">
        <f t="shared" si="143"/>
        <v>7167.0599999999977</v>
      </c>
      <c r="AO429" s="300">
        <f t="shared" si="151"/>
        <v>9.0435666104776505E-2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3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257"/>
      <c r="M430" s="257"/>
      <c r="N430" s="257"/>
      <c r="O430" s="316"/>
      <c r="P430" s="162"/>
      <c r="Q430" s="257"/>
      <c r="R430" s="257"/>
      <c r="S430" s="257"/>
      <c r="T430" s="257"/>
      <c r="U430" s="257"/>
      <c r="V430" s="108" t="s">
        <v>49</v>
      </c>
      <c r="W430" s="297"/>
      <c r="X430" s="290"/>
      <c r="Y430" s="290"/>
      <c r="Z430" s="291">
        <f>+SUM(START:END!Z430)</f>
        <v>18836.436666705165</v>
      </c>
      <c r="AA430" s="290"/>
      <c r="AB430" s="290"/>
      <c r="AC430" s="291">
        <f>+SUM(START:END!AC430)</f>
        <v>18860.580789345822</v>
      </c>
      <c r="AD430" s="299"/>
      <c r="AE430" s="298"/>
      <c r="AF430" s="291">
        <f>+SUM(START:END!AF430)</f>
        <v>31045.159999999996</v>
      </c>
      <c r="AG430" s="292"/>
      <c r="AH430" s="293">
        <f t="shared" si="150"/>
        <v>12184.579210654174</v>
      </c>
      <c r="AI430" s="317">
        <f t="shared" si="152"/>
        <v>0.64603414638944401</v>
      </c>
      <c r="AJ430" s="299"/>
      <c r="AK430" s="290"/>
      <c r="AL430" s="291">
        <f>+SUM(START:END!AL430)</f>
        <v>37975.089999999997</v>
      </c>
      <c r="AM430" s="295"/>
      <c r="AN430" s="293">
        <f t="shared" si="143"/>
        <v>-6929.93</v>
      </c>
      <c r="AO430" s="300">
        <f t="shared" si="151"/>
        <v>-0.18248620345600236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3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7"/>
      <c r="U431" s="257"/>
      <c r="V431" s="30" t="s">
        <v>21</v>
      </c>
      <c r="W431" s="297"/>
      <c r="X431" s="290"/>
      <c r="Y431" s="298"/>
      <c r="Z431" s="291">
        <f>+SUM(START:END!Z431)</f>
        <v>0</v>
      </c>
      <c r="AA431" s="290"/>
      <c r="AB431" s="298"/>
      <c r="AC431" s="291">
        <f>+SUM(START:END!AC431)</f>
        <v>0</v>
      </c>
      <c r="AD431" s="299"/>
      <c r="AE431" s="298"/>
      <c r="AF431" s="291">
        <f>+SUM(START:END!AF431)</f>
        <v>0</v>
      </c>
      <c r="AG431" s="292"/>
      <c r="AH431" s="293"/>
      <c r="AI431" s="294"/>
      <c r="AJ431" s="299"/>
      <c r="AK431" s="293"/>
      <c r="AL431" s="291">
        <f>+SUM(START:END!AL431)</f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3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L432" s="257"/>
      <c r="M432" s="257"/>
      <c r="R432" s="257"/>
      <c r="S432" s="257"/>
      <c r="T432" s="257"/>
      <c r="U432" s="257"/>
      <c r="V432" s="307" t="s">
        <v>50</v>
      </c>
      <c r="W432" s="308"/>
      <c r="X432" s="309">
        <f>Z432/Z406</f>
        <v>0.46837201241766691</v>
      </c>
      <c r="Y432" s="308"/>
      <c r="Z432" s="310">
        <f>SUM(Z419:Z431)</f>
        <v>802138.82204267976</v>
      </c>
      <c r="AA432" s="309">
        <f>AC432/AC406</f>
        <v>0.45135213241496325</v>
      </c>
      <c r="AB432" s="308"/>
      <c r="AC432" s="310">
        <f>SUM(AC419:AC431)</f>
        <v>802556.51536436309</v>
      </c>
      <c r="AD432" s="311">
        <f>AF432/AF406</f>
        <v>0.42325384507249131</v>
      </c>
      <c r="AE432" s="318"/>
      <c r="AF432" s="310">
        <f>SUM(AF419:AF431)</f>
        <v>824581.74000000011</v>
      </c>
      <c r="AG432" s="319"/>
      <c r="AH432" s="313">
        <f t="shared" ref="AH432:AH450" si="153">AF432-AC432</f>
        <v>22025.224635637016</v>
      </c>
      <c r="AI432" s="309">
        <f>AH432/AC432</f>
        <v>2.7443830077982106E-2</v>
      </c>
      <c r="AJ432" s="311">
        <f>IF($AL$406=0,0,AL432/$AL$406)</f>
        <v>0.53200538544157938</v>
      </c>
      <c r="AK432" s="308"/>
      <c r="AL432" s="310">
        <f>SUM(AL419:AL431)</f>
        <v>876076.32</v>
      </c>
      <c r="AM432" s="320"/>
      <c r="AN432" s="313">
        <f t="shared" ref="AN432:AN450" si="154">AF432-AL432</f>
        <v>-51494.579999999842</v>
      </c>
      <c r="AO432" s="288">
        <f>IF(AL432=0,0,AN432/AL432)</f>
        <v>-5.8778646134391405E-2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3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257"/>
      <c r="N433" s="257"/>
      <c r="O433" s="257"/>
      <c r="P433" s="257"/>
      <c r="Q433" s="321"/>
      <c r="S433" s="476"/>
      <c r="T433" s="257"/>
      <c r="U433" s="257"/>
      <c r="V433" s="221" t="s">
        <v>51</v>
      </c>
      <c r="W433" s="322" t="s">
        <v>140</v>
      </c>
      <c r="X433" s="323"/>
      <c r="Y433" s="323"/>
      <c r="Z433" s="324">
        <f>+SUM(START:END!Z433)</f>
        <v>32645.499999999996</v>
      </c>
      <c r="AA433" s="323">
        <f>AC432/(AC406+AC480)</f>
        <v>0.37689417633187394</v>
      </c>
      <c r="AB433" s="323"/>
      <c r="AC433" s="324">
        <f>+SUM(START:END!AC433)</f>
        <v>32645.499999999996</v>
      </c>
      <c r="AD433" s="323">
        <f>AF432/(AF406+AF480)</f>
        <v>0.3552477158274493</v>
      </c>
      <c r="AE433" s="326"/>
      <c r="AF433" s="324">
        <f>+SUM(START:END!AF433)</f>
        <v>22098.22</v>
      </c>
      <c r="AG433" s="325"/>
      <c r="AH433" s="327">
        <f t="shared" si="153"/>
        <v>-10547.279999999995</v>
      </c>
      <c r="AI433" s="328">
        <f>IF(AC433=0,0,AH433/AC433)</f>
        <v>-0.32308526443154484</v>
      </c>
      <c r="AJ433" s="325"/>
      <c r="AK433" s="323"/>
      <c r="AL433" s="324">
        <f t="shared" ref="AL433:AL450" si="155">+SUMIF($C:$C,$V433,Q:Q)</f>
        <v>62921.539999999994</v>
      </c>
      <c r="AM433" s="329"/>
      <c r="AN433" s="327">
        <f t="shared" si="154"/>
        <v>-40823.319999999992</v>
      </c>
      <c r="AO433" s="296">
        <f t="shared" ref="AO433:AO450" si="156">IF(AL433=0,0,AN433/AL433)</f>
        <v>-0.64879721634276588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3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/>
      <c r="M434" s="257"/>
      <c r="N434" s="257"/>
      <c r="O434" s="257"/>
      <c r="Q434" s="321"/>
      <c r="S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>+SUM(START:END!Z434)</f>
        <v>20325.014176681343</v>
      </c>
      <c r="AA434" s="290"/>
      <c r="AB434" s="290"/>
      <c r="AC434" s="291">
        <f>+SUM(START:END!AC434)</f>
        <v>20325.014176681343</v>
      </c>
      <c r="AD434" s="299"/>
      <c r="AE434" s="298"/>
      <c r="AF434" s="291">
        <f>+SUM(START:END!AF434)</f>
        <v>13168.42</v>
      </c>
      <c r="AG434" s="292"/>
      <c r="AH434" s="293">
        <f t="shared" si="153"/>
        <v>-7156.594176681343</v>
      </c>
      <c r="AI434" s="294">
        <f t="shared" ref="AI434:AI450" si="157">IF(AC434=0,0,AH434/AC434)</f>
        <v>-0.35210770897724747</v>
      </c>
      <c r="AJ434" s="299"/>
      <c r="AK434" s="290"/>
      <c r="AL434" s="291">
        <f t="shared" si="155"/>
        <v>13697.29</v>
      </c>
      <c r="AM434" s="295"/>
      <c r="AN434" s="293">
        <f t="shared" si="154"/>
        <v>-528.8700000000008</v>
      </c>
      <c r="AO434" s="300">
        <f t="shared" si="156"/>
        <v>-3.8611287342240751E-2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3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57"/>
      <c r="Q435" s="321"/>
      <c r="S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>+SUM(START:END!Z435)</f>
        <v>88557.312500000015</v>
      </c>
      <c r="AA435" s="274"/>
      <c r="AB435" s="274"/>
      <c r="AC435" s="275">
        <f>+SUM(START:END!AC435)</f>
        <v>88557.312500000015</v>
      </c>
      <c r="AD435" s="303"/>
      <c r="AE435" s="302"/>
      <c r="AF435" s="275">
        <f>+SUM(START:END!AF435)</f>
        <v>67792.97</v>
      </c>
      <c r="AG435" s="276"/>
      <c r="AH435" s="277">
        <f t="shared" si="153"/>
        <v>-20764.342500000013</v>
      </c>
      <c r="AI435" s="304">
        <f t="shared" si="157"/>
        <v>-0.23447349421314034</v>
      </c>
      <c r="AJ435" s="303"/>
      <c r="AK435" s="274"/>
      <c r="AL435" s="275">
        <f t="shared" si="155"/>
        <v>103995.85999999999</v>
      </c>
      <c r="AM435" s="279"/>
      <c r="AN435" s="277">
        <f t="shared" si="154"/>
        <v>-36202.889999999985</v>
      </c>
      <c r="AO435" s="280">
        <f t="shared" si="156"/>
        <v>-0.34811856933535612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3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257"/>
      <c r="M436" s="257"/>
      <c r="N436" s="257"/>
      <c r="O436" s="257"/>
      <c r="P436" s="257"/>
      <c r="Q436" s="321"/>
      <c r="S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>+SUM(START:END!Z436)</f>
        <v>58449.340000000004</v>
      </c>
      <c r="AA436" s="290"/>
      <c r="AB436" s="290"/>
      <c r="AC436" s="291">
        <f>+SUM(START:END!AC436)</f>
        <v>58449.340000000004</v>
      </c>
      <c r="AD436" s="299"/>
      <c r="AE436" s="298"/>
      <c r="AF436" s="291">
        <f>+SUM(START:END!AF436)</f>
        <v>46939.100000000006</v>
      </c>
      <c r="AG436" s="292"/>
      <c r="AH436" s="293">
        <f t="shared" si="153"/>
        <v>-11510.239999999998</v>
      </c>
      <c r="AI436" s="294">
        <f t="shared" si="157"/>
        <v>-0.19692677453671842</v>
      </c>
      <c r="AJ436" s="299"/>
      <c r="AK436" s="290"/>
      <c r="AL436" s="291">
        <f t="shared" si="155"/>
        <v>54732.880000000005</v>
      </c>
      <c r="AM436" s="295"/>
      <c r="AN436" s="293">
        <f t="shared" si="154"/>
        <v>-7793.7799999999988</v>
      </c>
      <c r="AO436" s="300">
        <f t="shared" si="156"/>
        <v>-0.14239667271300174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3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57"/>
      <c r="Q437" s="321"/>
      <c r="S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>+SUM(START:END!Z437)</f>
        <v>14967.157499999999</v>
      </c>
      <c r="AA437" s="290"/>
      <c r="AB437" s="290"/>
      <c r="AC437" s="291">
        <f>+SUM(START:END!AC437)</f>
        <v>14967.157499999999</v>
      </c>
      <c r="AD437" s="299"/>
      <c r="AE437" s="298"/>
      <c r="AF437" s="291">
        <f>+SUM(START:END!AF437)</f>
        <v>5159.5300000000007</v>
      </c>
      <c r="AG437" s="292"/>
      <c r="AH437" s="293">
        <f t="shared" si="153"/>
        <v>-9807.6274999999987</v>
      </c>
      <c r="AI437" s="294">
        <f t="shared" si="157"/>
        <v>-0.65527656136444068</v>
      </c>
      <c r="AJ437" s="299"/>
      <c r="AK437" s="290"/>
      <c r="AL437" s="291">
        <f t="shared" si="155"/>
        <v>18231</v>
      </c>
      <c r="AM437" s="295"/>
      <c r="AN437" s="293">
        <f t="shared" si="154"/>
        <v>-13071.47</v>
      </c>
      <c r="AO437" s="300">
        <f t="shared" si="156"/>
        <v>-0.71699138829466291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3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257"/>
      <c r="M438" s="257"/>
      <c r="N438" s="257"/>
      <c r="O438" s="257"/>
      <c r="P438" s="257"/>
      <c r="Q438" s="321"/>
      <c r="S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>+SUM(START:END!Z438)</f>
        <v>76458.588499999983</v>
      </c>
      <c r="AA438" s="290"/>
      <c r="AB438" s="290"/>
      <c r="AC438" s="291">
        <f>+SUM(START:END!AC438)</f>
        <v>76458.588499999983</v>
      </c>
      <c r="AD438" s="299"/>
      <c r="AE438" s="298"/>
      <c r="AF438" s="291">
        <f>+SUM(START:END!AF438)</f>
        <v>55254.720000000001</v>
      </c>
      <c r="AG438" s="292"/>
      <c r="AH438" s="293">
        <f t="shared" si="153"/>
        <v>-21203.868499999982</v>
      </c>
      <c r="AI438" s="294">
        <f t="shared" si="157"/>
        <v>-0.27732487502041692</v>
      </c>
      <c r="AJ438" s="299"/>
      <c r="AK438" s="290"/>
      <c r="AL438" s="291">
        <f t="shared" si="155"/>
        <v>100177.5</v>
      </c>
      <c r="AM438" s="295"/>
      <c r="AN438" s="293">
        <f t="shared" si="154"/>
        <v>-44922.78</v>
      </c>
      <c r="AO438" s="300">
        <f t="shared" si="156"/>
        <v>-0.44843183349554538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57"/>
      <c r="Q439" s="321"/>
      <c r="S439" s="257"/>
      <c r="T439" s="257"/>
      <c r="U439" s="257"/>
      <c r="V439" s="222" t="s">
        <v>99</v>
      </c>
      <c r="W439" s="330"/>
      <c r="X439" s="331"/>
      <c r="Y439" s="331"/>
      <c r="Z439" s="332">
        <f>+SUM(START:END!Z439)</f>
        <v>0</v>
      </c>
      <c r="AA439" s="331"/>
      <c r="AB439" s="331"/>
      <c r="AC439" s="332">
        <f>+SUM(START:END!AC439)</f>
        <v>0</v>
      </c>
      <c r="AD439" s="333"/>
      <c r="AE439" s="334"/>
      <c r="AF439" s="332">
        <f>+SUM(START:END!AF439)</f>
        <v>0</v>
      </c>
      <c r="AG439" s="335"/>
      <c r="AH439" s="336">
        <f t="shared" si="153"/>
        <v>0</v>
      </c>
      <c r="AI439" s="337">
        <f t="shared" si="157"/>
        <v>0</v>
      </c>
      <c r="AJ439" s="333"/>
      <c r="AK439" s="331"/>
      <c r="AL439" s="332">
        <f t="shared" si="155"/>
        <v>0</v>
      </c>
      <c r="AM439" s="338"/>
      <c r="AN439" s="336">
        <f t="shared" si="154"/>
        <v>0</v>
      </c>
      <c r="AO439" s="339">
        <f t="shared" si="156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3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>+SUM(START:END!Z440)</f>
        <v>3324.8419880446031</v>
      </c>
      <c r="AA440" s="290"/>
      <c r="AB440" s="298"/>
      <c r="AC440" s="291">
        <f>+SUM(START:END!AC440)</f>
        <v>3324.8419880446031</v>
      </c>
      <c r="AD440" s="299"/>
      <c r="AE440" s="298"/>
      <c r="AF440" s="291">
        <f>+SUM(START:END!AF440)</f>
        <v>4571.05</v>
      </c>
      <c r="AG440" s="292"/>
      <c r="AH440" s="293">
        <f t="shared" si="153"/>
        <v>1246.2080119553971</v>
      </c>
      <c r="AI440" s="294">
        <f t="shared" si="157"/>
        <v>0.3748172143026603</v>
      </c>
      <c r="AJ440" s="299"/>
      <c r="AK440" s="290"/>
      <c r="AL440" s="291">
        <f t="shared" si="155"/>
        <v>4325.59</v>
      </c>
      <c r="AM440" s="295"/>
      <c r="AN440" s="293">
        <f t="shared" si="154"/>
        <v>245.46000000000004</v>
      </c>
      <c r="AO440" s="300">
        <f t="shared" si="156"/>
        <v>5.6746016150397989E-2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3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>+SUM(START:END!Z441)</f>
        <v>4545</v>
      </c>
      <c r="AA441" s="290"/>
      <c r="AB441" s="290"/>
      <c r="AC441" s="291">
        <f>+SUM(START:END!AC441)</f>
        <v>4545</v>
      </c>
      <c r="AD441" s="299"/>
      <c r="AE441" s="298"/>
      <c r="AF441" s="291">
        <f>+SUM(START:END!AF441)</f>
        <v>1726.8999999999999</v>
      </c>
      <c r="AG441" s="292"/>
      <c r="AH441" s="293">
        <f t="shared" si="153"/>
        <v>-2818.1000000000004</v>
      </c>
      <c r="AI441" s="317">
        <f t="shared" si="157"/>
        <v>-0.62004400440044016</v>
      </c>
      <c r="AJ441" s="299"/>
      <c r="AK441" s="290"/>
      <c r="AL441" s="291">
        <f t="shared" si="155"/>
        <v>4545</v>
      </c>
      <c r="AM441" s="295"/>
      <c r="AN441" s="293">
        <f t="shared" si="154"/>
        <v>-2818.1000000000004</v>
      </c>
      <c r="AO441" s="300">
        <f t="shared" si="156"/>
        <v>-0.62004400440044016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3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>+SUM(START:END!Z442)</f>
        <v>6540</v>
      </c>
      <c r="AA442" s="290"/>
      <c r="AB442" s="290"/>
      <c r="AC442" s="291">
        <f>+SUM(START:END!AC442)</f>
        <v>6540</v>
      </c>
      <c r="AD442" s="299"/>
      <c r="AE442" s="298"/>
      <c r="AF442" s="291">
        <f>+SUM(START:END!AF442)</f>
        <v>6768.1</v>
      </c>
      <c r="AG442" s="292"/>
      <c r="AH442" s="293">
        <f t="shared" si="153"/>
        <v>228.10000000000036</v>
      </c>
      <c r="AI442" s="294">
        <f t="shared" si="157"/>
        <v>3.4877675840978652E-2</v>
      </c>
      <c r="AJ442" s="299"/>
      <c r="AK442" s="290"/>
      <c r="AL442" s="291">
        <f t="shared" si="155"/>
        <v>5550</v>
      </c>
      <c r="AM442" s="295"/>
      <c r="AN442" s="293">
        <f t="shared" si="154"/>
        <v>1218.1000000000004</v>
      </c>
      <c r="AO442" s="300">
        <f t="shared" si="156"/>
        <v>0.21947747747747753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3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>+SUM(START:END!Z443)</f>
        <v>5847.2999999999993</v>
      </c>
      <c r="AA443" s="290"/>
      <c r="AB443" s="290"/>
      <c r="AC443" s="291">
        <f>+SUM(START:END!AC443)</f>
        <v>5847.2999999999993</v>
      </c>
      <c r="AD443" s="299"/>
      <c r="AE443" s="298"/>
      <c r="AF443" s="291">
        <f>+SUM(START:END!AF443)</f>
        <v>1769.12</v>
      </c>
      <c r="AG443" s="292"/>
      <c r="AH443" s="293">
        <f t="shared" si="153"/>
        <v>-4078.1799999999994</v>
      </c>
      <c r="AI443" s="317">
        <f t="shared" si="157"/>
        <v>-0.69744668479469152</v>
      </c>
      <c r="AJ443" s="299"/>
      <c r="AK443" s="290"/>
      <c r="AL443" s="291">
        <f t="shared" si="155"/>
        <v>4972.45</v>
      </c>
      <c r="AM443" s="295"/>
      <c r="AN443" s="293">
        <f t="shared" si="154"/>
        <v>-3203.33</v>
      </c>
      <c r="AO443" s="300">
        <f t="shared" si="156"/>
        <v>-0.64421562811089106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3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>+SUM(START:END!Z444)</f>
        <v>2595</v>
      </c>
      <c r="AA444" s="290"/>
      <c r="AB444" s="290"/>
      <c r="AC444" s="291">
        <f>+SUM(START:END!AC444)</f>
        <v>2595</v>
      </c>
      <c r="AD444" s="299"/>
      <c r="AE444" s="298"/>
      <c r="AF444" s="291">
        <f>+SUM(START:END!AF444)</f>
        <v>1182.25</v>
      </c>
      <c r="AG444" s="292"/>
      <c r="AH444" s="293">
        <f t="shared" si="153"/>
        <v>-1412.75</v>
      </c>
      <c r="AI444" s="294">
        <f t="shared" si="157"/>
        <v>-0.5444123314065511</v>
      </c>
      <c r="AJ444" s="299"/>
      <c r="AK444" s="290"/>
      <c r="AL444" s="291">
        <f t="shared" si="155"/>
        <v>1002.73</v>
      </c>
      <c r="AM444" s="295"/>
      <c r="AN444" s="293">
        <f t="shared" si="154"/>
        <v>179.51999999999998</v>
      </c>
      <c r="AO444" s="300">
        <f t="shared" si="156"/>
        <v>0.1790312447019636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3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>+SUM(START:END!Z445)</f>
        <v>11673</v>
      </c>
      <c r="AA445" s="290"/>
      <c r="AB445" s="298"/>
      <c r="AC445" s="291">
        <f>+SUM(START:END!AC445)</f>
        <v>11673</v>
      </c>
      <c r="AD445" s="299"/>
      <c r="AE445" s="298"/>
      <c r="AF445" s="291">
        <f>+SUM(START:END!AF445)</f>
        <v>4805.0000000000009</v>
      </c>
      <c r="AG445" s="292"/>
      <c r="AH445" s="293">
        <f t="shared" si="153"/>
        <v>-6867.9999999999991</v>
      </c>
      <c r="AI445" s="317">
        <f t="shared" si="157"/>
        <v>-0.58836631542876716</v>
      </c>
      <c r="AJ445" s="299"/>
      <c r="AK445" s="290"/>
      <c r="AL445" s="291">
        <f t="shared" si="155"/>
        <v>16147.42</v>
      </c>
      <c r="AM445" s="295"/>
      <c r="AN445" s="293">
        <f t="shared" si="154"/>
        <v>-11342.419999999998</v>
      </c>
      <c r="AO445" s="300">
        <f t="shared" si="156"/>
        <v>-0.70242924256630457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3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>+SUM(START:END!Z446)</f>
        <v>9565.75</v>
      </c>
      <c r="AA446" s="290"/>
      <c r="AB446" s="298"/>
      <c r="AC446" s="291">
        <f>+SUM(START:END!AC446)</f>
        <v>9565.75</v>
      </c>
      <c r="AD446" s="299"/>
      <c r="AE446" s="298"/>
      <c r="AF446" s="291">
        <f>+SUM(START:END!AF446)</f>
        <v>8550.1299999999992</v>
      </c>
      <c r="AG446" s="292"/>
      <c r="AH446" s="293">
        <f t="shared" si="153"/>
        <v>-1015.6200000000008</v>
      </c>
      <c r="AI446" s="294">
        <f t="shared" si="157"/>
        <v>-0.10617254266523804</v>
      </c>
      <c r="AJ446" s="299"/>
      <c r="AK446" s="290"/>
      <c r="AL446" s="291">
        <f t="shared" si="155"/>
        <v>23287.5</v>
      </c>
      <c r="AM446" s="295"/>
      <c r="AN446" s="293">
        <f t="shared" si="154"/>
        <v>-14737.37</v>
      </c>
      <c r="AO446" s="300">
        <f t="shared" si="156"/>
        <v>-0.63284465915190558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3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>+SUM(START:END!Z447)</f>
        <v>31568.223111946641</v>
      </c>
      <c r="AA447" s="290"/>
      <c r="AB447" s="298"/>
      <c r="AC447" s="291">
        <f>+SUM(START:END!AC447)</f>
        <v>31568.223111946641</v>
      </c>
      <c r="AD447" s="299"/>
      <c r="AE447" s="298"/>
      <c r="AF447" s="291">
        <f>+SUM(START:END!AF447)</f>
        <v>21806.37</v>
      </c>
      <c r="AG447" s="292"/>
      <c r="AH447" s="293">
        <f t="shared" si="153"/>
        <v>-9761.8531119466425</v>
      </c>
      <c r="AI447" s="294">
        <f t="shared" si="157"/>
        <v>-0.30923036362640183</v>
      </c>
      <c r="AJ447" s="299"/>
      <c r="AK447" s="290"/>
      <c r="AL447" s="291">
        <f t="shared" si="155"/>
        <v>28846.400000000001</v>
      </c>
      <c r="AM447" s="295"/>
      <c r="AN447" s="293">
        <f t="shared" si="154"/>
        <v>-7040.0300000000025</v>
      </c>
      <c r="AO447" s="300">
        <f t="shared" si="156"/>
        <v>-0.24405229075378565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customHeight="1">
      <c r="A448" t="str">
        <f t="shared" si="135"/>
        <v>Mitsubishi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217</v>
      </c>
      <c r="W448" s="297"/>
      <c r="X448" s="290"/>
      <c r="Y448" s="298"/>
      <c r="Z448" s="291">
        <f>+SUM(START:END!Z448)</f>
        <v>0</v>
      </c>
      <c r="AA448" s="290"/>
      <c r="AB448" s="298"/>
      <c r="AC448" s="291">
        <f>+SUM(START:END!AC448)</f>
        <v>0</v>
      </c>
      <c r="AD448" s="299"/>
      <c r="AE448" s="298"/>
      <c r="AF448" s="291">
        <f>+SUM(START:END!AF448)</f>
        <v>0</v>
      </c>
      <c r="AG448" s="292"/>
      <c r="AH448" s="293">
        <f t="shared" si="153"/>
        <v>0</v>
      </c>
      <c r="AI448" s="294">
        <f t="shared" si="157"/>
        <v>0</v>
      </c>
      <c r="AJ448" s="299"/>
      <c r="AK448" s="290"/>
      <c r="AL448" s="291">
        <f t="shared" si="155"/>
        <v>0</v>
      </c>
      <c r="AM448" s="295"/>
      <c r="AN448" s="293">
        <f t="shared" si="154"/>
        <v>0</v>
      </c>
      <c r="AO448" s="300">
        <f t="shared" si="156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customHeight="1">
      <c r="A449" t="str">
        <f t="shared" si="13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>+SUM(START:END!Z449)</f>
        <v>0</v>
      </c>
      <c r="AA449" s="290"/>
      <c r="AB449" s="298"/>
      <c r="AC449" s="291">
        <f>+SUM(START:END!AC449)</f>
        <v>0</v>
      </c>
      <c r="AD449" s="299"/>
      <c r="AE449" s="298"/>
      <c r="AF449" s="291">
        <f>+SUM(START:END!AF449)</f>
        <v>0</v>
      </c>
      <c r="AG449" s="292"/>
      <c r="AH449" s="293">
        <f t="shared" si="153"/>
        <v>0</v>
      </c>
      <c r="AI449" s="294">
        <f t="shared" si="157"/>
        <v>0</v>
      </c>
      <c r="AJ449" s="299"/>
      <c r="AK449" s="290"/>
      <c r="AL449" s="291">
        <f t="shared" si="155"/>
        <v>0</v>
      </c>
      <c r="AM449" s="295"/>
      <c r="AN449" s="293">
        <f t="shared" si="154"/>
        <v>0</v>
      </c>
      <c r="AO449" s="300">
        <f t="shared" si="156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customHeight="1">
      <c r="A450" t="str">
        <f t="shared" si="13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>+SUM(START:END!Z450)</f>
        <v>0</v>
      </c>
      <c r="AA450" s="290"/>
      <c r="AB450" s="298"/>
      <c r="AC450" s="291">
        <f>+SUM(START:END!AC450)</f>
        <v>0</v>
      </c>
      <c r="AD450" s="299"/>
      <c r="AE450" s="298"/>
      <c r="AF450" s="291">
        <f>+SUM(START:END!AF450)</f>
        <v>0</v>
      </c>
      <c r="AG450" s="292"/>
      <c r="AH450" s="293">
        <f t="shared" si="153"/>
        <v>0</v>
      </c>
      <c r="AI450" s="294">
        <f t="shared" si="157"/>
        <v>0</v>
      </c>
      <c r="AJ450" s="299"/>
      <c r="AK450" s="290"/>
      <c r="AL450" s="291">
        <f t="shared" si="155"/>
        <v>0</v>
      </c>
      <c r="AM450" s="295"/>
      <c r="AN450" s="293">
        <f t="shared" si="154"/>
        <v>0</v>
      </c>
      <c r="AO450" s="300">
        <f t="shared" si="156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3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0.21432896140603722</v>
      </c>
      <c r="Y451" s="308"/>
      <c r="Z451" s="310">
        <f>+SUM(Z433:Z450)</f>
        <v>367062.02777667256</v>
      </c>
      <c r="AA451" s="309">
        <f>AC451/+AC406</f>
        <v>0.20643309946882066</v>
      </c>
      <c r="AB451" s="308"/>
      <c r="AC451" s="310">
        <f>+SUM(START:END!AC451)</f>
        <v>367062.02777667262</v>
      </c>
      <c r="AD451" s="311">
        <f>AF451/AF406</f>
        <v>0.13427385506953102</v>
      </c>
      <c r="AE451" s="308"/>
      <c r="AF451" s="310">
        <f>+SUM(AF433:AF450)</f>
        <v>261591.88</v>
      </c>
      <c r="AG451" s="319"/>
      <c r="AH451" s="342">
        <f>+SUM(AH433:AH450)</f>
        <v>-105470.14777667256</v>
      </c>
      <c r="AI451" s="309">
        <f>AH451/AC451</f>
        <v>-0.28733603531674096</v>
      </c>
      <c r="AJ451" s="311">
        <f>IF($AL$406=0,0,AL451/$AL$406)</f>
        <v>0.2686715968055568</v>
      </c>
      <c r="AK451" s="309"/>
      <c r="AL451" s="310">
        <f>+SUM(AL433:AL450)</f>
        <v>442433.16</v>
      </c>
      <c r="AM451" s="320"/>
      <c r="AN451" s="313">
        <f>+SUM(AN433:AN450)</f>
        <v>-180841.28</v>
      </c>
      <c r="AO451" s="343">
        <f>IF(AL451=0,0,AN451/AL451)</f>
        <v>-0.40874259967313481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3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+SUM(START:END!Z452)</f>
        <v>78000</v>
      </c>
      <c r="AA452" s="290"/>
      <c r="AB452" s="298"/>
      <c r="AC452" s="291">
        <f>+SUM(START:END!AC452)</f>
        <v>78000</v>
      </c>
      <c r="AD452" s="299"/>
      <c r="AE452" s="298"/>
      <c r="AF452" s="291">
        <f>+SUM(START:END!AF452)</f>
        <v>78000</v>
      </c>
      <c r="AG452" s="292"/>
      <c r="AH452" s="293">
        <f t="shared" ref="AH452:AH460" si="158">AF452-AC452</f>
        <v>0</v>
      </c>
      <c r="AI452" s="294">
        <f>IF(AC452=0,0,AH452/AC452)</f>
        <v>0</v>
      </c>
      <c r="AJ452" s="299"/>
      <c r="AK452" s="290"/>
      <c r="AL452" s="291">
        <f>+SUM(START:END!AL452)</f>
        <v>78000.209999999992</v>
      </c>
      <c r="AM452" s="295"/>
      <c r="AN452" s="293">
        <f t="shared" ref="AN452:AN460" si="159">AF452-AL452</f>
        <v>-0.20999999999185093</v>
      </c>
      <c r="AO452" s="300">
        <f t="shared" ref="AO452:AO460" si="160">IF(AL452=0,0,AN452/AL452)</f>
        <v>-2.6923004437020227E-6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3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+SUM(START:END!Z453)</f>
        <v>14430</v>
      </c>
      <c r="AA453" s="290"/>
      <c r="AB453" s="298"/>
      <c r="AC453" s="291">
        <f>+SUM(START:END!AC453)</f>
        <v>14430</v>
      </c>
      <c r="AD453" s="299"/>
      <c r="AE453" s="298"/>
      <c r="AF453" s="291">
        <f>+SUM(START:END!AF453)</f>
        <v>14430</v>
      </c>
      <c r="AG453" s="292"/>
      <c r="AH453" s="293">
        <f t="shared" si="158"/>
        <v>0</v>
      </c>
      <c r="AI453" s="294">
        <f t="shared" ref="AI453:AI460" si="161">IF(AC453=0,0,AH453/AC453)</f>
        <v>0</v>
      </c>
      <c r="AJ453" s="299"/>
      <c r="AK453" s="290"/>
      <c r="AL453" s="291">
        <f>+SUM(START:END!AL453)</f>
        <v>14100</v>
      </c>
      <c r="AM453" s="295"/>
      <c r="AN453" s="293">
        <f t="shared" si="159"/>
        <v>330</v>
      </c>
      <c r="AO453" s="300">
        <f t="shared" si="160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3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+SUM(START:END!Z454)</f>
        <v>9600</v>
      </c>
      <c r="AA454" s="274"/>
      <c r="AB454" s="302"/>
      <c r="AC454" s="275">
        <f>+SUM(START:END!AC454)</f>
        <v>9600</v>
      </c>
      <c r="AD454" s="303"/>
      <c r="AE454" s="302"/>
      <c r="AF454" s="275">
        <f>+SUM(START:END!AF454)</f>
        <v>9600</v>
      </c>
      <c r="AG454" s="276"/>
      <c r="AH454" s="277">
        <f t="shared" si="158"/>
        <v>0</v>
      </c>
      <c r="AI454" s="304">
        <f t="shared" si="161"/>
        <v>0</v>
      </c>
      <c r="AJ454" s="303"/>
      <c r="AK454" s="274"/>
      <c r="AL454" s="275">
        <f>+SUM(START:END!AL454)</f>
        <v>9450</v>
      </c>
      <c r="AM454" s="279"/>
      <c r="AN454" s="277">
        <f t="shared" si="159"/>
        <v>150</v>
      </c>
      <c r="AO454" s="280">
        <f t="shared" si="160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3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+SUM(START:END!Z455)</f>
        <v>0</v>
      </c>
      <c r="AA455" s="290"/>
      <c r="AB455" s="298"/>
      <c r="AC455" s="291">
        <f>+SUM(START:END!AC455)</f>
        <v>0</v>
      </c>
      <c r="AD455" s="299"/>
      <c r="AE455" s="298"/>
      <c r="AF455" s="291">
        <f>+SUM(START:END!AF455)</f>
        <v>0</v>
      </c>
      <c r="AG455" s="292"/>
      <c r="AH455" s="293">
        <f t="shared" si="158"/>
        <v>0</v>
      </c>
      <c r="AI455" s="294">
        <f t="shared" si="161"/>
        <v>0</v>
      </c>
      <c r="AJ455" s="299"/>
      <c r="AK455" s="290"/>
      <c r="AL455" s="291">
        <f>+SUM(START:END!AL455)</f>
        <v>0</v>
      </c>
      <c r="AM455" s="295"/>
      <c r="AN455" s="293">
        <f t="shared" si="159"/>
        <v>0</v>
      </c>
      <c r="AO455" s="300">
        <f t="shared" si="160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3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+SUM(START:END!Z456)</f>
        <v>11124.250000000002</v>
      </c>
      <c r="AA456" s="274"/>
      <c r="AB456" s="302"/>
      <c r="AC456" s="275">
        <f>+SUM(START:END!AC456)</f>
        <v>11124.250000000002</v>
      </c>
      <c r="AD456" s="303"/>
      <c r="AE456" s="302"/>
      <c r="AF456" s="275">
        <f>+SUM(START:END!AF456)</f>
        <v>11124.33</v>
      </c>
      <c r="AG456" s="276"/>
      <c r="AH456" s="277">
        <f t="shared" si="158"/>
        <v>7.9999999998108251E-2</v>
      </c>
      <c r="AI456" s="304">
        <f t="shared" si="161"/>
        <v>7.191496055743824E-6</v>
      </c>
      <c r="AJ456" s="303"/>
      <c r="AK456" s="274"/>
      <c r="AL456" s="275">
        <f>+SUM(START:END!AL456)</f>
        <v>4500</v>
      </c>
      <c r="AM456" s="279"/>
      <c r="AN456" s="277">
        <f t="shared" si="159"/>
        <v>6624.33</v>
      </c>
      <c r="AO456" s="280">
        <f t="shared" si="160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3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+SUM(START:END!Z457)</f>
        <v>11430</v>
      </c>
      <c r="AA457" s="344"/>
      <c r="AB457" s="345"/>
      <c r="AC457" s="291">
        <f>+SUM(START:END!AC457)</f>
        <v>11430</v>
      </c>
      <c r="AD457" s="299"/>
      <c r="AE457" s="298"/>
      <c r="AF457" s="291">
        <f>+SUM(START:END!AF457)</f>
        <v>4274.29</v>
      </c>
      <c r="AG457" s="292"/>
      <c r="AH457" s="346">
        <f t="shared" si="158"/>
        <v>-7155.71</v>
      </c>
      <c r="AI457" s="294">
        <f t="shared" si="161"/>
        <v>-0.62604636920384948</v>
      </c>
      <c r="AJ457" s="299"/>
      <c r="AK457" s="290"/>
      <c r="AL457" s="291">
        <f>+SUM(START:END!AL457)</f>
        <v>11010.000000000002</v>
      </c>
      <c r="AM457" s="295"/>
      <c r="AN457" s="293">
        <f t="shared" si="159"/>
        <v>-6735.7100000000019</v>
      </c>
      <c r="AO457" s="300">
        <f t="shared" si="160"/>
        <v>-0.61178110808356045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3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+SUM(START:END!Z458)</f>
        <v>18651.500000000004</v>
      </c>
      <c r="AA458" s="290"/>
      <c r="AB458" s="298"/>
      <c r="AC458" s="291">
        <f>+SUM(START:END!AC458)</f>
        <v>18651.500000000004</v>
      </c>
      <c r="AD458" s="299"/>
      <c r="AE458" s="298"/>
      <c r="AF458" s="291">
        <f>+SUM(START:END!AF458)</f>
        <v>21012.95</v>
      </c>
      <c r="AG458" s="292"/>
      <c r="AH458" s="293">
        <f t="shared" si="158"/>
        <v>2361.4499999999971</v>
      </c>
      <c r="AI458" s="294">
        <f t="shared" si="161"/>
        <v>0.12660911990992663</v>
      </c>
      <c r="AJ458" s="299"/>
      <c r="AK458" s="290"/>
      <c r="AL458" s="291">
        <f>+SUM(START:END!AL458)</f>
        <v>24075</v>
      </c>
      <c r="AM458" s="295"/>
      <c r="AN458" s="293">
        <f t="shared" si="159"/>
        <v>-3062.0499999999993</v>
      </c>
      <c r="AO458" s="300">
        <f t="shared" si="160"/>
        <v>-0.1271879543094496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3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+SUM(START:END!Z459)</f>
        <v>3000</v>
      </c>
      <c r="AA459" s="274"/>
      <c r="AB459" s="302"/>
      <c r="AC459" s="275">
        <f>+SUM(START:END!AC459)</f>
        <v>3000</v>
      </c>
      <c r="AD459" s="303"/>
      <c r="AE459" s="302"/>
      <c r="AF459" s="275">
        <f>+SUM(START:END!AF459)</f>
        <v>1876.83</v>
      </c>
      <c r="AG459" s="276"/>
      <c r="AH459" s="277">
        <f t="shared" si="158"/>
        <v>-1123.17</v>
      </c>
      <c r="AI459" s="304">
        <f t="shared" si="161"/>
        <v>-0.37439</v>
      </c>
      <c r="AJ459" s="303"/>
      <c r="AK459" s="274"/>
      <c r="AL459" s="275">
        <f>+SUM(START:END!AL459)</f>
        <v>2652</v>
      </c>
      <c r="AM459" s="279"/>
      <c r="AN459" s="277">
        <f t="shared" si="159"/>
        <v>-775.17000000000007</v>
      </c>
      <c r="AO459" s="280">
        <f t="shared" si="160"/>
        <v>-0.29229638009049774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3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+SUM(START:END!Z460)</f>
        <v>2700</v>
      </c>
      <c r="AA460" s="290"/>
      <c r="AB460" s="298"/>
      <c r="AC460" s="291">
        <f>+SUM(START:END!AC460)</f>
        <v>2700</v>
      </c>
      <c r="AD460" s="299"/>
      <c r="AE460" s="298"/>
      <c r="AF460" s="291">
        <f>+SUM(START:END!AF460)</f>
        <v>0</v>
      </c>
      <c r="AG460" s="292"/>
      <c r="AH460" s="293">
        <f t="shared" si="158"/>
        <v>-2700</v>
      </c>
      <c r="AI460" s="348">
        <f t="shared" si="161"/>
        <v>-1</v>
      </c>
      <c r="AJ460" s="290"/>
      <c r="AK460" s="290"/>
      <c r="AL460" s="291">
        <f>+SUM(START:END!AL460)</f>
        <v>2700</v>
      </c>
      <c r="AM460" s="295"/>
      <c r="AN460" s="293">
        <f t="shared" si="159"/>
        <v>-2700</v>
      </c>
      <c r="AO460" s="300">
        <f t="shared" si="160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3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f>+SUM(START:END!Z461)</f>
        <v>0</v>
      </c>
      <c r="AA461" s="290"/>
      <c r="AB461" s="298"/>
      <c r="AC461" s="291">
        <f>+SUM(START:END!AC461)</f>
        <v>0</v>
      </c>
      <c r="AD461" s="299"/>
      <c r="AE461" s="298"/>
      <c r="AF461" s="291">
        <f>+SUM(START:END!AF461)</f>
        <v>0</v>
      </c>
      <c r="AG461" s="292"/>
      <c r="AH461" s="293">
        <v>0</v>
      </c>
      <c r="AI461" s="317">
        <v>0</v>
      </c>
      <c r="AJ461" s="290"/>
      <c r="AK461" s="290"/>
      <c r="AL461" s="291">
        <f>+SUM(START:END!AL461)</f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3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f>+SUM(START:END!Z462)</f>
        <v>0</v>
      </c>
      <c r="AA462" s="290"/>
      <c r="AB462" s="298"/>
      <c r="AC462" s="291">
        <f>+SUM(START:END!AC462)</f>
        <v>0</v>
      </c>
      <c r="AD462" s="299"/>
      <c r="AE462" s="298"/>
      <c r="AF462" s="291">
        <f>+SUM(START:END!AF462)</f>
        <v>0</v>
      </c>
      <c r="AG462" s="292"/>
      <c r="AH462" s="293">
        <v>0</v>
      </c>
      <c r="AI462" s="317">
        <v>1</v>
      </c>
      <c r="AJ462" s="290"/>
      <c r="AK462" s="290"/>
      <c r="AL462" s="291">
        <f>+SUM(START:END!AL462)</f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3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f>+SUM(START:END!Z463)</f>
        <v>0</v>
      </c>
      <c r="AA463" s="290"/>
      <c r="AB463" s="298"/>
      <c r="AC463" s="291">
        <f>+SUM(START:END!AC463)</f>
        <v>0</v>
      </c>
      <c r="AD463" s="299"/>
      <c r="AE463" s="298"/>
      <c r="AF463" s="291">
        <f>+SUM(START:END!AF463)</f>
        <v>0</v>
      </c>
      <c r="AG463" s="292"/>
      <c r="AH463" s="293">
        <v>0</v>
      </c>
      <c r="AI463" s="317">
        <v>2</v>
      </c>
      <c r="AJ463" s="290"/>
      <c r="AK463" s="290"/>
      <c r="AL463" s="291">
        <f>+SUM(START:END!AL463)</f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3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f>+SUM(START:END!Z464)</f>
        <v>0</v>
      </c>
      <c r="AA464" s="290"/>
      <c r="AB464" s="298"/>
      <c r="AC464" s="291">
        <f>+SUM(START:END!AC464)</f>
        <v>0</v>
      </c>
      <c r="AD464" s="299"/>
      <c r="AE464" s="298"/>
      <c r="AF464" s="291">
        <f>+SUM(START:END!AF464)</f>
        <v>0</v>
      </c>
      <c r="AG464" s="292"/>
      <c r="AH464" s="293">
        <v>0</v>
      </c>
      <c r="AI464" s="317">
        <v>3</v>
      </c>
      <c r="AJ464" s="290"/>
      <c r="AK464" s="290"/>
      <c r="AL464" s="291">
        <f>+SUM(START:END!AL464)</f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3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8.6964170080678277E-2</v>
      </c>
      <c r="Y465" s="308"/>
      <c r="Z465" s="310">
        <f>SUM(Z452:Z464)</f>
        <v>148935.75</v>
      </c>
      <c r="AA465" s="309">
        <f>AC465/+AC406</f>
        <v>8.3760416953069849E-2</v>
      </c>
      <c r="AB465" s="308"/>
      <c r="AC465" s="310">
        <f>SUM(AC452:AC464)</f>
        <v>148935.75</v>
      </c>
      <c r="AD465" s="311">
        <f>AF465/AF406</f>
        <v>7.2024760497873569E-2</v>
      </c>
      <c r="AE465" s="308"/>
      <c r="AF465" s="310">
        <f>SUM(AF452:AF464)</f>
        <v>140318.39999999999</v>
      </c>
      <c r="AG465" s="319"/>
      <c r="AH465" s="349">
        <f>SUM(AH452:AH464)</f>
        <v>-8617.3500000000058</v>
      </c>
      <c r="AI465" s="309">
        <f>IF(AC465=0,0,AH465/AC465)</f>
        <v>-5.7859513246483842E-2</v>
      </c>
      <c r="AJ465" s="311">
        <f>IF($AL$406=0,0,AL465/$AL$406)</f>
        <v>8.8955702647357915E-2</v>
      </c>
      <c r="AK465" s="309"/>
      <c r="AL465" s="310">
        <f>SUM(AL452:AL464)</f>
        <v>146487.21</v>
      </c>
      <c r="AM465" s="320"/>
      <c r="AN465" s="313">
        <f>SUM(AN452:AN464)</f>
        <v>-6168.8099999999931</v>
      </c>
      <c r="AO465" s="343">
        <f>IF(AL465=0,0,AN465/AL465)</f>
        <v>-4.2111594589042914E-2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3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62">AF466-AC466</f>
        <v>0</v>
      </c>
      <c r="AI466" s="294"/>
      <c r="AJ466" s="299"/>
      <c r="AK466" s="290"/>
      <c r="AL466" s="350"/>
      <c r="AM466" s="351"/>
      <c r="AN466" s="293">
        <f t="shared" ref="AN466:AN482" si="163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3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1.0107697383044221</v>
      </c>
      <c r="Y467" s="308"/>
      <c r="Z467" s="310">
        <f>Z418+Z432+Z451+Z465</f>
        <v>1731054.8575581678</v>
      </c>
      <c r="AA467" s="309">
        <f>AC467/+AC406</f>
        <v>0.9746115377894321</v>
      </c>
      <c r="AB467" s="308"/>
      <c r="AC467" s="310">
        <f>AC418+AC432+AC451+AC465</f>
        <v>1732972.5139817661</v>
      </c>
      <c r="AD467" s="311">
        <f>AF467/AF406</f>
        <v>0.86645069189600177</v>
      </c>
      <c r="AE467" s="308"/>
      <c r="AF467" s="310">
        <f>AF418+AF432+AF451+AF465</f>
        <v>1688016.37</v>
      </c>
      <c r="AG467" s="319"/>
      <c r="AH467" s="313">
        <f t="shared" si="162"/>
        <v>-44956.143981765956</v>
      </c>
      <c r="AI467" s="309">
        <f>AH467/AC467</f>
        <v>-2.5941637053707462E-2</v>
      </c>
      <c r="AJ467" s="311">
        <f>IF($AL$406=0,0,AL467/$AL$406)</f>
        <v>1.1387971311837648</v>
      </c>
      <c r="AK467" s="309"/>
      <c r="AL467" s="310">
        <f>AL418+AL432+AL451+AL465</f>
        <v>1875306.5799999998</v>
      </c>
      <c r="AM467" s="320"/>
      <c r="AN467" s="313">
        <f t="shared" si="163"/>
        <v>-187290.20999999973</v>
      </c>
      <c r="AO467" s="288">
        <f>IF(AL467=0,0,AN467/AL467)</f>
        <v>-9.9871782031501086E-2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3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+SUM(START:END!Z468)</f>
        <v>0</v>
      </c>
      <c r="AA468" s="353"/>
      <c r="AB468" s="354"/>
      <c r="AC468" s="324">
        <f>+SUM(START:END!AC468)</f>
        <v>0</v>
      </c>
      <c r="AD468" s="355"/>
      <c r="AE468" s="354"/>
      <c r="AF468" s="291">
        <f>+SUM(START:END!AF468)</f>
        <v>27224.1</v>
      </c>
      <c r="AG468" s="356"/>
      <c r="AH468" s="293">
        <f t="shared" si="162"/>
        <v>27224.1</v>
      </c>
      <c r="AI468" s="348" t="e">
        <f t="shared" ref="AI468:AI478" si="164">IF(AH468=0,0,AH468/AC468)</f>
        <v>#DIV/0!</v>
      </c>
      <c r="AJ468" s="355"/>
      <c r="AK468" s="353"/>
      <c r="AL468" s="357">
        <f>+SUM(START:END!AL468)</f>
        <v>54196.840000000004</v>
      </c>
      <c r="AM468" s="358"/>
      <c r="AN468" s="293">
        <f t="shared" si="163"/>
        <v>-26972.740000000005</v>
      </c>
      <c r="AO468" s="300">
        <f>IF(AL468=0,0,AN468/AL468)</f>
        <v>-0.49768104561077736</v>
      </c>
      <c r="AP468" s="257"/>
      <c r="AQ468" s="257"/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3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>+SUM(START:END!Z469)</f>
        <v>211969.62723616601</v>
      </c>
      <c r="AA469" s="344"/>
      <c r="AB469" s="345"/>
      <c r="AC469" s="291">
        <f>+SUM(START:END!AC469)</f>
        <v>214385.89113735178</v>
      </c>
      <c r="AD469" s="359"/>
      <c r="AE469" s="345"/>
      <c r="AF469" s="291">
        <f>+SUM(START:END!AF469)</f>
        <v>213351</v>
      </c>
      <c r="AG469" s="360"/>
      <c r="AH469" s="293">
        <f t="shared" si="162"/>
        <v>-1034.8911373517767</v>
      </c>
      <c r="AI469" s="317">
        <f>IF(AC469=0,0,AH469/AC469)</f>
        <v>-4.8272352805565329E-3</v>
      </c>
      <c r="AJ469" s="359"/>
      <c r="AK469" s="344"/>
      <c r="AL469" s="361">
        <f>+SUM(START:END!AL469)</f>
        <v>238950.75</v>
      </c>
      <c r="AM469" s="362"/>
      <c r="AN469" s="293">
        <f t="shared" si="163"/>
        <v>-25599.75</v>
      </c>
      <c r="AO469" s="300">
        <f>IF(AL469=0,0,AN469/AL469)</f>
        <v>-0.1071340014626445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35"/>
        <v>Variable Margin Program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67</v>
      </c>
      <c r="W470" s="290"/>
      <c r="X470" s="290"/>
      <c r="Y470" s="290"/>
      <c r="Z470" s="291">
        <f>+SUM(START:END!Z470)</f>
        <v>101841.47886898088</v>
      </c>
      <c r="AA470" s="344"/>
      <c r="AB470" s="345"/>
      <c r="AC470" s="291">
        <f>+SUM(START:END!AC470)</f>
        <v>23103.18592934401</v>
      </c>
      <c r="AD470" s="359"/>
      <c r="AE470" s="345"/>
      <c r="AF470" s="291">
        <f>+SUM(START:END!AF470)</f>
        <v>19500</v>
      </c>
      <c r="AG470" s="360"/>
      <c r="AH470" s="293">
        <f t="shared" si="162"/>
        <v>-3603.1859293440102</v>
      </c>
      <c r="AI470" s="317">
        <f t="shared" si="164"/>
        <v>-0.15596056493522401</v>
      </c>
      <c r="AJ470" s="359"/>
      <c r="AK470" s="344"/>
      <c r="AL470" s="361">
        <f>+SUM(START:END!AL470)</f>
        <v>128898</v>
      </c>
      <c r="AM470" s="362"/>
      <c r="AN470" s="293">
        <f t="shared" si="163"/>
        <v>-109398</v>
      </c>
      <c r="AO470" s="300">
        <f t="shared" ref="AO470:AO479" si="165">IF(AL470=0,0,AN470/AL470)</f>
        <v>-0.84871759065307451</v>
      </c>
      <c r="AP470" s="257"/>
      <c r="AQ470" s="257"/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35"/>
        <v>Floorplan assistance 1%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68</v>
      </c>
      <c r="W471" s="290"/>
      <c r="X471" s="290"/>
      <c r="Y471" s="290"/>
      <c r="Z471" s="291">
        <f>+SUM(START:END!Z471)</f>
        <v>0</v>
      </c>
      <c r="AA471" s="344"/>
      <c r="AB471" s="345"/>
      <c r="AC471" s="291">
        <f>+SUM(START:END!AC471)</f>
        <v>0</v>
      </c>
      <c r="AD471" s="359"/>
      <c r="AE471" s="345"/>
      <c r="AF471" s="291">
        <f>+SUM(START:END!AF471)</f>
        <v>0</v>
      </c>
      <c r="AG471" s="360"/>
      <c r="AH471" s="293">
        <f t="shared" si="162"/>
        <v>0</v>
      </c>
      <c r="AI471" s="317">
        <f t="shared" si="164"/>
        <v>0</v>
      </c>
      <c r="AJ471" s="359"/>
      <c r="AK471" s="344"/>
      <c r="AL471" s="361">
        <f>+SUM(START:END!AL471)</f>
        <v>0</v>
      </c>
      <c r="AM471" s="362"/>
      <c r="AN471" s="293">
        <f t="shared" si="163"/>
        <v>0</v>
      </c>
      <c r="AO471" s="300">
        <f t="shared" si="165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3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>+SUM(START:END!Z472)</f>
        <v>0</v>
      </c>
      <c r="AA472" s="344"/>
      <c r="AB472" s="345"/>
      <c r="AC472" s="291">
        <f>+SUM(START:END!AC472)</f>
        <v>0</v>
      </c>
      <c r="AD472" s="359"/>
      <c r="AE472" s="345"/>
      <c r="AF472" s="291">
        <f>+SUM(START:END!AF472)</f>
        <v>0</v>
      </c>
      <c r="AG472" s="360"/>
      <c r="AH472" s="293">
        <f t="shared" si="162"/>
        <v>0</v>
      </c>
      <c r="AI472" s="317">
        <f t="shared" si="164"/>
        <v>0</v>
      </c>
      <c r="AJ472" s="359"/>
      <c r="AK472" s="344"/>
      <c r="AL472" s="361">
        <f>+SUM(START:END!AL472)</f>
        <v>0</v>
      </c>
      <c r="AM472" s="362"/>
      <c r="AN472" s="293">
        <f t="shared" si="163"/>
        <v>0</v>
      </c>
      <c r="AO472" s="300">
        <f t="shared" si="165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35"/>
        <v>Remarketing Bonus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81</v>
      </c>
      <c r="W473" s="290"/>
      <c r="X473" s="290"/>
      <c r="Y473" s="290"/>
      <c r="Z473" s="291">
        <f>+SUM(START:END!Z473)</f>
        <v>8500</v>
      </c>
      <c r="AA473" s="344"/>
      <c r="AB473" s="345"/>
      <c r="AC473" s="291">
        <f>+SUM(START:END!AC473)</f>
        <v>8500</v>
      </c>
      <c r="AD473" s="359"/>
      <c r="AE473" s="345"/>
      <c r="AF473" s="291">
        <f>+SUM(START:END!AF473)</f>
        <v>8500</v>
      </c>
      <c r="AG473" s="360"/>
      <c r="AH473" s="293">
        <f t="shared" si="162"/>
        <v>0</v>
      </c>
      <c r="AI473" s="317">
        <f t="shared" si="164"/>
        <v>0</v>
      </c>
      <c r="AJ473" s="359"/>
      <c r="AK473" s="344"/>
      <c r="AL473" s="361">
        <f>+SUM(START:END!AL473)</f>
        <v>0</v>
      </c>
      <c r="AM473" s="362"/>
      <c r="AN473" s="293">
        <f t="shared" si="163"/>
        <v>8500</v>
      </c>
      <c r="AO473" s="300">
        <f t="shared" si="165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3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>+SUM(START:END!Z474)</f>
        <v>0</v>
      </c>
      <c r="AA474" s="344"/>
      <c r="AB474" s="345"/>
      <c r="AC474" s="291">
        <f>+SUM(START:END!AC474)</f>
        <v>0</v>
      </c>
      <c r="AD474" s="359"/>
      <c r="AE474" s="345"/>
      <c r="AF474" s="291">
        <f>+SUM(START:END!AF474)</f>
        <v>0</v>
      </c>
      <c r="AG474" s="360"/>
      <c r="AH474" s="293">
        <f t="shared" si="162"/>
        <v>0</v>
      </c>
      <c r="AI474" s="317">
        <f t="shared" si="164"/>
        <v>0</v>
      </c>
      <c r="AJ474" s="359"/>
      <c r="AK474" s="344"/>
      <c r="AL474" s="361">
        <f>+SUM(START:END!AL474)</f>
        <v>0</v>
      </c>
      <c r="AM474" s="362"/>
      <c r="AN474" s="293">
        <f t="shared" si="163"/>
        <v>0</v>
      </c>
      <c r="AO474" s="300">
        <f t="shared" si="165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3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>+SUM(START:END!Z475)</f>
        <v>0</v>
      </c>
      <c r="AA475" s="344"/>
      <c r="AB475" s="345"/>
      <c r="AC475" s="291">
        <f>+SUM(START:END!AC475)</f>
        <v>0</v>
      </c>
      <c r="AD475" s="359"/>
      <c r="AE475" s="345"/>
      <c r="AF475" s="291">
        <f>+SUM(START:END!AF475)</f>
        <v>0</v>
      </c>
      <c r="AG475" s="360"/>
      <c r="AH475" s="293">
        <f t="shared" si="162"/>
        <v>0</v>
      </c>
      <c r="AI475" s="317">
        <f t="shared" si="164"/>
        <v>0</v>
      </c>
      <c r="AJ475" s="359"/>
      <c r="AK475" s="344"/>
      <c r="AL475" s="361">
        <f>+SUM(START:END!AL475)</f>
        <v>0</v>
      </c>
      <c r="AM475" s="362"/>
      <c r="AN475" s="293">
        <f t="shared" si="163"/>
        <v>0</v>
      </c>
      <c r="AO475" s="300">
        <f t="shared" si="165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customHeight="1">
      <c r="A476" t="str">
        <f t="shared" si="135"/>
        <v>Facility Fund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198</v>
      </c>
      <c r="W476" s="290"/>
      <c r="X476" s="290"/>
      <c r="Y476" s="290"/>
      <c r="Z476" s="291">
        <f>+SUM(START:END!Z476)</f>
        <v>0</v>
      </c>
      <c r="AA476" s="344"/>
      <c r="AB476" s="345"/>
      <c r="AC476" s="291">
        <f>+SUM(START:END!AC476)</f>
        <v>0</v>
      </c>
      <c r="AD476" s="359"/>
      <c r="AE476" s="345"/>
      <c r="AF476" s="291">
        <f>+SUM(START:END!AF476)</f>
        <v>0</v>
      </c>
      <c r="AG476" s="360"/>
      <c r="AH476" s="293">
        <f t="shared" si="162"/>
        <v>0</v>
      </c>
      <c r="AI476" s="317">
        <f t="shared" si="164"/>
        <v>0</v>
      </c>
      <c r="AJ476" s="359"/>
      <c r="AK476" s="344"/>
      <c r="AL476" s="361">
        <f>+SUM(START:END!AL476)</f>
        <v>0</v>
      </c>
      <c r="AM476" s="362"/>
      <c r="AN476" s="293">
        <f t="shared" si="163"/>
        <v>0</v>
      </c>
      <c r="AO476" s="300">
        <f t="shared" si="165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3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>+SUM(START:END!Z477)</f>
        <v>0</v>
      </c>
      <c r="AA477" s="344"/>
      <c r="AB477" s="345"/>
      <c r="AC477" s="291">
        <f>+SUM(START:END!AC477)</f>
        <v>0</v>
      </c>
      <c r="AD477" s="359"/>
      <c r="AE477" s="345"/>
      <c r="AF477" s="291">
        <f>+SUM(START:END!AF477)</f>
        <v>0</v>
      </c>
      <c r="AG477" s="360"/>
      <c r="AH477" s="293">
        <f t="shared" si="162"/>
        <v>0</v>
      </c>
      <c r="AI477" s="317">
        <f t="shared" si="164"/>
        <v>0</v>
      </c>
      <c r="AJ477" s="359"/>
      <c r="AK477" s="344"/>
      <c r="AL477" s="361">
        <f>+SUM(START:END!AL477)</f>
        <v>0</v>
      </c>
      <c r="AM477" s="362"/>
      <c r="AN477" s="293">
        <f t="shared" si="163"/>
        <v>0</v>
      </c>
      <c r="AO477" s="300">
        <f t="shared" si="165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3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>+SUM(START:END!Z478)</f>
        <v>0</v>
      </c>
      <c r="AA478" s="344"/>
      <c r="AB478" s="345"/>
      <c r="AC478" s="291">
        <f>+SUM(START:END!AC478)</f>
        <v>0</v>
      </c>
      <c r="AD478" s="359"/>
      <c r="AE478" s="345"/>
      <c r="AF478" s="291">
        <f>+SUM(START:END!AF478)</f>
        <v>0</v>
      </c>
      <c r="AG478" s="360"/>
      <c r="AH478" s="293">
        <f t="shared" si="162"/>
        <v>0</v>
      </c>
      <c r="AI478" s="317">
        <f t="shared" si="164"/>
        <v>0</v>
      </c>
      <c r="AJ478" s="359"/>
      <c r="AK478" s="344"/>
      <c r="AL478" s="361">
        <f>+SUM(START:END!AL478)</f>
        <v>0</v>
      </c>
      <c r="AM478" s="362"/>
      <c r="AN478" s="293">
        <f t="shared" si="163"/>
        <v>0</v>
      </c>
      <c r="AO478" s="300">
        <f t="shared" si="165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3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>+SUM(START:END!Z479)</f>
        <v>105289.61711120246</v>
      </c>
      <c r="AA479" s="344"/>
      <c r="AB479" s="345"/>
      <c r="AC479" s="291">
        <f>+SUM(START:END!AC479)</f>
        <v>105289.61711120246</v>
      </c>
      <c r="AD479" s="359"/>
      <c r="AE479" s="345"/>
      <c r="AF479" s="291">
        <f>+SUM(START:END!AF479)</f>
        <v>104374</v>
      </c>
      <c r="AG479" s="360"/>
      <c r="AH479" s="293">
        <f t="shared" si="162"/>
        <v>-915.61711120246036</v>
      </c>
      <c r="AI479" s="317">
        <f>IF(AH479=0,0,AH479/AC479)</f>
        <v>-8.6961766632261961E-3</v>
      </c>
      <c r="AJ479" s="359"/>
      <c r="AK479" s="344"/>
      <c r="AL479" s="361">
        <f>+SUM(START:END!AL479)</f>
        <v>77311</v>
      </c>
      <c r="AM479" s="362"/>
      <c r="AN479" s="293">
        <f t="shared" si="163"/>
        <v>27063</v>
      </c>
      <c r="AO479" s="300">
        <f t="shared" si="165"/>
        <v>0.35005367929531372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3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0.24967774372779969</v>
      </c>
      <c r="Y480" s="341"/>
      <c r="Z480" s="310">
        <f>SUM(Z468:Z479)</f>
        <v>427600.72321634932</v>
      </c>
      <c r="AA480" s="309">
        <f>AC480/+AC406</f>
        <v>0.19755666380349021</v>
      </c>
      <c r="AB480" s="341"/>
      <c r="AC480" s="310">
        <f>SUM(AC468:AC479)</f>
        <v>351278.69417789823</v>
      </c>
      <c r="AD480" s="309">
        <f>AF480/+AF406</f>
        <v>0.19143298103026757</v>
      </c>
      <c r="AE480" s="341"/>
      <c r="AF480" s="310">
        <f>SUM(AF468:AF479)</f>
        <v>372949.1</v>
      </c>
      <c r="AG480" s="319"/>
      <c r="AH480" s="313">
        <f t="shared" si="162"/>
        <v>21670.405822101748</v>
      </c>
      <c r="AI480" s="309">
        <f>AH480/AC480</f>
        <v>6.169006598255912E-2</v>
      </c>
      <c r="AJ480" s="363"/>
      <c r="AK480" s="364"/>
      <c r="AL480" s="310">
        <f>SUM(AL468:AL479)</f>
        <v>499356.59</v>
      </c>
      <c r="AM480" s="365"/>
      <c r="AN480" s="313">
        <f t="shared" si="163"/>
        <v>-126407.49000000005</v>
      </c>
      <c r="AO480" s="343">
        <f>IF(AL480=0,0,AN480/AL480)</f>
        <v>-0.25314072654973879</v>
      </c>
      <c r="AP480" s="257"/>
      <c r="AQ480" s="366"/>
      <c r="AR480" s="321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3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>
        <f>+SUM(START:END!Z480)</f>
        <v>427600.72321634938</v>
      </c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63"/>
        <v>0</v>
      </c>
      <c r="AO481" s="379">
        <f t="shared" ref="AO481" si="166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3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5.0900323379681048E-2</v>
      </c>
      <c r="Z482" s="384">
        <f>Z406-Z467+Z480</f>
        <v>409156.35641350673</v>
      </c>
      <c r="AA482" s="382" t="s">
        <v>187</v>
      </c>
      <c r="AB482" s="383">
        <f>AC482/AC405</f>
        <v>4.9316170739482988E-2</v>
      </c>
      <c r="AC482" s="384">
        <f>AC406-AC467+AC480</f>
        <v>396422.32882332022</v>
      </c>
      <c r="AD482" s="382" t="s">
        <v>187</v>
      </c>
      <c r="AE482" s="383">
        <f>AF482/AF405</f>
        <v>3.9449918304330325E-2</v>
      </c>
      <c r="AF482" s="385">
        <f>AF406-AF467+AF480</f>
        <v>633129.41999999934</v>
      </c>
      <c r="AG482" s="386"/>
      <c r="AH482" s="386">
        <f>AF482-AC482</f>
        <v>236707.09117667913</v>
      </c>
      <c r="AI482" s="387">
        <f>AH482/AC482</f>
        <v>0.59710837146657325</v>
      </c>
      <c r="AJ482" s="388" t="s">
        <v>187</v>
      </c>
      <c r="AK482" s="383">
        <f>IF($AL$405=0,0,AL482/$AL$405)</f>
        <v>1.7987034710206726E-2</v>
      </c>
      <c r="AL482" s="385">
        <f>AL406-AL467+AL480</f>
        <v>270793.34000000026</v>
      </c>
      <c r="AM482" s="389"/>
      <c r="AN482" s="385">
        <f t="shared" si="163"/>
        <v>362336.07999999908</v>
      </c>
      <c r="AO482" s="390">
        <f>IF(AL482=0,0,AN482/AL482)</f>
        <v>1.3380538827136543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3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>
        <f>+SUM(START:END!Z482)</f>
        <v>409156.35641350702</v>
      </c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67">+U484&amp;V484</f>
        <v>Conso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Conso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 xml:space="preserve">Réalisé  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67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67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67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67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5.0900323379681048E-2</v>
      </c>
      <c r="Z488" s="396">
        <f>Z482</f>
        <v>409156.35641350673</v>
      </c>
      <c r="AA488" s="394" t="s">
        <v>187</v>
      </c>
      <c r="AB488" s="395">
        <f>AC488/AC405</f>
        <v>4.9316170739482988E-2</v>
      </c>
      <c r="AC488" s="396">
        <f>AC482</f>
        <v>396422.32882332022</v>
      </c>
      <c r="AD488" s="394" t="s">
        <v>187</v>
      </c>
      <c r="AE488" s="395">
        <f>AF488/AF405</f>
        <v>3.9449918304330325E-2</v>
      </c>
      <c r="AF488" s="396">
        <f>AF482</f>
        <v>633129.41999999934</v>
      </c>
      <c r="AG488" s="397"/>
      <c r="AH488" s="386">
        <f>AF488-AC488</f>
        <v>236707.09117667913</v>
      </c>
      <c r="AI488" s="387">
        <f>AH488/AC488</f>
        <v>0.59710837146657325</v>
      </c>
      <c r="AJ488" s="394" t="s">
        <v>187</v>
      </c>
      <c r="AK488" s="395">
        <f>IF($AL$405=0,0,AL488/$AL$405)</f>
        <v>1.7987034710206726E-2</v>
      </c>
      <c r="AL488" s="398">
        <f>AL482</f>
        <v>270793.34000000026</v>
      </c>
      <c r="AM488" s="399"/>
      <c r="AN488" s="400">
        <f>AF488-AL488</f>
        <v>362336.07999999908</v>
      </c>
      <c r="AO488" s="401">
        <f>IF(AL488=0,0,AN488/AL488)</f>
        <v>1.3380538827136543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67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>
        <f>+SUM(START:END!AF489)</f>
        <v>0</v>
      </c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67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+SUM(START:END!Z490)</f>
        <v>27501</v>
      </c>
      <c r="AA490" s="290"/>
      <c r="AB490" s="298"/>
      <c r="AC490" s="291">
        <f>+SUM(START:END!AC490)</f>
        <v>27501</v>
      </c>
      <c r="AD490" s="290"/>
      <c r="AE490" s="298"/>
      <c r="AF490" s="291">
        <f>+SUM(START:END!AF490)</f>
        <v>-819.5</v>
      </c>
      <c r="AG490" s="290"/>
      <c r="AH490" s="293">
        <f t="shared" ref="AH490:AH496" si="168">AF490-AC490</f>
        <v>-28320.5</v>
      </c>
      <c r="AI490" s="317">
        <f>IF(AC490=0,0,AH490/AC490)</f>
        <v>-1.0297989164030399</v>
      </c>
      <c r="AJ490" s="290"/>
      <c r="AK490" s="290"/>
      <c r="AL490" s="291">
        <f>+SUM(START:END!AL490)</f>
        <v>27000</v>
      </c>
      <c r="AM490" s="295"/>
      <c r="AN490" s="293">
        <f t="shared" ref="AN490:AN496" si="169">AF490-AL490</f>
        <v>-27819.5</v>
      </c>
      <c r="AO490" s="300">
        <f>IF(AL490=0,0,AN490/AL490)</f>
        <v>-1.0303518518518517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67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+SUM(START:END!Z491)</f>
        <v>1368.75</v>
      </c>
      <c r="AA491" s="11"/>
      <c r="AB491" s="11"/>
      <c r="AC491" s="291">
        <f>+SUM(START:END!AC491)</f>
        <v>1368.75</v>
      </c>
      <c r="AD491" s="11"/>
      <c r="AE491" s="14"/>
      <c r="AF491" s="291">
        <f>+SUM(START:END!AF491)</f>
        <v>-1818.46</v>
      </c>
      <c r="AG491" s="11"/>
      <c r="AH491" s="293">
        <f t="shared" si="168"/>
        <v>-3187.21</v>
      </c>
      <c r="AI491" s="317">
        <f t="shared" ref="AI491:AI496" si="170">IF(AC491=0,0,AH491/AC491)</f>
        <v>-2.3285552511415526</v>
      </c>
      <c r="AJ491" s="11"/>
      <c r="AK491" s="11"/>
      <c r="AL491" s="291">
        <f>+SUM(START:END!AL491)</f>
        <v>0</v>
      </c>
      <c r="AM491" s="408"/>
      <c r="AN491" s="293">
        <f t="shared" si="169"/>
        <v>-1818.46</v>
      </c>
      <c r="AO491" s="300">
        <f t="shared" ref="AO491:AO496" si="171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67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+SUM(START:END!Z492)</f>
        <v>1726.6182266847529</v>
      </c>
      <c r="AA492" s="11"/>
      <c r="AB492" s="11"/>
      <c r="AC492" s="291">
        <f>+SUM(START:END!AC492)</f>
        <v>1726.6182266847529</v>
      </c>
      <c r="AD492" s="11"/>
      <c r="AE492" s="14"/>
      <c r="AF492" s="291">
        <f>+SUM(START:END!AF492)</f>
        <v>1805.57</v>
      </c>
      <c r="AG492" s="11"/>
      <c r="AH492" s="293">
        <f t="shared" si="168"/>
        <v>78.95177331524701</v>
      </c>
      <c r="AI492" s="317">
        <f t="shared" si="170"/>
        <v>4.5726248046645969E-2</v>
      </c>
      <c r="AJ492" s="11"/>
      <c r="AK492" s="11"/>
      <c r="AL492" s="291">
        <f>+SUM(START:END!AL492)</f>
        <v>12259.130000000001</v>
      </c>
      <c r="AM492" s="408"/>
      <c r="AN492" s="293">
        <f t="shared" si="169"/>
        <v>-10453.560000000001</v>
      </c>
      <c r="AO492" s="300">
        <f t="shared" si="171"/>
        <v>-0.85271630205406101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>
      <c r="A493" t="str">
        <f t="shared" si="167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+SUM(START:END!Z493)</f>
        <v>0</v>
      </c>
      <c r="AA493" s="11"/>
      <c r="AB493" s="11"/>
      <c r="AC493" s="291">
        <f>+SUM(START:END!AC493)</f>
        <v>0</v>
      </c>
      <c r="AD493" s="11"/>
      <c r="AE493" s="14"/>
      <c r="AF493" s="291">
        <f>+SUM(START:END!AF493)</f>
        <v>0</v>
      </c>
      <c r="AG493" s="11"/>
      <c r="AH493" s="293">
        <f t="shared" si="168"/>
        <v>0</v>
      </c>
      <c r="AI493" s="317">
        <f t="shared" si="170"/>
        <v>0</v>
      </c>
      <c r="AJ493" s="11"/>
      <c r="AK493" s="11"/>
      <c r="AL493" s="291">
        <f>+SUM(START:END!AL493)</f>
        <v>0</v>
      </c>
      <c r="AM493" s="408"/>
      <c r="AN493" s="293">
        <f t="shared" si="169"/>
        <v>0</v>
      </c>
      <c r="AO493" s="300">
        <f t="shared" si="171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customHeight="1" thickBot="1">
      <c r="A494" t="str">
        <f t="shared" si="167"/>
        <v>Intérêts sur hypothèque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193</v>
      </c>
      <c r="W494" s="14"/>
      <c r="X494" s="14"/>
      <c r="Y494" s="14"/>
      <c r="Z494" s="291">
        <f>+SUM(START:END!Z494)</f>
        <v>0</v>
      </c>
      <c r="AA494" s="11"/>
      <c r="AB494" s="11"/>
      <c r="AC494" s="291">
        <f>+SUM(START:END!AC494)</f>
        <v>0</v>
      </c>
      <c r="AD494" s="11"/>
      <c r="AE494" s="14"/>
      <c r="AF494" s="291">
        <f>+SUM(START:END!AF494)</f>
        <v>0</v>
      </c>
      <c r="AG494" s="11"/>
      <c r="AH494" s="293">
        <f t="shared" si="168"/>
        <v>0</v>
      </c>
      <c r="AI494" s="317">
        <f t="shared" si="170"/>
        <v>0</v>
      </c>
      <c r="AJ494" s="11"/>
      <c r="AK494" s="11"/>
      <c r="AL494" s="291">
        <f>+SUM(START:END!AL494)</f>
        <v>0</v>
      </c>
      <c r="AM494" s="408"/>
      <c r="AN494" s="293">
        <f t="shared" si="169"/>
        <v>0</v>
      </c>
      <c r="AO494" s="300">
        <f t="shared" si="171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>
      <c r="A495" t="str">
        <f t="shared" si="167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>+SUM(START:END!Z495)</f>
        <v>0</v>
      </c>
      <c r="AA495" s="11"/>
      <c r="AB495" s="11"/>
      <c r="AC495" s="291">
        <f>+SUM(START:END!AC495)</f>
        <v>0</v>
      </c>
      <c r="AD495" s="11"/>
      <c r="AE495" s="14"/>
      <c r="AF495" s="291">
        <f>+SUM(START:END!AF495)</f>
        <v>0</v>
      </c>
      <c r="AG495" s="11"/>
      <c r="AH495" s="293">
        <f t="shared" si="168"/>
        <v>0</v>
      </c>
      <c r="AI495" s="317">
        <f t="shared" si="170"/>
        <v>0</v>
      </c>
      <c r="AJ495" s="11"/>
      <c r="AK495" s="11"/>
      <c r="AL495" s="291">
        <f>+SUM(START:END!AL495)</f>
        <v>0</v>
      </c>
      <c r="AM495" s="408"/>
      <c r="AN495" s="293">
        <f t="shared" si="169"/>
        <v>0</v>
      </c>
      <c r="AO495" s="300">
        <f t="shared" si="171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 thickBot="1">
      <c r="A496" t="str">
        <f t="shared" si="167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>+SUM(START:END!Z496)</f>
        <v>0</v>
      </c>
      <c r="AA496" s="11"/>
      <c r="AB496" s="11"/>
      <c r="AC496" s="291">
        <f>+SUM(START:END!AC496)</f>
        <v>0</v>
      </c>
      <c r="AD496" s="11"/>
      <c r="AE496" s="14"/>
      <c r="AF496" s="291">
        <f>+SUM(START:END!AF496)</f>
        <v>0</v>
      </c>
      <c r="AG496" s="11"/>
      <c r="AH496" s="293">
        <f t="shared" si="168"/>
        <v>0</v>
      </c>
      <c r="AI496" s="317">
        <f t="shared" si="170"/>
        <v>0</v>
      </c>
      <c r="AJ496" s="11"/>
      <c r="AK496" s="11"/>
      <c r="AL496" s="291">
        <f>+SUM(START:END!AL496)</f>
        <v>0</v>
      </c>
      <c r="AM496" s="408"/>
      <c r="AN496" s="293">
        <f t="shared" si="169"/>
        <v>0</v>
      </c>
      <c r="AO496" s="300">
        <f t="shared" si="171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67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4.7094040005194918E-2</v>
      </c>
      <c r="Z497" s="384">
        <f>Z488-Z490-Z491-Z492-Z496-Z493-Z494</f>
        <v>378559.98818682198</v>
      </c>
      <c r="AA497" s="382" t="s">
        <v>187</v>
      </c>
      <c r="AB497" s="383">
        <f>AC497/AC405</f>
        <v>4.5509887364996858E-2</v>
      </c>
      <c r="AC497" s="384">
        <f>AC488-AC490-AC491-AC492-AC496-AC493-AC494</f>
        <v>365825.96059663547</v>
      </c>
      <c r="AD497" s="382" t="s">
        <v>187</v>
      </c>
      <c r="AE497" s="383">
        <f>AF497/AF405</f>
        <v>3.9501784031083856E-2</v>
      </c>
      <c r="AF497" s="385">
        <f>AF488-AF490-AF491-AF492-AF496-AF493-AF494</f>
        <v>633961.80999999936</v>
      </c>
      <c r="AG497" s="386"/>
      <c r="AH497" s="386">
        <f>AH488-AH490-AH491-AH492-AH496-AH493-AH494</f>
        <v>268135.84940336389</v>
      </c>
      <c r="AI497" s="387">
        <f>AH497/AC497</f>
        <v>0.73296014576454294</v>
      </c>
      <c r="AJ497" s="388" t="s">
        <v>187</v>
      </c>
      <c r="AK497" s="383">
        <f>IF($AL$405=0,0,AL497/$AL$405)</f>
        <v>1.5379306861351515E-2</v>
      </c>
      <c r="AL497" s="385">
        <f>AL488-AL490-AL491-AL492-AL496-AL493-AL494</f>
        <v>231534.21000000025</v>
      </c>
      <c r="AM497" s="389"/>
      <c r="AN497" s="385">
        <f>AN488-AN490-AN491-AN492-AN496-AN493-AN494</f>
        <v>402427.5999999991</v>
      </c>
      <c r="AO497" s="409">
        <f>IF(AL497=0,0,AN497/AL497)</f>
        <v>1.7380913170455401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67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/>
      <c r="AA500" s="257"/>
      <c r="AB500" s="257"/>
      <c r="AC500" s="257"/>
      <c r="AD500" s="257"/>
      <c r="AE500" s="257"/>
      <c r="AF500" s="257"/>
      <c r="AG500" s="257"/>
      <c r="AH500" s="257"/>
      <c r="AI500" s="257"/>
      <c r="AJ500" s="257"/>
      <c r="AK500" s="257"/>
      <c r="AL500" s="257"/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/>
      <c r="AA501" s="257"/>
      <c r="AB501" s="257"/>
      <c r="AC501" s="257"/>
      <c r="AD501" s="257"/>
      <c r="AE501" s="257"/>
      <c r="AF501" s="412"/>
      <c r="AG501" s="257"/>
      <c r="AH501" s="257"/>
      <c r="AI501" s="257"/>
      <c r="AJ501" s="257"/>
      <c r="AK501" s="257"/>
      <c r="AL501" s="257"/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321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321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321"/>
      <c r="AG505" s="257"/>
      <c r="AH505" s="257"/>
      <c r="AI505" s="257"/>
      <c r="AJ505" s="257"/>
      <c r="AK505" s="257"/>
      <c r="AL505" s="321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phoneticPr fontId="31" type="noConversion"/>
  <conditionalFormatting sqref="K291 H168:I168 K168 J168:J170 J291:J292 H170:I170 H236:I236 K236 H291:I291 K170:L170 J90:J91 H90:I90 J3 K90 H25:L30 J236:J239 H238:I238 K238:L238 H308:L309 H303:L305 H293:L293 L18 F83:F85 L86:L90 H86:K88 H163:L163 H164 J164:K164 H165:K166 L165:L168 H233:K234 L233:L236 H289:K289 L289:L291 H83:L85 H231:L231 H232 J232:K232 J287:L287 J288:K288 H351:L351 H352:H354 J352:K354 J72:L72 H72 I121:L121 H152:L152 H348:L348 J399:K399 H399 J242:L242 H363:L363 J251:L252 H96:L97 I100:L100 H100:H103 L24 I13:J14 I16:J16 I104:L110 H134:L134 H312:L315 K306:K307 K311 I24:J24 J21:J23 I20:J20 J19 J101:K103 H135:H136 J135:K136 H155:H156 J155:K156 H364:H375 J364:K375 J284 I18:J18 I17 J49:L54 L6:L14 J31:K48 H31:H54 J111:K120 J122:K133 H105:H133 L125:L129 O122:P133 Q125:Q129 H228 J228:K228 J294:K302 L319:L324 J317:K347 H317:H347 J253:K274 K98:K99 L275:L284">
    <cfRule type="expression" dxfId="2399" priority="362" stopIfTrue="1">
      <formula>"esterreur(reference)"</formula>
    </cfRule>
  </conditionalFormatting>
  <conditionalFormatting sqref="M95:M96">
    <cfRule type="expression" dxfId="2398" priority="363" stopIfTrue="1">
      <formula>"esterreur(reference)"</formula>
    </cfRule>
  </conditionalFormatting>
  <conditionalFormatting sqref="J275:K280">
    <cfRule type="expression" dxfId="2397" priority="364" stopIfTrue="1">
      <formula>"esterreur(reference)"</formula>
    </cfRule>
  </conditionalFormatting>
  <conditionalFormatting sqref="L103">
    <cfRule type="expression" dxfId="2396" priority="335" stopIfTrue="1">
      <formula>"esterreur(reference)"</formula>
    </cfRule>
  </conditionalFormatting>
  <conditionalFormatting sqref="H141:H147 J141:K147">
    <cfRule type="expression" dxfId="2395" priority="366" stopIfTrue="1">
      <formula>"esterreur(reference)"</formula>
    </cfRule>
  </conditionalFormatting>
  <conditionalFormatting sqref="H137:H139 J137:K139">
    <cfRule type="expression" dxfId="2394" priority="367" stopIfTrue="1">
      <formula>"esterreur(reference)"</formula>
    </cfRule>
  </conditionalFormatting>
  <conditionalFormatting sqref="H140 J140:K140">
    <cfRule type="expression" dxfId="2393" priority="368" stopIfTrue="1">
      <formula>"esterreur(reference)"</formula>
    </cfRule>
  </conditionalFormatting>
  <conditionalFormatting sqref="L82">
    <cfRule type="expression" dxfId="2392" priority="342" stopIfTrue="1">
      <formula>"esterreur(reference)"</formula>
    </cfRule>
  </conditionalFormatting>
  <conditionalFormatting sqref="M311">
    <cfRule type="expression" dxfId="2391" priority="369" stopIfTrue="1">
      <formula>"esterreur(reference)"</formula>
    </cfRule>
  </conditionalFormatting>
  <conditionalFormatting sqref="R311">
    <cfRule type="expression" dxfId="2390" priority="37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2389" priority="371" operator="greaterThan">
      <formula>0</formula>
    </cfRule>
  </conditionalFormatting>
  <conditionalFormatting sqref="AH468:AI479">
    <cfRule type="cellIs" dxfId="2388" priority="372" operator="lessThan">
      <formula>0</formula>
    </cfRule>
  </conditionalFormatting>
  <conditionalFormatting sqref="AH491:AH496">
    <cfRule type="cellIs" dxfId="2387" priority="373" operator="greaterThan">
      <formula>0</formula>
    </cfRule>
  </conditionalFormatting>
  <conditionalFormatting sqref="J281:K282 J283">
    <cfRule type="expression" dxfId="2386" priority="374" stopIfTrue="1">
      <formula>"esterreur(reference)"</formula>
    </cfRule>
  </conditionalFormatting>
  <conditionalFormatting sqref="K356 J356:J357 H356:I356 L355:L356 H358:L358">
    <cfRule type="expression" dxfId="2385" priority="375" stopIfTrue="1">
      <formula>"esterreur(reference)"</formula>
    </cfRule>
  </conditionalFormatting>
  <conditionalFormatting sqref="H396">
    <cfRule type="expression" dxfId="2384" priority="376" stopIfTrue="1">
      <formula>"esterreur(reference)"</formula>
    </cfRule>
  </conditionalFormatting>
  <conditionalFormatting sqref="I376:L376 H377:H392 J377:K392">
    <cfRule type="expression" dxfId="2383" priority="377" stopIfTrue="1">
      <formula>"esterreur(reference)"</formula>
    </cfRule>
  </conditionalFormatting>
  <conditionalFormatting sqref="H397:L398 I396:L396 H395:L395 H393:H394 J393:K393">
    <cfRule type="expression" dxfId="2382" priority="378" stopIfTrue="1">
      <formula>"esterreur(reference)"</formula>
    </cfRule>
  </conditionalFormatting>
  <conditionalFormatting sqref="H360:L362 H359 K359">
    <cfRule type="expression" dxfId="2381" priority="379" stopIfTrue="1">
      <formula>"esterreur(reference)"</formula>
    </cfRule>
  </conditionalFormatting>
  <conditionalFormatting sqref="K394">
    <cfRule type="expression" dxfId="2380" priority="380" stopIfTrue="1">
      <formula>"esterreur(reference)"</formula>
    </cfRule>
  </conditionalFormatting>
  <conditionalFormatting sqref="H316:L316">
    <cfRule type="expression" dxfId="2379" priority="381" stopIfTrue="1">
      <formula>"esterreur(reference)"</formula>
    </cfRule>
  </conditionalFormatting>
  <conditionalFormatting sqref="L58">
    <cfRule type="expression" dxfId="2378" priority="352" stopIfTrue="1">
      <formula>"esterreur(reference)"</formula>
    </cfRule>
  </conditionalFormatting>
  <conditionalFormatting sqref="H55:H56 J55:K56 H71 J71:K71">
    <cfRule type="expression" dxfId="2377" priority="383" stopIfTrue="1">
      <formula>"esterreur(reference)"</formula>
    </cfRule>
  </conditionalFormatting>
  <conditionalFormatting sqref="J61:K70 H61:H70">
    <cfRule type="expression" dxfId="2376" priority="384" stopIfTrue="1">
      <formula>"esterreur(reference)"</formula>
    </cfRule>
  </conditionalFormatting>
  <conditionalFormatting sqref="H57:H59 J57:K59">
    <cfRule type="expression" dxfId="2375" priority="385" stopIfTrue="1">
      <formula>"esterreur(reference)"</formula>
    </cfRule>
  </conditionalFormatting>
  <conditionalFormatting sqref="H60 J60:K60">
    <cfRule type="expression" dxfId="2374" priority="386" stopIfTrue="1">
      <formula>"esterreur(reference)"</formula>
    </cfRule>
  </conditionalFormatting>
  <conditionalFormatting sqref="L19 L21:L23">
    <cfRule type="expression" dxfId="2373" priority="360" stopIfTrue="1">
      <formula>"esterreur(reference)"</formula>
    </cfRule>
  </conditionalFormatting>
  <conditionalFormatting sqref="L331:L347">
    <cfRule type="expression" dxfId="2372" priority="257" stopIfTrue="1">
      <formula>"esterreur(reference)"</formula>
    </cfRule>
  </conditionalFormatting>
  <conditionalFormatting sqref="L16:L17">
    <cfRule type="expression" dxfId="2371" priority="361" stopIfTrue="1">
      <formula>"esterreur(reference)"</formula>
    </cfRule>
  </conditionalFormatting>
  <conditionalFormatting sqref="L20">
    <cfRule type="expression" dxfId="2370" priority="359" stopIfTrue="1">
      <formula>"esterreur(reference)"</formula>
    </cfRule>
  </conditionalFormatting>
  <conditionalFormatting sqref="L325">
    <cfRule type="expression" dxfId="2369" priority="261" stopIfTrue="1">
      <formula>"esterreur(reference)"</formula>
    </cfRule>
  </conditionalFormatting>
  <conditionalFormatting sqref="L326">
    <cfRule type="expression" dxfId="2368" priority="260" stopIfTrue="1">
      <formula>"esterreur(reference)"</formula>
    </cfRule>
  </conditionalFormatting>
  <conditionalFormatting sqref="L327">
    <cfRule type="expression" dxfId="2367" priority="259" stopIfTrue="1">
      <formula>"esterreur(reference)"</formula>
    </cfRule>
  </conditionalFormatting>
  <conditionalFormatting sqref="L328">
    <cfRule type="expression" dxfId="2366" priority="258" stopIfTrue="1">
      <formula>"esterreur(reference)"</formula>
    </cfRule>
  </conditionalFormatting>
  <conditionalFormatting sqref="L42">
    <cfRule type="expression" dxfId="2365" priority="358" stopIfTrue="1">
      <formula>"esterreur(reference)"</formula>
    </cfRule>
  </conditionalFormatting>
  <conditionalFormatting sqref="L43">
    <cfRule type="expression" dxfId="2364" priority="357" stopIfTrue="1">
      <formula>"esterreur(reference)"</formula>
    </cfRule>
  </conditionalFormatting>
  <conditionalFormatting sqref="L44">
    <cfRule type="expression" dxfId="2363" priority="356" stopIfTrue="1">
      <formula>"esterreur(reference)"</formula>
    </cfRule>
  </conditionalFormatting>
  <conditionalFormatting sqref="L45:L48">
    <cfRule type="expression" dxfId="2362" priority="355" stopIfTrue="1">
      <formula>"esterreur(reference)"</formula>
    </cfRule>
  </conditionalFormatting>
  <conditionalFormatting sqref="L55">
    <cfRule type="expression" dxfId="2361" priority="354" stopIfTrue="1">
      <formula>"esterreur(reference)"</formula>
    </cfRule>
  </conditionalFormatting>
  <conditionalFormatting sqref="L56">
    <cfRule type="expression" dxfId="2360" priority="353" stopIfTrue="1">
      <formula>"esterreur(reference)"</formula>
    </cfRule>
  </conditionalFormatting>
  <conditionalFormatting sqref="L271">
    <cfRule type="expression" dxfId="2359" priority="272" stopIfTrue="1">
      <formula>"esterreur(reference)"</formula>
    </cfRule>
  </conditionalFormatting>
  <conditionalFormatting sqref="L61">
    <cfRule type="expression" dxfId="2358" priority="351" stopIfTrue="1">
      <formula>"esterreur(reference)"</formula>
    </cfRule>
  </conditionalFormatting>
  <conditionalFormatting sqref="L274">
    <cfRule type="expression" dxfId="2357" priority="270" stopIfTrue="1">
      <formula>"esterreur(reference)"</formula>
    </cfRule>
  </conditionalFormatting>
  <conditionalFormatting sqref="L63">
    <cfRule type="expression" dxfId="2356" priority="350" stopIfTrue="1">
      <formula>"esterreur(reference)"</formula>
    </cfRule>
  </conditionalFormatting>
  <conditionalFormatting sqref="L62">
    <cfRule type="expression" dxfId="2355" priority="349" stopIfTrue="1">
      <formula>"esterreur(reference)"</formula>
    </cfRule>
  </conditionalFormatting>
  <conditionalFormatting sqref="L64">
    <cfRule type="expression" dxfId="2354" priority="348" stopIfTrue="1">
      <formula>"esterreur(reference)"</formula>
    </cfRule>
  </conditionalFormatting>
  <conditionalFormatting sqref="L65">
    <cfRule type="expression" dxfId="2353" priority="347" stopIfTrue="1">
      <formula>"esterreur(reference)"</formula>
    </cfRule>
  </conditionalFormatting>
  <conditionalFormatting sqref="L69 L66:L67">
    <cfRule type="expression" dxfId="2352" priority="346" stopIfTrue="1">
      <formula>"esterreur(reference)"</formula>
    </cfRule>
  </conditionalFormatting>
  <conditionalFormatting sqref="L70">
    <cfRule type="expression" dxfId="2351" priority="345" stopIfTrue="1">
      <formula>"esterreur(reference)"</formula>
    </cfRule>
  </conditionalFormatting>
  <conditionalFormatting sqref="L76:L77">
    <cfRule type="expression" dxfId="2350" priority="344" stopIfTrue="1">
      <formula>"esterreur(reference)"</formula>
    </cfRule>
  </conditionalFormatting>
  <conditionalFormatting sqref="L78:L81">
    <cfRule type="expression" dxfId="2349" priority="343" stopIfTrue="1">
      <formula>"esterreur(reference)"</formula>
    </cfRule>
  </conditionalFormatting>
  <conditionalFormatting sqref="L57">
    <cfRule type="expression" dxfId="2348" priority="341" stopIfTrue="1">
      <formula>"esterreur(reference)"</formula>
    </cfRule>
  </conditionalFormatting>
  <conditionalFormatting sqref="L98:L99">
    <cfRule type="expression" dxfId="2347" priority="338" stopIfTrue="1">
      <formula>"esterreur(reference)"</formula>
    </cfRule>
  </conditionalFormatting>
  <conditionalFormatting sqref="L101">
    <cfRule type="expression" dxfId="2346" priority="337" stopIfTrue="1">
      <formula>"esterreur(reference)"</formula>
    </cfRule>
  </conditionalFormatting>
  <conditionalFormatting sqref="L102">
    <cfRule type="expression" dxfId="2345" priority="336" stopIfTrue="1">
      <formula>"esterreur(reference)"</formula>
    </cfRule>
  </conditionalFormatting>
  <conditionalFormatting sqref="L111">
    <cfRule type="expression" dxfId="2344" priority="334" stopIfTrue="1">
      <formula>"esterreur(reference)"</formula>
    </cfRule>
  </conditionalFormatting>
  <conditionalFormatting sqref="L112">
    <cfRule type="expression" dxfId="2343" priority="333" stopIfTrue="1">
      <formula>"esterreur(reference)"</formula>
    </cfRule>
  </conditionalFormatting>
  <conditionalFormatting sqref="L311">
    <cfRule type="expression" dxfId="2342" priority="264" stopIfTrue="1">
      <formula>"esterreur(reference)"</formula>
    </cfRule>
  </conditionalFormatting>
  <conditionalFormatting sqref="L114">
    <cfRule type="expression" dxfId="2341" priority="332" stopIfTrue="1">
      <formula>"esterreur(reference)"</formula>
    </cfRule>
  </conditionalFormatting>
  <conditionalFormatting sqref="L116:L119">
    <cfRule type="expression" dxfId="2340" priority="331" stopIfTrue="1">
      <formula>"esterreur(reference)"</formula>
    </cfRule>
  </conditionalFormatting>
  <conditionalFormatting sqref="L120">
    <cfRule type="expression" dxfId="2339" priority="330" stopIfTrue="1">
      <formula>"esterreur(reference)"</formula>
    </cfRule>
  </conditionalFormatting>
  <conditionalFormatting sqref="L130">
    <cfRule type="expression" dxfId="2338" priority="327" stopIfTrue="1">
      <formula>"esterreur(reference)"</formula>
    </cfRule>
  </conditionalFormatting>
  <conditionalFormatting sqref="L124">
    <cfRule type="expression" dxfId="2337" priority="329" stopIfTrue="1">
      <formula>"esterreur(reference)"</formula>
    </cfRule>
  </conditionalFormatting>
  <conditionalFormatting sqref="L123">
    <cfRule type="expression" dxfId="2336" priority="328" stopIfTrue="1">
      <formula>"esterreur(reference)"</formula>
    </cfRule>
  </conditionalFormatting>
  <conditionalFormatting sqref="L138">
    <cfRule type="expression" dxfId="2335" priority="321" stopIfTrue="1">
      <formula>"esterreur(reference)"</formula>
    </cfRule>
  </conditionalFormatting>
  <conditionalFormatting sqref="L131">
    <cfRule type="expression" dxfId="2334" priority="326" stopIfTrue="1">
      <formula>"esterreur(reference)"</formula>
    </cfRule>
  </conditionalFormatting>
  <conditionalFormatting sqref="L132">
    <cfRule type="expression" dxfId="2333" priority="325" stopIfTrue="1">
      <formula>"esterreur(reference)"</formula>
    </cfRule>
  </conditionalFormatting>
  <conditionalFormatting sqref="L133">
    <cfRule type="expression" dxfId="2332" priority="324" stopIfTrue="1">
      <formula>"esterreur(reference)"</formula>
    </cfRule>
  </conditionalFormatting>
  <conditionalFormatting sqref="L139">
    <cfRule type="expression" dxfId="2331" priority="320" stopIfTrue="1">
      <formula>"esterreur(reference)"</formula>
    </cfRule>
  </conditionalFormatting>
  <conditionalFormatting sqref="L136">
    <cfRule type="expression" dxfId="2330" priority="323" stopIfTrue="1">
      <formula>"esterreur(reference)"</formula>
    </cfRule>
  </conditionalFormatting>
  <conditionalFormatting sqref="L137">
    <cfRule type="expression" dxfId="2329" priority="322" stopIfTrue="1">
      <formula>"esterreur(reference)"</formula>
    </cfRule>
  </conditionalFormatting>
  <conditionalFormatting sqref="L140">
    <cfRule type="expression" dxfId="2328" priority="319" stopIfTrue="1">
      <formula>"esterreur(reference)"</formula>
    </cfRule>
  </conditionalFormatting>
  <conditionalFormatting sqref="L141">
    <cfRule type="expression" dxfId="2327" priority="318" stopIfTrue="1">
      <formula>"esterreur(reference)"</formula>
    </cfRule>
  </conditionalFormatting>
  <conditionalFormatting sqref="L142">
    <cfRule type="expression" dxfId="2326" priority="317" stopIfTrue="1">
      <formula>"esterreur(reference)"</formula>
    </cfRule>
  </conditionalFormatting>
  <conditionalFormatting sqref="L143">
    <cfRule type="expression" dxfId="2325" priority="316" stopIfTrue="1">
      <formula>"esterreur(reference)"</formula>
    </cfRule>
  </conditionalFormatting>
  <conditionalFormatting sqref="L144">
    <cfRule type="expression" dxfId="2324" priority="315" stopIfTrue="1">
      <formula>"esterreur(reference)"</formula>
    </cfRule>
  </conditionalFormatting>
  <conditionalFormatting sqref="L145">
    <cfRule type="expression" dxfId="2323" priority="314" stopIfTrue="1">
      <formula>"esterreur(reference)"</formula>
    </cfRule>
  </conditionalFormatting>
  <conditionalFormatting sqref="L146">
    <cfRule type="expression" dxfId="2322" priority="313" stopIfTrue="1">
      <formula>"esterreur(reference)"</formula>
    </cfRule>
  </conditionalFormatting>
  <conditionalFormatting sqref="L147">
    <cfRule type="expression" dxfId="2321" priority="312" stopIfTrue="1">
      <formula>"esterreur(reference)"</formula>
    </cfRule>
  </conditionalFormatting>
  <conditionalFormatting sqref="L155">
    <cfRule type="expression" dxfId="2320" priority="311" stopIfTrue="1">
      <formula>"esterreur(reference)"</formula>
    </cfRule>
  </conditionalFormatting>
  <conditionalFormatting sqref="L157">
    <cfRule type="expression" dxfId="2319" priority="309" stopIfTrue="1">
      <formula>"esterreur(reference)"</formula>
    </cfRule>
  </conditionalFormatting>
  <conditionalFormatting sqref="L156">
    <cfRule type="expression" dxfId="2318" priority="310" stopIfTrue="1">
      <formula>"esterreur(reference)"</formula>
    </cfRule>
  </conditionalFormatting>
  <conditionalFormatting sqref="L115">
    <cfRule type="expression" dxfId="2317" priority="308" stopIfTrue="1">
      <formula>"esterreur(reference)"</formula>
    </cfRule>
  </conditionalFormatting>
  <conditionalFormatting sqref="L113">
    <cfRule type="expression" dxfId="2316" priority="307" stopIfTrue="1">
      <formula>"esterreur(reference)"</formula>
    </cfRule>
  </conditionalFormatting>
  <conditionalFormatting sqref="L267">
    <cfRule type="expression" dxfId="2315" priority="276" stopIfTrue="1">
      <formula>"esterreur(reference)"</formula>
    </cfRule>
  </conditionalFormatting>
  <conditionalFormatting sqref="L268">
    <cfRule type="expression" dxfId="2314" priority="275" stopIfTrue="1">
      <formula>"esterreur(reference)"</formula>
    </cfRule>
  </conditionalFormatting>
  <conditionalFormatting sqref="L269">
    <cfRule type="expression" dxfId="2313" priority="274" stopIfTrue="1">
      <formula>"esterreur(reference)"</formula>
    </cfRule>
  </conditionalFormatting>
  <conditionalFormatting sqref="L270">
    <cfRule type="expression" dxfId="2312" priority="273" stopIfTrue="1">
      <formula>"esterreur(reference)"</formula>
    </cfRule>
  </conditionalFormatting>
  <conditionalFormatting sqref="L272:L273">
    <cfRule type="expression" dxfId="2311" priority="271" stopIfTrue="1">
      <formula>"esterreur(reference)"</formula>
    </cfRule>
  </conditionalFormatting>
  <conditionalFormatting sqref="L295:L300">
    <cfRule type="expression" dxfId="2310" priority="269" stopIfTrue="1">
      <formula>"esterreur(reference)"</formula>
    </cfRule>
  </conditionalFormatting>
  <conditionalFormatting sqref="L301">
    <cfRule type="expression" dxfId="2309" priority="268" stopIfTrue="1">
      <formula>"esterreur(reference)"</formula>
    </cfRule>
  </conditionalFormatting>
  <conditionalFormatting sqref="L302">
    <cfRule type="expression" dxfId="2308" priority="267" stopIfTrue="1">
      <formula>"esterreur(reference)"</formula>
    </cfRule>
  </conditionalFormatting>
  <conditionalFormatting sqref="L307">
    <cfRule type="expression" dxfId="2307" priority="265" stopIfTrue="1">
      <formula>"esterreur(reference)"</formula>
    </cfRule>
  </conditionalFormatting>
  <conditionalFormatting sqref="L306">
    <cfRule type="expression" dxfId="2306" priority="266" stopIfTrue="1">
      <formula>"esterreur(reference)"</formula>
    </cfRule>
  </conditionalFormatting>
  <conditionalFormatting sqref="L317">
    <cfRule type="expression" dxfId="2305" priority="263" stopIfTrue="1">
      <formula>"esterreur(reference)"</formula>
    </cfRule>
  </conditionalFormatting>
  <conditionalFormatting sqref="L318">
    <cfRule type="expression" dxfId="2304" priority="262" stopIfTrue="1">
      <formula>"esterreur(reference)"</formula>
    </cfRule>
  </conditionalFormatting>
  <conditionalFormatting sqref="L243">
    <cfRule type="expression" dxfId="2303" priority="289" stopIfTrue="1">
      <formula>"esterreur(reference)"</formula>
    </cfRule>
  </conditionalFormatting>
  <conditionalFormatting sqref="L246">
    <cfRule type="expression" dxfId="2302" priority="288" stopIfTrue="1">
      <formula>"esterreur(reference)"</formula>
    </cfRule>
  </conditionalFormatting>
  <conditionalFormatting sqref="L253">
    <cfRule type="expression" dxfId="2301" priority="287" stopIfTrue="1">
      <formula>"esterreur(reference)"</formula>
    </cfRule>
  </conditionalFormatting>
  <conditionalFormatting sqref="L254">
    <cfRule type="expression" dxfId="2300" priority="286" stopIfTrue="1">
      <formula>"esterreur(reference)"</formula>
    </cfRule>
  </conditionalFormatting>
  <conditionalFormatting sqref="L255">
    <cfRule type="expression" dxfId="2299" priority="285" stopIfTrue="1">
      <formula>"esterreur(reference)"</formula>
    </cfRule>
  </conditionalFormatting>
  <conditionalFormatting sqref="L256">
    <cfRule type="expression" dxfId="2298" priority="284" stopIfTrue="1">
      <formula>"esterreur(reference)"</formula>
    </cfRule>
  </conditionalFormatting>
  <conditionalFormatting sqref="L257">
    <cfRule type="expression" dxfId="2297" priority="283" stopIfTrue="1">
      <formula>"esterreur(reference)"</formula>
    </cfRule>
  </conditionalFormatting>
  <conditionalFormatting sqref="L258">
    <cfRule type="expression" dxfId="2296" priority="282" stopIfTrue="1">
      <formula>"esterreur(reference)"</formula>
    </cfRule>
  </conditionalFormatting>
  <conditionalFormatting sqref="L259">
    <cfRule type="expression" dxfId="2295" priority="281" stopIfTrue="1">
      <formula>"esterreur(reference)"</formula>
    </cfRule>
  </conditionalFormatting>
  <conditionalFormatting sqref="L260">
    <cfRule type="expression" dxfId="2294" priority="280" stopIfTrue="1">
      <formula>"esterreur(reference)"</formula>
    </cfRule>
  </conditionalFormatting>
  <conditionalFormatting sqref="L261">
    <cfRule type="expression" dxfId="2293" priority="279" stopIfTrue="1">
      <formula>"esterreur(reference)"</formula>
    </cfRule>
  </conditionalFormatting>
  <conditionalFormatting sqref="L262">
    <cfRule type="expression" dxfId="2292" priority="278" stopIfTrue="1">
      <formula>"esterreur(reference)"</formula>
    </cfRule>
  </conditionalFormatting>
  <conditionalFormatting sqref="L263:L264">
    <cfRule type="expression" dxfId="2291" priority="277" stopIfTrue="1">
      <formula>"esterreur(reference)"</formula>
    </cfRule>
  </conditionalFormatting>
  <conditionalFormatting sqref="K5">
    <cfRule type="expression" dxfId="2290" priority="256" stopIfTrue="1">
      <formula>"esterreur(reference)"</formula>
    </cfRule>
  </conditionalFormatting>
  <conditionalFormatting sqref="O61:P70">
    <cfRule type="expression" dxfId="2289" priority="224" stopIfTrue="1">
      <formula>"esterreur(reference)"</formula>
    </cfRule>
  </conditionalFormatting>
  <conditionalFormatting sqref="K243">
    <cfRule type="expression" dxfId="2288" priority="253" stopIfTrue="1">
      <formula>"esterreur(reference)"</formula>
    </cfRule>
  </conditionalFormatting>
  <conditionalFormatting sqref="K246">
    <cfRule type="expression" dxfId="2287" priority="252" stopIfTrue="1">
      <formula>"esterreur(reference)"</formula>
    </cfRule>
  </conditionalFormatting>
  <conditionalFormatting sqref="J306:J307">
    <cfRule type="expression" dxfId="2286" priority="251" stopIfTrue="1">
      <formula>"esterreur(reference)"</formula>
    </cfRule>
  </conditionalFormatting>
  <conditionalFormatting sqref="Q19 Q21:Q23">
    <cfRule type="expression" dxfId="2285" priority="220" stopIfTrue="1">
      <formula>"esterreur(reference)"</formula>
    </cfRule>
  </conditionalFormatting>
  <conditionalFormatting sqref="Q20">
    <cfRule type="expression" dxfId="2284" priority="219" stopIfTrue="1">
      <formula>"esterreur(reference)"</formula>
    </cfRule>
  </conditionalFormatting>
  <conditionalFormatting sqref="J311">
    <cfRule type="expression" dxfId="2283" priority="248" stopIfTrue="1">
      <formula>"esterreur(reference)"</formula>
    </cfRule>
  </conditionalFormatting>
  <conditionalFormatting sqref="L364:L375">
    <cfRule type="expression" dxfId="2282" priority="247" stopIfTrue="1">
      <formula>"esterreur(reference)"</formula>
    </cfRule>
  </conditionalFormatting>
  <conditionalFormatting sqref="L377:L393">
    <cfRule type="expression" dxfId="2281" priority="246" stopIfTrue="1">
      <formula>"esterreur(reference)"</formula>
    </cfRule>
  </conditionalFormatting>
  <conditionalFormatting sqref="K93">
    <cfRule type="expression" dxfId="2280" priority="245" stopIfTrue="1">
      <formula>"esterreur(reference)"</formula>
    </cfRule>
  </conditionalFormatting>
  <conditionalFormatting sqref="K239">
    <cfRule type="expression" dxfId="2279" priority="244" stopIfTrue="1">
      <formula>"esterreur(reference)"</formula>
    </cfRule>
  </conditionalFormatting>
  <conditionalFormatting sqref="L239">
    <cfRule type="expression" dxfId="2278" priority="243" stopIfTrue="1">
      <formula>"esterreur(reference)"</formula>
    </cfRule>
  </conditionalFormatting>
  <conditionalFormatting sqref="F183">
    <cfRule type="expression" dxfId="2277" priority="242" stopIfTrue="1">
      <formula>"esterreur(reference)"</formula>
    </cfRule>
  </conditionalFormatting>
  <conditionalFormatting sqref="J359">
    <cfRule type="expression" dxfId="2276" priority="241" stopIfTrue="1">
      <formula>"esterreur(reference)"</formula>
    </cfRule>
  </conditionalFormatting>
  <conditionalFormatting sqref="L359">
    <cfRule type="expression" dxfId="2275" priority="240" stopIfTrue="1">
      <formula>"esterreur(reference)"</formula>
    </cfRule>
  </conditionalFormatting>
  <conditionalFormatting sqref="S185">
    <cfRule type="expression" dxfId="2274" priority="239" stopIfTrue="1">
      <formula>"esterreur(reference)"</formula>
    </cfRule>
  </conditionalFormatting>
  <conditionalFormatting sqref="Q56">
    <cfRule type="expression" dxfId="2273" priority="210" stopIfTrue="1">
      <formula>"esterreur(reference)"</formula>
    </cfRule>
  </conditionalFormatting>
  <conditionalFormatting sqref="AO408:AO413">
    <cfRule type="cellIs" dxfId="2272" priority="237" operator="greaterThan">
      <formula>0</formula>
    </cfRule>
  </conditionalFormatting>
  <conditionalFormatting sqref="L71">
    <cfRule type="expression" dxfId="2271" priority="236" stopIfTrue="1">
      <formula>"esterreur(reference)"</formula>
    </cfRule>
  </conditionalFormatting>
  <conditionalFormatting sqref="Q66:Q69">
    <cfRule type="expression" dxfId="2270" priority="203" stopIfTrue="1">
      <formula>"esterreur(reference)"</formula>
    </cfRule>
  </conditionalFormatting>
  <conditionalFormatting sqref="L122">
    <cfRule type="expression" dxfId="2269" priority="235" stopIfTrue="1">
      <formula>"esterreur(reference)"</formula>
    </cfRule>
  </conditionalFormatting>
  <conditionalFormatting sqref="L266">
    <cfRule type="expression" dxfId="2268" priority="232" stopIfTrue="1">
      <formula>"esterreur(reference)"</formula>
    </cfRule>
  </conditionalFormatting>
  <conditionalFormatting sqref="L135">
    <cfRule type="expression" dxfId="2267" priority="234" stopIfTrue="1">
      <formula>"esterreur(reference)"</formula>
    </cfRule>
  </conditionalFormatting>
  <conditionalFormatting sqref="L330">
    <cfRule type="expression" dxfId="2266" priority="231" stopIfTrue="1">
      <formula>"esterreur(reference)"</formula>
    </cfRule>
  </conditionalFormatting>
  <conditionalFormatting sqref="L75">
    <cfRule type="expression" dxfId="2265" priority="230" stopIfTrue="1">
      <formula>"esterreur(reference)"</formula>
    </cfRule>
  </conditionalFormatting>
  <conditionalFormatting sqref="L60">
    <cfRule type="expression" dxfId="2264" priority="228" stopIfTrue="1">
      <formula>"esterreur(reference)"</formula>
    </cfRule>
  </conditionalFormatting>
  <conditionalFormatting sqref="L59">
    <cfRule type="expression" dxfId="2263" priority="229" stopIfTrue="1">
      <formula>"esterreur(reference)"</formula>
    </cfRule>
  </conditionalFormatting>
  <conditionalFormatting sqref="F5">
    <cfRule type="expression" dxfId="2262" priority="227" stopIfTrue="1">
      <formula>"esterreur(reference)"</formula>
    </cfRule>
  </conditionalFormatting>
  <conditionalFormatting sqref="O25:Q30 Q18 O83:Q85 O41:Q41 O72:Q72 Q24 O13:O14 O16 O18:O24 O49:Q54 O31:P40 O42:P48 Q6:Q14">
    <cfRule type="expression" dxfId="2261" priority="222" stopIfTrue="1">
      <formula>"esterreur(reference)"</formula>
    </cfRule>
  </conditionalFormatting>
  <conditionalFormatting sqref="P5">
    <cfRule type="expression" dxfId="2260" priority="199" stopIfTrue="1">
      <formula>"esterreur(reference)"</formula>
    </cfRule>
  </conditionalFormatting>
  <conditionalFormatting sqref="Q32">
    <cfRule type="expression" dxfId="2259" priority="217" stopIfTrue="1">
      <formula>"esterreur(reference)"</formula>
    </cfRule>
  </conditionalFormatting>
  <conditionalFormatting sqref="Q35">
    <cfRule type="expression" dxfId="2258" priority="216" stopIfTrue="1">
      <formula>"esterreur(reference)"</formula>
    </cfRule>
  </conditionalFormatting>
  <conditionalFormatting sqref="O55:P56 O71:P71">
    <cfRule type="expression" dxfId="2257" priority="223" stopIfTrue="1">
      <formula>"esterreur(reference)"</formula>
    </cfRule>
  </conditionalFormatting>
  <conditionalFormatting sqref="O57:P59">
    <cfRule type="expression" dxfId="2256" priority="225" stopIfTrue="1">
      <formula>"esterreur(reference)"</formula>
    </cfRule>
  </conditionalFormatting>
  <conditionalFormatting sqref="O60:P60">
    <cfRule type="expression" dxfId="2255" priority="226" stopIfTrue="1">
      <formula>"esterreur(reference)"</formula>
    </cfRule>
  </conditionalFormatting>
  <conditionalFormatting sqref="Q16:Q17">
    <cfRule type="expression" dxfId="2254" priority="221" stopIfTrue="1">
      <formula>"esterreur(reference)"</formula>
    </cfRule>
  </conditionalFormatting>
  <conditionalFormatting sqref="Q31 Q33:Q34">
    <cfRule type="expression" dxfId="2253" priority="218" stopIfTrue="1">
      <formula>"esterreur(reference)"</formula>
    </cfRule>
  </conditionalFormatting>
  <conditionalFormatting sqref="Q42">
    <cfRule type="expression" dxfId="2252" priority="215" stopIfTrue="1">
      <formula>"esterreur(reference)"</formula>
    </cfRule>
  </conditionalFormatting>
  <conditionalFormatting sqref="Q43">
    <cfRule type="expression" dxfId="2251" priority="214" stopIfTrue="1">
      <formula>"esterreur(reference)"</formula>
    </cfRule>
  </conditionalFormatting>
  <conditionalFormatting sqref="Q44">
    <cfRule type="expression" dxfId="2250" priority="213" stopIfTrue="1">
      <formula>"esterreur(reference)"</formula>
    </cfRule>
  </conditionalFormatting>
  <conditionalFormatting sqref="Q45:Q48">
    <cfRule type="expression" dxfId="2249" priority="212" stopIfTrue="1">
      <formula>"esterreur(reference)"</formula>
    </cfRule>
  </conditionalFormatting>
  <conditionalFormatting sqref="Q55">
    <cfRule type="expression" dxfId="2248" priority="211" stopIfTrue="1">
      <formula>"esterreur(reference)"</formula>
    </cfRule>
  </conditionalFormatting>
  <conditionalFormatting sqref="Q58">
    <cfRule type="expression" dxfId="2247" priority="209" stopIfTrue="1">
      <formula>"esterreur(reference)"</formula>
    </cfRule>
  </conditionalFormatting>
  <conditionalFormatting sqref="Q61">
    <cfRule type="expression" dxfId="2246" priority="208" stopIfTrue="1">
      <formula>"esterreur(reference)"</formula>
    </cfRule>
  </conditionalFormatting>
  <conditionalFormatting sqref="Q63">
    <cfRule type="expression" dxfId="2245" priority="207" stopIfTrue="1">
      <formula>"esterreur(reference)"</formula>
    </cfRule>
  </conditionalFormatting>
  <conditionalFormatting sqref="Q62">
    <cfRule type="expression" dxfId="2244" priority="206" stopIfTrue="1">
      <formula>"esterreur(reference)"</formula>
    </cfRule>
  </conditionalFormatting>
  <conditionalFormatting sqref="Q64">
    <cfRule type="expression" dxfId="2243" priority="205" stopIfTrue="1">
      <formula>"esterreur(reference)"</formula>
    </cfRule>
  </conditionalFormatting>
  <conditionalFormatting sqref="Q65">
    <cfRule type="expression" dxfId="2242" priority="204" stopIfTrue="1">
      <formula>"esterreur(reference)"</formula>
    </cfRule>
  </conditionalFormatting>
  <conditionalFormatting sqref="Q70">
    <cfRule type="expression" dxfId="2241" priority="202" stopIfTrue="1">
      <formula>"esterreur(reference)"</formula>
    </cfRule>
  </conditionalFormatting>
  <conditionalFormatting sqref="Q75:Q82">
    <cfRule type="expression" dxfId="2240" priority="201" stopIfTrue="1">
      <formula>"esterreur(reference)"</formula>
    </cfRule>
  </conditionalFormatting>
  <conditionalFormatting sqref="Q57">
    <cfRule type="expression" dxfId="2239" priority="200" stopIfTrue="1">
      <formula>"esterreur(reference)"</formula>
    </cfRule>
  </conditionalFormatting>
  <conditionalFormatting sqref="Q71">
    <cfRule type="expression" dxfId="2238" priority="197" stopIfTrue="1">
      <formula>"esterreur(reference)"</formula>
    </cfRule>
  </conditionalFormatting>
  <conditionalFormatting sqref="Q60">
    <cfRule type="expression" dxfId="2237" priority="195" stopIfTrue="1">
      <formula>"esterreur(reference)"</formula>
    </cfRule>
  </conditionalFormatting>
  <conditionalFormatting sqref="Q59">
    <cfRule type="expression" dxfId="2236" priority="196" stopIfTrue="1">
      <formula>"esterreur(reference)"</formula>
    </cfRule>
  </conditionalFormatting>
  <conditionalFormatting sqref="O163:Q163 O164:P164 O121:Q121 O152:Q152 O96:Q97 O100:Q100 O104:Q106 O134:Q134 O101:P103 O135:P136 O155:P156 O111:P120 P98:P99 O108:Q110">
    <cfRule type="expression" dxfId="2235" priority="190" stopIfTrue="1">
      <formula>"esterreur(reference)"</formula>
    </cfRule>
  </conditionalFormatting>
  <conditionalFormatting sqref="O141:P147">
    <cfRule type="expression" dxfId="2234" priority="191" stopIfTrue="1">
      <formula>"esterreur(reference)"</formula>
    </cfRule>
  </conditionalFormatting>
  <conditionalFormatting sqref="O137:P139">
    <cfRule type="expression" dxfId="2233" priority="192" stopIfTrue="1">
      <formula>"esterreur(reference)"</formula>
    </cfRule>
  </conditionalFormatting>
  <conditionalFormatting sqref="O140:P140">
    <cfRule type="expression" dxfId="2232" priority="193" stopIfTrue="1">
      <formula>"esterreur(reference)"</formula>
    </cfRule>
  </conditionalFormatting>
  <conditionalFormatting sqref="Q101">
    <cfRule type="expression" dxfId="2231" priority="187" stopIfTrue="1">
      <formula>"esterreur(reference)"</formula>
    </cfRule>
  </conditionalFormatting>
  <conditionalFormatting sqref="Q102">
    <cfRule type="expression" dxfId="2230" priority="186" stopIfTrue="1">
      <formula>"esterreur(reference)"</formula>
    </cfRule>
  </conditionalFormatting>
  <conditionalFormatting sqref="Q103">
    <cfRule type="expression" dxfId="2229" priority="185" stopIfTrue="1">
      <formula>"esterreur(reference)"</formula>
    </cfRule>
  </conditionalFormatting>
  <conditionalFormatting sqref="Q111">
    <cfRule type="expression" dxfId="2228" priority="184" stopIfTrue="1">
      <formula>"esterreur(reference)"</formula>
    </cfRule>
  </conditionalFormatting>
  <conditionalFormatting sqref="Q112">
    <cfRule type="expression" dxfId="2227" priority="183" stopIfTrue="1">
      <formula>"esterreur(reference)"</formula>
    </cfRule>
  </conditionalFormatting>
  <conditionalFormatting sqref="Q114">
    <cfRule type="expression" dxfId="2226" priority="182" stopIfTrue="1">
      <formula>"esterreur(reference)"</formula>
    </cfRule>
  </conditionalFormatting>
  <conditionalFormatting sqref="Q116:Q119">
    <cfRule type="expression" dxfId="2225" priority="181" stopIfTrue="1">
      <formula>"esterreur(reference)"</formula>
    </cfRule>
  </conditionalFormatting>
  <conditionalFormatting sqref="Q120">
    <cfRule type="expression" dxfId="2224" priority="180" stopIfTrue="1">
      <formula>"esterreur(reference)"</formula>
    </cfRule>
  </conditionalFormatting>
  <conditionalFormatting sqref="Q130">
    <cfRule type="expression" dxfId="2223" priority="177" stopIfTrue="1">
      <formula>"esterreur(reference)"</formula>
    </cfRule>
  </conditionalFormatting>
  <conditionalFormatting sqref="Q124">
    <cfRule type="expression" dxfId="2222" priority="179" stopIfTrue="1">
      <formula>"esterreur(reference)"</formula>
    </cfRule>
  </conditionalFormatting>
  <conditionalFormatting sqref="Q123">
    <cfRule type="expression" dxfId="2221" priority="178" stopIfTrue="1">
      <formula>"esterreur(reference)"</formula>
    </cfRule>
  </conditionalFormatting>
  <conditionalFormatting sqref="Q139">
    <cfRule type="expression" dxfId="2220" priority="170" stopIfTrue="1">
      <formula>"esterreur(reference)"</formula>
    </cfRule>
  </conditionalFormatting>
  <conditionalFormatting sqref="Q131">
    <cfRule type="expression" dxfId="2219" priority="176" stopIfTrue="1">
      <formula>"esterreur(reference)"</formula>
    </cfRule>
  </conditionalFormatting>
  <conditionalFormatting sqref="Q132">
    <cfRule type="expression" dxfId="2218" priority="175" stopIfTrue="1">
      <formula>"esterreur(reference)"</formula>
    </cfRule>
  </conditionalFormatting>
  <conditionalFormatting sqref="Q133">
    <cfRule type="expression" dxfId="2217" priority="174" stopIfTrue="1">
      <formula>"esterreur(reference)"</formula>
    </cfRule>
  </conditionalFormatting>
  <conditionalFormatting sqref="Q141">
    <cfRule type="expression" dxfId="2216" priority="168" stopIfTrue="1">
      <formula>"esterreur(reference)"</formula>
    </cfRule>
  </conditionalFormatting>
  <conditionalFormatting sqref="Q136">
    <cfRule type="expression" dxfId="2215" priority="173" stopIfTrue="1">
      <formula>"esterreur(reference)"</formula>
    </cfRule>
  </conditionalFormatting>
  <conditionalFormatting sqref="Q137">
    <cfRule type="expression" dxfId="2214" priority="172" stopIfTrue="1">
      <formula>"esterreur(reference)"</formula>
    </cfRule>
  </conditionalFormatting>
  <conditionalFormatting sqref="Q138">
    <cfRule type="expression" dxfId="2213" priority="171" stopIfTrue="1">
      <formula>"esterreur(reference)"</formula>
    </cfRule>
  </conditionalFormatting>
  <conditionalFormatting sqref="Q143">
    <cfRule type="expression" dxfId="2212" priority="166" stopIfTrue="1">
      <formula>"esterreur(reference)"</formula>
    </cfRule>
  </conditionalFormatting>
  <conditionalFormatting sqref="Q140">
    <cfRule type="expression" dxfId="2211" priority="169" stopIfTrue="1">
      <formula>"esterreur(reference)"</formula>
    </cfRule>
  </conditionalFormatting>
  <conditionalFormatting sqref="Q142">
    <cfRule type="expression" dxfId="2210" priority="167" stopIfTrue="1">
      <formula>"esterreur(reference)"</formula>
    </cfRule>
  </conditionalFormatting>
  <conditionalFormatting sqref="Q144">
    <cfRule type="expression" dxfId="2209" priority="165" stopIfTrue="1">
      <formula>"esterreur(reference)"</formula>
    </cfRule>
  </conditionalFormatting>
  <conditionalFormatting sqref="Q145">
    <cfRule type="expression" dxfId="2208" priority="164" stopIfTrue="1">
      <formula>"esterreur(reference)"</formula>
    </cfRule>
  </conditionalFormatting>
  <conditionalFormatting sqref="Q146">
    <cfRule type="expression" dxfId="2207" priority="163" stopIfTrue="1">
      <formula>"esterreur(reference)"</formula>
    </cfRule>
  </conditionalFormatting>
  <conditionalFormatting sqref="Q147">
    <cfRule type="expression" dxfId="2206" priority="162" stopIfTrue="1">
      <formula>"esterreur(reference)"</formula>
    </cfRule>
  </conditionalFormatting>
  <conditionalFormatting sqref="Q113">
    <cfRule type="expression" dxfId="2205" priority="159" stopIfTrue="1">
      <formula>"esterreur(reference)"</formula>
    </cfRule>
  </conditionalFormatting>
  <conditionalFormatting sqref="Q155:Q161">
    <cfRule type="expression" dxfId="2204" priority="161" stopIfTrue="1">
      <formula>"esterreur(reference)"</formula>
    </cfRule>
  </conditionalFormatting>
  <conditionalFormatting sqref="Q115">
    <cfRule type="expression" dxfId="2203" priority="160" stopIfTrue="1">
      <formula>"esterreur(reference)"</formula>
    </cfRule>
  </conditionalFormatting>
  <conditionalFormatting sqref="P93">
    <cfRule type="expression" dxfId="2202" priority="158" stopIfTrue="1">
      <formula>"esterreur(reference)"</formula>
    </cfRule>
  </conditionalFormatting>
  <conditionalFormatting sqref="Q122">
    <cfRule type="expression" dxfId="2201" priority="157" stopIfTrue="1">
      <formula>"esterreur(reference)"</formula>
    </cfRule>
  </conditionalFormatting>
  <conditionalFormatting sqref="Q135">
    <cfRule type="expression" dxfId="2200" priority="156" stopIfTrue="1">
      <formula>"esterreur(reference)"</formula>
    </cfRule>
  </conditionalFormatting>
  <conditionalFormatting sqref="O231:Q231 O232:P232 O228:P228">
    <cfRule type="expression" dxfId="2199" priority="153" stopIfTrue="1">
      <formula>"esterreur(reference)"</formula>
    </cfRule>
  </conditionalFormatting>
  <conditionalFormatting sqref="O316:Q316">
    <cfRule type="expression" dxfId="2198" priority="119" stopIfTrue="1">
      <formula>"esterreur(reference)"</formula>
    </cfRule>
  </conditionalFormatting>
  <conditionalFormatting sqref="O308:Q309 O303:Q305 O351:Q351 O352:P352 O348:Q348 O312:Q315 P306:P307 P311 O294:P302 Q319:Q324 O317:P347">
    <cfRule type="expression" dxfId="2197" priority="118" stopIfTrue="1">
      <formula>"esterreur(reference)"</formula>
    </cfRule>
  </conditionalFormatting>
  <conditionalFormatting sqref="Q294:Q300">
    <cfRule type="expression" dxfId="2196" priority="117" stopIfTrue="1">
      <formula>"esterreur(reference)"</formula>
    </cfRule>
  </conditionalFormatting>
  <conditionalFormatting sqref="Q301">
    <cfRule type="expression" dxfId="2195" priority="116" stopIfTrue="1">
      <formula>"esterreur(reference)"</formula>
    </cfRule>
  </conditionalFormatting>
  <conditionalFormatting sqref="Q302">
    <cfRule type="expression" dxfId="2194" priority="115" stopIfTrue="1">
      <formula>"esterreur(reference)"</formula>
    </cfRule>
  </conditionalFormatting>
  <conditionalFormatting sqref="Q306">
    <cfRule type="expression" dxfId="2193" priority="114" stopIfTrue="1">
      <formula>"esterreur(reference)"</formula>
    </cfRule>
  </conditionalFormatting>
  <conditionalFormatting sqref="Q307">
    <cfRule type="expression" dxfId="2192" priority="113" stopIfTrue="1">
      <formula>"esterreur(reference)"</formula>
    </cfRule>
  </conditionalFormatting>
  <conditionalFormatting sqref="Q311">
    <cfRule type="expression" dxfId="2191" priority="112" stopIfTrue="1">
      <formula>"esterreur(reference)"</formula>
    </cfRule>
  </conditionalFormatting>
  <conditionalFormatting sqref="Q318">
    <cfRule type="expression" dxfId="2190" priority="110" stopIfTrue="1">
      <formula>"esterreur(reference)"</formula>
    </cfRule>
  </conditionalFormatting>
  <conditionalFormatting sqref="Q317">
    <cfRule type="expression" dxfId="2189" priority="111" stopIfTrue="1">
      <formula>"esterreur(reference)"</formula>
    </cfRule>
  </conditionalFormatting>
  <conditionalFormatting sqref="Q325">
    <cfRule type="expression" dxfId="2188" priority="109" stopIfTrue="1">
      <formula>"esterreur(reference)"</formula>
    </cfRule>
  </conditionalFormatting>
  <conditionalFormatting sqref="Q326">
    <cfRule type="expression" dxfId="2187" priority="108" stopIfTrue="1">
      <formula>"esterreur(reference)"</formula>
    </cfRule>
  </conditionalFormatting>
  <conditionalFormatting sqref="Q327">
    <cfRule type="expression" dxfId="2186" priority="107" stopIfTrue="1">
      <formula>"esterreur(reference)"</formula>
    </cfRule>
  </conditionalFormatting>
  <conditionalFormatting sqref="Q328">
    <cfRule type="expression" dxfId="2185" priority="106" stopIfTrue="1">
      <formula>"esterreur(reference)"</formula>
    </cfRule>
  </conditionalFormatting>
  <conditionalFormatting sqref="Q331:Q347">
    <cfRule type="expression" dxfId="2184" priority="105" stopIfTrue="1">
      <formula>"esterreur(reference)"</formula>
    </cfRule>
  </conditionalFormatting>
  <conditionalFormatting sqref="O306:O307">
    <cfRule type="expression" dxfId="2183" priority="104" stopIfTrue="1">
      <formula>"esterreur(reference)"</formula>
    </cfRule>
  </conditionalFormatting>
  <conditionalFormatting sqref="O311">
    <cfRule type="expression" dxfId="2182" priority="103" stopIfTrue="1">
      <formula>"esterreur(reference)"</formula>
    </cfRule>
  </conditionalFormatting>
  <conditionalFormatting sqref="Q330">
    <cfRule type="expression" dxfId="2181" priority="102" stopIfTrue="1">
      <formula>"esterreur(reference)"</formula>
    </cfRule>
  </conditionalFormatting>
  <conditionalFormatting sqref="P394">
    <cfRule type="expression" dxfId="2180" priority="101" stopIfTrue="1">
      <formula>"esterreur(reference)"</formula>
    </cfRule>
  </conditionalFormatting>
  <conditionalFormatting sqref="O360:Q362 P359">
    <cfRule type="expression" dxfId="2179" priority="100" stopIfTrue="1">
      <formula>"esterreur(reference)"</formula>
    </cfRule>
  </conditionalFormatting>
  <conditionalFormatting sqref="O395:Q398 O393:P393">
    <cfRule type="expression" dxfId="2178" priority="99" stopIfTrue="1">
      <formula>"esterreur(reference)"</formula>
    </cfRule>
  </conditionalFormatting>
  <conditionalFormatting sqref="O376:Q376 O377:P392">
    <cfRule type="expression" dxfId="2177" priority="98" stopIfTrue="1">
      <formula>"esterreur(reference)"</formula>
    </cfRule>
  </conditionalFormatting>
  <conditionalFormatting sqref="O358:Q358">
    <cfRule type="expression" dxfId="2176" priority="97" stopIfTrue="1">
      <formula>"esterreur(reference)"</formula>
    </cfRule>
  </conditionalFormatting>
  <conditionalFormatting sqref="O363:Q363 O364:P375">
    <cfRule type="expression" dxfId="2175" priority="96" stopIfTrue="1">
      <formula>"esterreur(reference)"</formula>
    </cfRule>
  </conditionalFormatting>
  <conditionalFormatting sqref="Q364:Q375">
    <cfRule type="expression" dxfId="2174" priority="95" stopIfTrue="1">
      <formula>"esterreur(reference)"</formula>
    </cfRule>
  </conditionalFormatting>
  <conditionalFormatting sqref="Q377:Q393">
    <cfRule type="expression" dxfId="2173" priority="94" stopIfTrue="1">
      <formula>"esterreur(reference)"</formula>
    </cfRule>
  </conditionalFormatting>
  <conditionalFormatting sqref="O359">
    <cfRule type="expression" dxfId="2172" priority="93" stopIfTrue="1">
      <formula>"esterreur(reference)"</formula>
    </cfRule>
  </conditionalFormatting>
  <conditionalFormatting sqref="Q359">
    <cfRule type="expression" dxfId="2171" priority="92" stopIfTrue="1">
      <formula>"esterreur(reference)"</formula>
    </cfRule>
  </conditionalFormatting>
  <conditionalFormatting sqref="Q36:Q40">
    <cfRule type="expression" dxfId="2170" priority="91" stopIfTrue="1">
      <formula>"esterreur(reference)"</formula>
    </cfRule>
  </conditionalFormatting>
  <conditionalFormatting sqref="L68">
    <cfRule type="expression" dxfId="2169" priority="90" stopIfTrue="1">
      <formula>"esterreur(reference)"</formula>
    </cfRule>
  </conditionalFormatting>
  <conditionalFormatting sqref="Q149:Q151">
    <cfRule type="expression" dxfId="2168" priority="82" stopIfTrue="1">
      <formula>"esterreur(reference)"</formula>
    </cfRule>
  </conditionalFormatting>
  <conditionalFormatting sqref="H148 J148:K148">
    <cfRule type="expression" dxfId="2167" priority="89" stopIfTrue="1">
      <formula>"esterreur(reference)"</formula>
    </cfRule>
  </conditionalFormatting>
  <conditionalFormatting sqref="L148">
    <cfRule type="expression" dxfId="2166" priority="88" stopIfTrue="1">
      <formula>"esterreur(reference)"</formula>
    </cfRule>
  </conditionalFormatting>
  <conditionalFormatting sqref="O148:P148">
    <cfRule type="expression" dxfId="2165" priority="87" stopIfTrue="1">
      <formula>"esterreur(reference)"</formula>
    </cfRule>
  </conditionalFormatting>
  <conditionalFormatting sqref="Q148">
    <cfRule type="expression" dxfId="2164" priority="86" stopIfTrue="1">
      <formula>"esterreur(reference)"</formula>
    </cfRule>
  </conditionalFormatting>
  <conditionalFormatting sqref="H149:H151 J149:K151">
    <cfRule type="expression" dxfId="2163" priority="85" stopIfTrue="1">
      <formula>"esterreur(reference)"</formula>
    </cfRule>
  </conditionalFormatting>
  <conditionalFormatting sqref="L149:L151">
    <cfRule type="expression" dxfId="2162" priority="84" stopIfTrue="1">
      <formula>"esterreur(reference)"</formula>
    </cfRule>
  </conditionalFormatting>
  <conditionalFormatting sqref="O149:P151">
    <cfRule type="expression" dxfId="2161" priority="83" stopIfTrue="1">
      <formula>"esterreur(reference)"</formula>
    </cfRule>
  </conditionalFormatting>
  <conditionalFormatting sqref="L158:L161">
    <cfRule type="expression" dxfId="2160" priority="81" stopIfTrue="1">
      <formula>"esterreur(reference)"</formula>
    </cfRule>
  </conditionalFormatting>
  <conditionalFormatting sqref="AG414:AI417">
    <cfRule type="cellIs" dxfId="2159" priority="80" operator="greaterThan">
      <formula>0</formula>
    </cfRule>
  </conditionalFormatting>
  <conditionalFormatting sqref="AO414:AO417">
    <cfRule type="cellIs" dxfId="2158" priority="79" operator="greaterThan">
      <formula>0</formula>
    </cfRule>
  </conditionalFormatting>
  <conditionalFormatting sqref="Q98:Q99">
    <cfRule type="expression" dxfId="2157" priority="78" stopIfTrue="1">
      <formula>"esterreur(reference)"</formula>
    </cfRule>
  </conditionalFormatting>
  <conditionalFormatting sqref="L93">
    <cfRule type="expression" dxfId="2156" priority="77" stopIfTrue="1">
      <formula>"esterreur(reference)"</formula>
    </cfRule>
  </conditionalFormatting>
  <conditionalFormatting sqref="Q93">
    <cfRule type="expression" dxfId="2155" priority="76" stopIfTrue="1">
      <formula>"esterreur(reference)"</formula>
    </cfRule>
  </conditionalFormatting>
  <conditionalFormatting sqref="L5">
    <cfRule type="expression" dxfId="2154" priority="45" stopIfTrue="1">
      <formula>"esterreur(reference)"</formula>
    </cfRule>
  </conditionalFormatting>
  <conditionalFormatting sqref="I183">
    <cfRule type="expression" dxfId="2153" priority="43" stopIfTrue="1">
      <formula>"esterreur(reference)"</formula>
    </cfRule>
  </conditionalFormatting>
  <conditionalFormatting sqref="Q253">
    <cfRule type="expression" dxfId="2152" priority="35" stopIfTrue="1">
      <formula>"esterreur(reference)"</formula>
    </cfRule>
  </conditionalFormatting>
  <conditionalFormatting sqref="L183">
    <cfRule type="expression" dxfId="2151" priority="42" stopIfTrue="1">
      <formula>"esterreur(reference)"</formula>
    </cfRule>
  </conditionalFormatting>
  <conditionalFormatting sqref="Q183">
    <cfRule type="expression" dxfId="2150" priority="41" stopIfTrue="1">
      <formula>"esterreur(reference)"</formula>
    </cfRule>
  </conditionalFormatting>
  <conditionalFormatting sqref="O281:P282 O283">
    <cfRule type="expression" dxfId="2149" priority="40" stopIfTrue="1">
      <formula>"esterreur(reference)"</formula>
    </cfRule>
  </conditionalFormatting>
  <conditionalFormatting sqref="O275:P280">
    <cfRule type="expression" dxfId="2148" priority="39" stopIfTrue="1">
      <formula>"esterreur(reference)"</formula>
    </cfRule>
  </conditionalFormatting>
  <conditionalFormatting sqref="O287:Q287 O288:P288 O242:Q242 O251:Q252 O284 O253:P274 Q275:Q284">
    <cfRule type="expression" dxfId="2147" priority="38" stopIfTrue="1">
      <formula>"esterreur(reference)"</formula>
    </cfRule>
  </conditionalFormatting>
  <conditionalFormatting sqref="Q246">
    <cfRule type="expression" dxfId="2146" priority="36" stopIfTrue="1">
      <formula>"esterreur(reference)"</formula>
    </cfRule>
  </conditionalFormatting>
  <conditionalFormatting sqref="Q243">
    <cfRule type="expression" dxfId="2145" priority="37" stopIfTrue="1">
      <formula>"esterreur(reference)"</formula>
    </cfRule>
  </conditionalFormatting>
  <conditionalFormatting sqref="Q254">
    <cfRule type="expression" dxfId="2144" priority="34" stopIfTrue="1">
      <formula>"esterreur(reference)"</formula>
    </cfRule>
  </conditionalFormatting>
  <conditionalFormatting sqref="Q255">
    <cfRule type="expression" dxfId="2143" priority="33" stopIfTrue="1">
      <formula>"esterreur(reference)"</formula>
    </cfRule>
  </conditionalFormatting>
  <conditionalFormatting sqref="Q256">
    <cfRule type="expression" dxfId="2142" priority="32" stopIfTrue="1">
      <formula>"esterreur(reference)"</formula>
    </cfRule>
  </conditionalFormatting>
  <conditionalFormatting sqref="Q257">
    <cfRule type="expression" dxfId="2141" priority="31" stopIfTrue="1">
      <formula>"esterreur(reference)"</formula>
    </cfRule>
  </conditionalFormatting>
  <conditionalFormatting sqref="L240">
    <cfRule type="expression" dxfId="2140" priority="59" stopIfTrue="1">
      <formula>"esterreur(reference)"</formula>
    </cfRule>
  </conditionalFormatting>
  <conditionalFormatting sqref="K240">
    <cfRule type="expression" dxfId="2139" priority="58" stopIfTrue="1">
      <formula>"esterreur(reference)"</formula>
    </cfRule>
  </conditionalFormatting>
  <conditionalFormatting sqref="L294">
    <cfRule type="expression" dxfId="2138" priority="57" stopIfTrue="1">
      <formula>"esterreur(reference)"</formula>
    </cfRule>
  </conditionalFormatting>
  <conditionalFormatting sqref="Q260">
    <cfRule type="expression" dxfId="2137" priority="28" stopIfTrue="1">
      <formula>"esterreur(reference)"</formula>
    </cfRule>
  </conditionalFormatting>
  <conditionalFormatting sqref="Q268">
    <cfRule type="expression" dxfId="2136" priority="23" stopIfTrue="1">
      <formula>"esterreur(reference)"</formula>
    </cfRule>
  </conditionalFormatting>
  <conditionalFormatting sqref="Q270">
    <cfRule type="expression" dxfId="2135" priority="21" stopIfTrue="1">
      <formula>"esterreur(reference)"</formula>
    </cfRule>
  </conditionalFormatting>
  <conditionalFormatting sqref="Q262">
    <cfRule type="expression" dxfId="2134" priority="26" stopIfTrue="1">
      <formula>"esterreur(reference)"</formula>
    </cfRule>
  </conditionalFormatting>
  <conditionalFormatting sqref="Q261">
    <cfRule type="expression" dxfId="2133" priority="27" stopIfTrue="1">
      <formula>"esterreur(reference)"</formula>
    </cfRule>
  </conditionalFormatting>
  <conditionalFormatting sqref="Q263:Q264">
    <cfRule type="expression" dxfId="2132" priority="25" stopIfTrue="1">
      <formula>"esterreur(reference)"</formula>
    </cfRule>
  </conditionalFormatting>
  <conditionalFormatting sqref="Q267">
    <cfRule type="expression" dxfId="2131" priority="24" stopIfTrue="1">
      <formula>"esterreur(reference)"</formula>
    </cfRule>
  </conditionalFormatting>
  <conditionalFormatting sqref="Q269">
    <cfRule type="expression" dxfId="2130" priority="22" stopIfTrue="1">
      <formula>"esterreur(reference)"</formula>
    </cfRule>
  </conditionalFormatting>
  <conditionalFormatting sqref="Q271">
    <cfRule type="expression" dxfId="2129" priority="20" stopIfTrue="1">
      <formula>"esterreur(reference)"</formula>
    </cfRule>
  </conditionalFormatting>
  <conditionalFormatting sqref="G111:G112">
    <cfRule type="expression" dxfId="2128" priority="47" stopIfTrue="1">
      <formula>"esterreur(reference)"</formula>
    </cfRule>
  </conditionalFormatting>
  <conditionalFormatting sqref="I5">
    <cfRule type="expression" dxfId="2127" priority="46" stopIfTrue="1">
      <formula>"esterreur(reference)"</formula>
    </cfRule>
  </conditionalFormatting>
  <conditionalFormatting sqref="Q5">
    <cfRule type="expression" dxfId="2126" priority="44" stopIfTrue="1">
      <formula>"esterreur(reference)"</formula>
    </cfRule>
  </conditionalFormatting>
  <conditionalFormatting sqref="Q274">
    <cfRule type="expression" dxfId="2125" priority="18" stopIfTrue="1">
      <formula>"esterreur(reference)"</formula>
    </cfRule>
  </conditionalFormatting>
  <conditionalFormatting sqref="Q258">
    <cfRule type="expression" dxfId="2124" priority="30" stopIfTrue="1">
      <formula>"esterreur(reference)"</formula>
    </cfRule>
  </conditionalFormatting>
  <conditionalFormatting sqref="Q259">
    <cfRule type="expression" dxfId="2123" priority="29" stopIfTrue="1">
      <formula>"esterreur(reference)"</formula>
    </cfRule>
  </conditionalFormatting>
  <conditionalFormatting sqref="Q272:Q273">
    <cfRule type="expression" dxfId="2122" priority="19" stopIfTrue="1">
      <formula>"esterreur(reference)"</formula>
    </cfRule>
  </conditionalFormatting>
  <conditionalFormatting sqref="P243">
    <cfRule type="expression" dxfId="2121" priority="17" stopIfTrue="1">
      <formula>"esterreur(reference)"</formula>
    </cfRule>
  </conditionalFormatting>
  <conditionalFormatting sqref="P246">
    <cfRule type="expression" dxfId="2120" priority="16" stopIfTrue="1">
      <formula>"esterreur(reference)"</formula>
    </cfRule>
  </conditionalFormatting>
  <conditionalFormatting sqref="Q266">
    <cfRule type="expression" dxfId="2119" priority="15" stopIfTrue="1">
      <formula>"esterreur(reference)"</formula>
    </cfRule>
  </conditionalFormatting>
  <conditionalFormatting sqref="Q240">
    <cfRule type="expression" dxfId="2118" priority="14" stopIfTrue="1">
      <formula>"esterreur(reference)"</formula>
    </cfRule>
  </conditionalFormatting>
  <conditionalFormatting sqref="P240">
    <cfRule type="expression" dxfId="2117" priority="13" stopIfTrue="1">
      <formula>"esterreur(reference)"</formula>
    </cfRule>
  </conditionalFormatting>
  <conditionalFormatting sqref="K310">
    <cfRule type="expression" dxfId="2116" priority="10" stopIfTrue="1">
      <formula>"esterreur(reference)"</formula>
    </cfRule>
  </conditionalFormatting>
  <conditionalFormatting sqref="M310">
    <cfRule type="expression" dxfId="2115" priority="11" stopIfTrue="1">
      <formula>"esterreur(reference)"</formula>
    </cfRule>
  </conditionalFormatting>
  <conditionalFormatting sqref="R310">
    <cfRule type="expression" dxfId="2114" priority="12" stopIfTrue="1">
      <formula>"esterreur(reference)"</formula>
    </cfRule>
  </conditionalFormatting>
  <conditionalFormatting sqref="L310">
    <cfRule type="expression" dxfId="2113" priority="9" stopIfTrue="1">
      <formula>"esterreur(reference)"</formula>
    </cfRule>
  </conditionalFormatting>
  <conditionalFormatting sqref="J310">
    <cfRule type="expression" dxfId="2112" priority="8" stopIfTrue="1">
      <formula>"esterreur(reference)"</formula>
    </cfRule>
  </conditionalFormatting>
  <conditionalFormatting sqref="P310">
    <cfRule type="expression" dxfId="2111" priority="7" stopIfTrue="1">
      <formula>"esterreur(reference)"</formula>
    </cfRule>
  </conditionalFormatting>
  <conditionalFormatting sqref="Q310">
    <cfRule type="expression" dxfId="2110" priority="6" stopIfTrue="1">
      <formula>"esterreur(reference)"</formula>
    </cfRule>
  </conditionalFormatting>
  <conditionalFormatting sqref="O310">
    <cfRule type="expression" dxfId="2109" priority="5" stopIfTrue="1">
      <formula>"esterreur(reference)"</formula>
    </cfRule>
  </conditionalFormatting>
  <conditionalFormatting sqref="O107:Q107">
    <cfRule type="expression" dxfId="2108" priority="3" stopIfTrue="1">
      <formula>"esterreur(reference)"</formula>
    </cfRule>
  </conditionalFormatting>
  <conditionalFormatting sqref="G42">
    <cfRule type="expression" dxfId="1" priority="2" stopIfTrue="1">
      <formula>"esterreur(reference)"</formula>
    </cfRule>
  </conditionalFormatting>
  <conditionalFormatting sqref="G55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697"/>
  <sheetViews>
    <sheetView topLeftCell="C1" zoomScale="60" zoomScaleNormal="60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tr">
        <f>[5]Parametres!B1</f>
        <v>Volks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CONCATENATE("Réalisé,"," ",[5]Parametres!B3," ",[5]Parametres!B4)</f>
        <v>Réalisé, Avril 2021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218</v>
      </c>
      <c r="K2" s="9"/>
      <c r="L2" s="9" t="s">
        <v>214</v>
      </c>
      <c r="M2" s="11"/>
      <c r="N2" s="11"/>
      <c r="O2" s="9" t="s">
        <v>218</v>
      </c>
      <c r="P2" s="9"/>
      <c r="Q2" s="9" t="s">
        <v>214</v>
      </c>
      <c r="R2" s="11"/>
      <c r="S2" s="11"/>
      <c r="T2" s="11"/>
      <c r="U2" s="11"/>
    </row>
    <row r="3" spans="1:40" ht="21" thickTop="1">
      <c r="B3" s="12"/>
      <c r="C3" s="13"/>
      <c r="D3" s="519" t="s">
        <v>5</v>
      </c>
      <c r="E3" s="520"/>
      <c r="F3" s="521"/>
      <c r="G3" s="522" t="s">
        <v>6</v>
      </c>
      <c r="H3" s="520"/>
      <c r="I3" s="521"/>
      <c r="J3" s="522" t="s">
        <v>7</v>
      </c>
      <c r="K3" s="520"/>
      <c r="L3" s="521"/>
      <c r="M3" s="522" t="s">
        <v>8</v>
      </c>
      <c r="N3" s="521"/>
      <c r="O3" s="519" t="s">
        <v>9</v>
      </c>
      <c r="P3" s="520"/>
      <c r="Q3" s="521"/>
      <c r="R3" s="522" t="s">
        <v>10</v>
      </c>
      <c r="S3" s="523"/>
      <c r="T3" s="14"/>
      <c r="U3" s="14"/>
      <c r="V3" t="s">
        <v>234</v>
      </c>
      <c r="W3" s="527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t="s">
        <v>235</v>
      </c>
      <c r="W4" s="527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0">+$K$1</f>
        <v>Véhicules neufs</v>
      </c>
      <c r="C5" s="21" t="s">
        <v>16</v>
      </c>
      <c r="D5" s="22"/>
      <c r="E5" s="22"/>
      <c r="F5" s="23">
        <f>+INDEX('[5]Budget original'!$A$2:$AO$496,MATCH($A5,'[5]Budget original'!$A$2:$A$496,0),MATCH(F$2,'[5]Budget original'!$A$2:$AO$2,0))</f>
        <v>751340.65797524713</v>
      </c>
      <c r="G5" s="24"/>
      <c r="H5" s="22"/>
      <c r="I5" s="25">
        <f>+INDEX('[5]Budget révisé'!$A$2:$AO$496,MATCH($A5,'[5]Budget révisé'!$A$2:$A$496,0),MATCH(I$2,'[5]Budget révisé'!$A$2:$AO$2,0))</f>
        <v>751340.65797524713</v>
      </c>
      <c r="J5" s="24"/>
      <c r="K5" s="26"/>
      <c r="L5" s="23">
        <f>-SUMIFS([5]BV_Data_An_Cour!$O:$O,[5]BV_Data_An_Cour!$X:$X,"Oui",[5]BV_Data_An_Cour!$U:$U,$B5)</f>
        <v>3185397.8299999996</v>
      </c>
      <c r="M5" s="27"/>
      <c r="N5" s="28"/>
      <c r="O5" s="24"/>
      <c r="P5" s="26"/>
      <c r="Q5" s="23">
        <f>-SUMIFS([5]BV_Data_An_Prec!$O:$O,[5]BV_Data_An_Prec!$X:$X,"Oui",[5]BV_Data_An_Prec!$U:$U,$B5)</f>
        <v>3012832.6000000006</v>
      </c>
      <c r="R5" s="27"/>
      <c r="S5" s="29"/>
      <c r="T5" s="14"/>
      <c r="U5" s="14"/>
      <c r="V5" s="528" t="s">
        <v>229</v>
      </c>
      <c r="W5" s="529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1">+B6&amp;C6</f>
        <v>Véhicules neufsAutos détail</v>
      </c>
      <c r="B6" s="12" t="str">
        <f t="shared" si="0"/>
        <v>Véhicules neufs</v>
      </c>
      <c r="C6" s="30" t="s">
        <v>17</v>
      </c>
      <c r="D6" s="31">
        <f>+INDEX('[5]Budget original'!$A$2:$AO$496,MATCH($A6,'[5]Budget original'!$A$2:$A$496,0),MATCH(D$2,'[5]Budget original'!$A$2:$AO$2,0))</f>
        <v>27.366259623939069</v>
      </c>
      <c r="E6" s="31">
        <f>IF(D6=0,0,F6/D6)</f>
        <v>604.29042904290418</v>
      </c>
      <c r="F6" s="31">
        <f>+INDEX('[5]Budget original'!$A$2:$AO$496,MATCH($A6,'[5]Budget original'!$A$2:$A$496,0),MATCH(F$2,'[5]Budget original'!$A$2:$AO$2,0))</f>
        <v>16537.168769449647</v>
      </c>
      <c r="G6" s="32">
        <f>+INDEX('[5]Budget révisé'!$A$2:$AO$496,MATCH($A6,'[5]Budget révisé'!$A$2:$A$496,0),MATCH(G$2,'[5]Budget révisé'!$A$2:$AO$2,0))</f>
        <v>27.366259623939069</v>
      </c>
      <c r="H6" s="31">
        <f>IF(G6=0,0,I6/G6)</f>
        <v>955.05621789951272</v>
      </c>
      <c r="I6" s="31">
        <f>+INDEX('[5]Budget révisé'!$A$2:$AO$496,MATCH($A6,'[5]Budget révisé'!$A$2:$A$496,0),MATCH(I$2,'[5]Budget révisé'!$A$2:$AO$2,0))</f>
        <v>26136.316414495388</v>
      </c>
      <c r="J6" s="32">
        <f>-SUMIFS([5]BV_Data_An_Cour!$O:$O,[5]BV_Data_An_Cour!$U:$U,$B6,[5]BV_Data_An_Cour!$V:$V,$C6,[5]BV_Data_An_Cour!$W:$W,J$2)</f>
        <v>24</v>
      </c>
      <c r="K6" s="31">
        <f>IF(J6=0,0,L6/J6)</f>
        <v>474.33791666666485</v>
      </c>
      <c r="L6" s="33">
        <f>-SUMIFS([5]BV_Data_An_Cour!$O:$O,[5]BV_Data_An_Cour!$U:$U,$B6,[5]BV_Data_An_Cour!$V:$V,$C6,[5]BV_Data_An_Cour!$W:$W,L$2)</f>
        <v>11384.109999999957</v>
      </c>
      <c r="M6" s="32">
        <f t="shared" ref="M6:M12" si="2">J6-G6</f>
        <v>-3.3662596239390687</v>
      </c>
      <c r="N6" s="34">
        <f>L6-I6</f>
        <v>-14752.206414495431</v>
      </c>
      <c r="O6" s="32">
        <f>-SUMIFS([5]BV_Data_An_Prec!$O:$O,[5]BV_Data_An_Prec!$U:$U,$B6,[5]BV_Data_An_Prec!$V:$V,$C6,[5]BV_Data_An_Prec!$W:$W,O$2)</f>
        <v>56</v>
      </c>
      <c r="P6" s="31">
        <f>IF(O6=0,0,Q6/O6)</f>
        <v>756.66714285714932</v>
      </c>
      <c r="Q6" s="33">
        <f>-SUMIFS([5]BV_Data_An_Prec!$O:$O,[5]BV_Data_An_Prec!$U:$U,$B6,[5]BV_Data_An_Prec!$V:$V,$C6,[5]BV_Data_An_Prec!$W:$W,Q$2)</f>
        <v>42373.360000000364</v>
      </c>
      <c r="R6" s="32">
        <f t="shared" ref="R6:R12" si="3">J6-O6</f>
        <v>-32</v>
      </c>
      <c r="S6" s="35">
        <f t="shared" ref="S6:S12" si="4">L6-Q6</f>
        <v>-30989.250000000407</v>
      </c>
      <c r="T6" s="14"/>
      <c r="U6" s="14"/>
      <c r="V6" s="528" t="s">
        <v>236</v>
      </c>
      <c r="W6" s="529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1"/>
        <v>Véhicules neufsCamions détail</v>
      </c>
      <c r="B7" s="12" t="str">
        <f t="shared" si="0"/>
        <v>Véhicules neufs</v>
      </c>
      <c r="C7" s="30" t="s">
        <v>18</v>
      </c>
      <c r="D7" s="31">
        <f>+INDEX('[5]Budget original'!$A$2:$AO$496,MATCH($A7,'[5]Budget original'!$A$2:$A$496,0),MATCH(D$2,'[5]Budget original'!$A$2:$AO$2,0))</f>
        <v>36.759299230835644</v>
      </c>
      <c r="E7" s="31">
        <f t="shared" ref="E7:E12" si="5">IF(D7=0,0,F7/D7)</f>
        <v>1315.4791154791155</v>
      </c>
      <c r="F7" s="31">
        <f>+INDEX('[5]Budget original'!$A$2:$AO$496,MATCH($A7,'[5]Budget original'!$A$2:$A$496,0),MATCH(F$2,'[5]Budget original'!$A$2:$AO$2,0))</f>
        <v>48356.090437811807</v>
      </c>
      <c r="G7" s="32">
        <f>+INDEX('[5]Budget révisé'!$A$2:$AO$496,MATCH($A7,'[5]Budget révisé'!$A$2:$A$496,0),MATCH(G$2,'[5]Budget révisé'!$A$2:$AO$2,0))</f>
        <v>36.759299230835644</v>
      </c>
      <c r="H7" s="31">
        <f t="shared" ref="H7:H12" si="6">IF(G7=0,0,I7/G7)</f>
        <v>1702.6668817908317</v>
      </c>
      <c r="I7" s="31">
        <f>+INDEX('[5]Budget révisé'!$A$2:$AO$496,MATCH($A7,'[5]Budget révisé'!$A$2:$A$496,0),MATCH(I$2,'[5]Budget révisé'!$A$2:$AO$2,0))</f>
        <v>62588.841398183045</v>
      </c>
      <c r="J7" s="32">
        <f>-SUMIFS([5]BV_Data_An_Cour!$O:$O,[5]BV_Data_An_Cour!$U:$U,$B7,[5]BV_Data_An_Cour!$V:$V,$C7,[5]BV_Data_An_Cour!$W:$W,J$2)</f>
        <v>41</v>
      </c>
      <c r="K7" s="31">
        <f t="shared" ref="K7:K12" si="7">IF(J7=0,0,L7/J7)</f>
        <v>2167.9160975609743</v>
      </c>
      <c r="L7" s="33">
        <f>-SUMIFS([5]BV_Data_An_Cour!$O:$O,[5]BV_Data_An_Cour!$U:$U,$B7,[5]BV_Data_An_Cour!$V:$V,$C7,[5]BV_Data_An_Cour!$W:$W,L$2)</f>
        <v>88884.559999999939</v>
      </c>
      <c r="M7" s="32">
        <f t="shared" si="2"/>
        <v>4.2407007691643557</v>
      </c>
      <c r="N7" s="34">
        <f t="shared" ref="N7:N12" si="8">L7-I7</f>
        <v>26295.718601816894</v>
      </c>
      <c r="O7" s="32">
        <f>-SUMIFS([5]BV_Data_An_Prec!$O:$O,[5]BV_Data_An_Prec!$U:$U,$B7,[5]BV_Data_An_Prec!$V:$V,$C7,[5]BV_Data_An_Prec!$W:$W,O$2)</f>
        <v>28</v>
      </c>
      <c r="P7" s="31">
        <f t="shared" ref="P7:P12" si="9">IF(O7=0,0,Q7/O7)</f>
        <v>666.27321428571099</v>
      </c>
      <c r="Q7" s="33">
        <f>-SUMIFS([5]BV_Data_An_Prec!$O:$O,[5]BV_Data_An_Prec!$U:$U,$B7,[5]BV_Data_An_Prec!$V:$V,$C7,[5]BV_Data_An_Prec!$W:$W,Q$2)</f>
        <v>18655.649999999907</v>
      </c>
      <c r="R7" s="32">
        <f t="shared" si="3"/>
        <v>13</v>
      </c>
      <c r="S7" s="35">
        <f t="shared" si="4"/>
        <v>70228.910000000033</v>
      </c>
      <c r="T7" s="14"/>
      <c r="U7" s="14"/>
      <c r="V7" t="s">
        <v>237</v>
      </c>
      <c r="W7" s="527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1"/>
        <v>Véhicules neufsSprinter</v>
      </c>
      <c r="B8" s="12" t="str">
        <f t="shared" si="0"/>
        <v>Véhicules neufs</v>
      </c>
      <c r="C8" s="30" t="s">
        <v>19</v>
      </c>
      <c r="D8" s="31">
        <f>+INDEX('[5]Budget original'!$A$2:$AO$496,MATCH($A8,'[5]Budget original'!$A$2:$A$496,0),MATCH(D$2,'[5]Budget original'!$A$2:$AO$2,0))</f>
        <v>0</v>
      </c>
      <c r="E8" s="31">
        <f t="shared" si="5"/>
        <v>0</v>
      </c>
      <c r="F8" s="31">
        <f>+INDEX('[5]Budget original'!$A$2:$AO$496,MATCH($A8,'[5]Budget original'!$A$2:$A$496,0),MATCH(F$2,'[5]Budget original'!$A$2:$AO$2,0))</f>
        <v>0</v>
      </c>
      <c r="G8" s="32">
        <f>+INDEX('[5]Budget révisé'!$A$2:$AO$496,MATCH($A8,'[5]Budget révisé'!$A$2:$A$496,0),MATCH(G$2,'[5]Budget révisé'!$A$2:$AO$2,0))</f>
        <v>0</v>
      </c>
      <c r="H8" s="31">
        <f t="shared" si="6"/>
        <v>0</v>
      </c>
      <c r="I8" s="31">
        <f>+INDEX('[5]Budget révisé'!$A$2:$AO$496,MATCH($A8,'[5]Budget révisé'!$A$2:$A$496,0),MATCH(I$2,'[5]Budget révisé'!$A$2:$AO$2,0))</f>
        <v>0</v>
      </c>
      <c r="J8" s="32">
        <f>-SUMIFS([5]BV_Data_An_Cour!$O:$O,[5]BV_Data_An_Cour!$U:$U,$B8,[5]BV_Data_An_Cour!$V:$V,$C8,[5]BV_Data_An_Cour!$W:$W,J$2)</f>
        <v>0</v>
      </c>
      <c r="K8" s="31">
        <f t="shared" si="7"/>
        <v>0</v>
      </c>
      <c r="L8" s="33">
        <f>-SUMIFS([5]BV_Data_An_Cour!$O:$O,[5]BV_Data_An_Cour!$U:$U,$B8,[5]BV_Data_An_Cour!$V:$V,$C8,[5]BV_Data_An_Cour!$W:$W,L$2)</f>
        <v>0</v>
      </c>
      <c r="M8" s="32">
        <f t="shared" si="2"/>
        <v>0</v>
      </c>
      <c r="N8" s="34">
        <f t="shared" si="8"/>
        <v>0</v>
      </c>
      <c r="O8" s="32">
        <f>-SUMIFS([5]BV_Data_An_Prec!$O:$O,[5]BV_Data_An_Prec!$U:$U,$B8,[5]BV_Data_An_Prec!$V:$V,$C8,[5]BV_Data_An_Prec!$W:$W,O$2)</f>
        <v>0</v>
      </c>
      <c r="P8" s="31">
        <f t="shared" si="9"/>
        <v>0</v>
      </c>
      <c r="Q8" s="33">
        <f>-SUMIFS([5]BV_Data_An_Prec!$O:$O,[5]BV_Data_An_Prec!$U:$U,$B8,[5]BV_Data_An_Prec!$V:$V,$C8,[5]BV_Data_An_Prec!$W:$W,Q$2)</f>
        <v>0</v>
      </c>
      <c r="R8" s="32">
        <f t="shared" si="3"/>
        <v>0</v>
      </c>
      <c r="S8" s="35">
        <f t="shared" si="4"/>
        <v>0</v>
      </c>
      <c r="T8" s="14"/>
      <c r="U8" s="14"/>
      <c r="W8" s="527">
        <f t="shared" ref="W8" si="10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1"/>
        <v>Véhicules neufsMoto détail</v>
      </c>
      <c r="B9" s="12" t="str">
        <f t="shared" si="0"/>
        <v>Véhicules neufs</v>
      </c>
      <c r="C9" s="30" t="s">
        <v>20</v>
      </c>
      <c r="D9" s="31">
        <f>+INDEX('[5]Budget original'!$A$2:$AO$496,MATCH($A9,'[5]Budget original'!$A$2:$A$496,0),MATCH(D$2,'[5]Budget original'!$A$2:$AO$2,0))</f>
        <v>0</v>
      </c>
      <c r="E9" s="31">
        <f t="shared" si="5"/>
        <v>0</v>
      </c>
      <c r="F9" s="31">
        <f>+INDEX('[5]Budget original'!$A$2:$AO$496,MATCH($A9,'[5]Budget original'!$A$2:$A$496,0),MATCH(F$2,'[5]Budget original'!$A$2:$AO$2,0))</f>
        <v>0</v>
      </c>
      <c r="G9" s="32">
        <f>+INDEX('[5]Budget révisé'!$A$2:$AO$496,MATCH($A9,'[5]Budget révisé'!$A$2:$A$496,0),MATCH(G$2,'[5]Budget révisé'!$A$2:$AO$2,0))</f>
        <v>0</v>
      </c>
      <c r="H9" s="31">
        <f t="shared" si="6"/>
        <v>0</v>
      </c>
      <c r="I9" s="31">
        <f>+INDEX('[5]Budget révisé'!$A$2:$AO$496,MATCH($A9,'[5]Budget révisé'!$A$2:$A$496,0),MATCH(I$2,'[5]Budget révisé'!$A$2:$AO$2,0))</f>
        <v>0</v>
      </c>
      <c r="J9" s="32">
        <f>-SUMIFS([5]BV_Data_An_Cour!$O:$O,[5]BV_Data_An_Cour!$U:$U,$B9,[5]BV_Data_An_Cour!$V:$V,$C9,[5]BV_Data_An_Cour!$W:$W,J$2)</f>
        <v>0</v>
      </c>
      <c r="K9" s="31">
        <f t="shared" si="7"/>
        <v>0</v>
      </c>
      <c r="L9" s="33">
        <f>-SUMIFS([5]BV_Data_An_Cour!$O:$O,[5]BV_Data_An_Cour!$U:$U,$B9,[5]BV_Data_An_Cour!$V:$V,$C9,[5]BV_Data_An_Cour!$W:$W,L$2)</f>
        <v>0</v>
      </c>
      <c r="M9" s="32">
        <f t="shared" si="2"/>
        <v>0</v>
      </c>
      <c r="N9" s="34">
        <f t="shared" si="8"/>
        <v>0</v>
      </c>
      <c r="O9" s="32">
        <f>-SUMIFS([5]BV_Data_An_Prec!$O:$O,[5]BV_Data_An_Prec!$U:$U,$B9,[5]BV_Data_An_Prec!$V:$V,$C9,[5]BV_Data_An_Prec!$W:$W,O$2)</f>
        <v>0</v>
      </c>
      <c r="P9" s="31">
        <f t="shared" si="9"/>
        <v>0</v>
      </c>
      <c r="Q9" s="33">
        <f>-SUMIFS([5]BV_Data_An_Prec!$O:$O,[5]BV_Data_An_Prec!$U:$U,$B9,[5]BV_Data_An_Prec!$V:$V,$C9,[5]BV_Data_An_Prec!$W:$W,Q$2)</f>
        <v>0</v>
      </c>
      <c r="R9" s="32">
        <f t="shared" si="3"/>
        <v>0</v>
      </c>
      <c r="S9" s="35">
        <f t="shared" si="4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1"/>
        <v>Véhicules neufs[...]</v>
      </c>
      <c r="B10" s="12" t="str">
        <f t="shared" si="0"/>
        <v>Véhicules neufs</v>
      </c>
      <c r="C10" s="30" t="s">
        <v>21</v>
      </c>
      <c r="D10" s="31">
        <f>+INDEX('[5]Budget original'!$A$2:$AO$496,MATCH($A10,'[5]Budget original'!$A$2:$A$496,0),MATCH(D$2,'[5]Budget original'!$A$2:$AO$2,0))</f>
        <v>0</v>
      </c>
      <c r="E10" s="31">
        <f t="shared" si="5"/>
        <v>0</v>
      </c>
      <c r="F10" s="31">
        <f>+INDEX('[5]Budget original'!$A$2:$AO$496,MATCH($A10,'[5]Budget original'!$A$2:$A$496,0),MATCH(F$2,'[5]Budget original'!$A$2:$AO$2,0))</f>
        <v>0</v>
      </c>
      <c r="G10" s="32">
        <f>+INDEX('[5]Budget révisé'!$A$2:$AO$496,MATCH($A10,'[5]Budget révisé'!$A$2:$A$496,0),MATCH(G$2,'[5]Budget révisé'!$A$2:$AO$2,0))</f>
        <v>0</v>
      </c>
      <c r="H10" s="31">
        <f t="shared" si="6"/>
        <v>0</v>
      </c>
      <c r="I10" s="31">
        <f>+INDEX('[5]Budget révisé'!$A$2:$AO$496,MATCH($A10,'[5]Budget révisé'!$A$2:$A$496,0),MATCH(I$2,'[5]Budget révisé'!$A$2:$AO$2,0))</f>
        <v>0</v>
      </c>
      <c r="J10" s="32">
        <f>-SUMIFS([5]BV_Data_An_Cour!$O:$O,[5]BV_Data_An_Cour!$U:$U,$B10,[5]BV_Data_An_Cour!$V:$V,$C10,[5]BV_Data_An_Cour!$W:$W,J$2)</f>
        <v>0</v>
      </c>
      <c r="K10" s="31">
        <f t="shared" si="7"/>
        <v>0</v>
      </c>
      <c r="L10" s="33">
        <f>-SUMIFS([5]BV_Data_An_Cour!$O:$O,[5]BV_Data_An_Cour!$U:$U,$B10,[5]BV_Data_An_Cour!$V:$V,$C10,[5]BV_Data_An_Cour!$W:$W,L$2)</f>
        <v>0</v>
      </c>
      <c r="M10" s="32">
        <f t="shared" si="2"/>
        <v>0</v>
      </c>
      <c r="N10" s="34">
        <f t="shared" si="8"/>
        <v>0</v>
      </c>
      <c r="O10" s="32">
        <f>-SUMIFS([5]BV_Data_An_Prec!$O:$O,[5]BV_Data_An_Prec!$U:$U,$B10,[5]BV_Data_An_Prec!$V:$V,$C10,[5]BV_Data_An_Prec!$W:$W,O$2)</f>
        <v>0</v>
      </c>
      <c r="P10" s="31">
        <f t="shared" si="9"/>
        <v>0</v>
      </c>
      <c r="Q10" s="33">
        <f>-SUMIFS([5]BV_Data_An_Prec!$O:$O,[5]BV_Data_An_Prec!$U:$U,$B10,[5]BV_Data_An_Prec!$V:$V,$C10,[5]BV_Data_An_Prec!$W:$W,Q$2)</f>
        <v>0</v>
      </c>
      <c r="R10" s="32">
        <f t="shared" si="3"/>
        <v>0</v>
      </c>
      <c r="S10" s="35">
        <f t="shared" si="4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1"/>
        <v>Véhicules neufs[...]</v>
      </c>
      <c r="B11" s="12" t="str">
        <f t="shared" si="0"/>
        <v>Véhicules neufs</v>
      </c>
      <c r="C11" s="30" t="s">
        <v>21</v>
      </c>
      <c r="D11" s="31">
        <f>+INDEX('[5]Budget original'!$A$2:$AO$496,MATCH($A11,'[5]Budget original'!$A$2:$A$496,0),MATCH(D$2,'[5]Budget original'!$A$2:$AO$2,0))</f>
        <v>0</v>
      </c>
      <c r="E11" s="31">
        <f t="shared" si="5"/>
        <v>0</v>
      </c>
      <c r="F11" s="31">
        <f>+INDEX('[5]Budget original'!$A$2:$AO$496,MATCH($A11,'[5]Budget original'!$A$2:$A$496,0),MATCH(F$2,'[5]Budget original'!$A$2:$AO$2,0))</f>
        <v>0</v>
      </c>
      <c r="G11" s="32">
        <f>+INDEX('[5]Budget révisé'!$A$2:$AO$496,MATCH($A11,'[5]Budget révisé'!$A$2:$A$496,0),MATCH(G$2,'[5]Budget révisé'!$A$2:$AO$2,0))</f>
        <v>0</v>
      </c>
      <c r="H11" s="31">
        <f t="shared" si="6"/>
        <v>0</v>
      </c>
      <c r="I11" s="31">
        <f>+INDEX('[5]Budget révisé'!$A$2:$AO$496,MATCH($A11,'[5]Budget révisé'!$A$2:$A$496,0),MATCH(I$2,'[5]Budget révisé'!$A$2:$AO$2,0))</f>
        <v>0</v>
      </c>
      <c r="J11" s="32">
        <f>-SUMIFS([5]BV_Data_An_Cour!$O:$O,[5]BV_Data_An_Cour!$U:$U,$B11,[5]BV_Data_An_Cour!$V:$V,$C11,[5]BV_Data_An_Cour!$W:$W,J$2)</f>
        <v>0</v>
      </c>
      <c r="K11" s="31">
        <f t="shared" si="7"/>
        <v>0</v>
      </c>
      <c r="L11" s="33">
        <f>-SUMIFS([5]BV_Data_An_Cour!$O:$O,[5]BV_Data_An_Cour!$U:$U,$B11,[5]BV_Data_An_Cour!$V:$V,$C11,[5]BV_Data_An_Cour!$W:$W,L$2)</f>
        <v>0</v>
      </c>
      <c r="M11" s="32">
        <f t="shared" si="2"/>
        <v>0</v>
      </c>
      <c r="N11" s="34">
        <f t="shared" si="8"/>
        <v>0</v>
      </c>
      <c r="O11" s="32">
        <f>-SUMIFS([5]BV_Data_An_Prec!$O:$O,[5]BV_Data_An_Prec!$U:$U,$B11,[5]BV_Data_An_Prec!$V:$V,$C11,[5]BV_Data_An_Prec!$W:$W,O$2)</f>
        <v>0</v>
      </c>
      <c r="P11" s="31">
        <f t="shared" si="9"/>
        <v>0</v>
      </c>
      <c r="Q11" s="33">
        <f>-SUMIFS([5]BV_Data_An_Prec!$O:$O,[5]BV_Data_An_Prec!$U:$U,$B11,[5]BV_Data_An_Prec!$V:$V,$C11,[5]BV_Data_An_Prec!$W:$W,Q$2)</f>
        <v>0</v>
      </c>
      <c r="R11" s="32">
        <f t="shared" si="3"/>
        <v>0</v>
      </c>
      <c r="S11" s="35">
        <f t="shared" si="4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1"/>
        <v>Véhicules neufs[...]</v>
      </c>
      <c r="B12" s="12" t="str">
        <f t="shared" si="0"/>
        <v>Véhicules neufs</v>
      </c>
      <c r="C12" s="30" t="s">
        <v>21</v>
      </c>
      <c r="D12" s="31">
        <f>+INDEX('[5]Budget original'!$A$2:$AO$496,MATCH($A12,'[5]Budget original'!$A$2:$A$496,0),MATCH(D$2,'[5]Budget original'!$A$2:$AO$2,0))</f>
        <v>0</v>
      </c>
      <c r="E12" s="31">
        <f t="shared" si="5"/>
        <v>0</v>
      </c>
      <c r="F12" s="31">
        <f>+INDEX('[5]Budget original'!$A$2:$AO$496,MATCH($A12,'[5]Budget original'!$A$2:$A$496,0),MATCH(F$2,'[5]Budget original'!$A$2:$AO$2,0))</f>
        <v>0</v>
      </c>
      <c r="G12" s="32">
        <f>+INDEX('[5]Budget révisé'!$A$2:$AO$496,MATCH($A12,'[5]Budget révisé'!$A$2:$A$496,0),MATCH(G$2,'[5]Budget révisé'!$A$2:$AO$2,0))</f>
        <v>0</v>
      </c>
      <c r="H12" s="31">
        <f t="shared" si="6"/>
        <v>0</v>
      </c>
      <c r="I12" s="31">
        <f>+INDEX('[5]Budget révisé'!$A$2:$AO$496,MATCH($A12,'[5]Budget révisé'!$A$2:$A$496,0),MATCH(I$2,'[5]Budget révisé'!$A$2:$AO$2,0))</f>
        <v>0</v>
      </c>
      <c r="J12" s="32">
        <f>-SUMIFS([5]BV_Data_An_Cour!$O:$O,[5]BV_Data_An_Cour!$U:$U,$B12,[5]BV_Data_An_Cour!$V:$V,$C12,[5]BV_Data_An_Cour!$W:$W,J$2)</f>
        <v>0</v>
      </c>
      <c r="K12" s="31">
        <f t="shared" si="7"/>
        <v>0</v>
      </c>
      <c r="L12" s="33">
        <f>-SUMIFS([5]BV_Data_An_Cour!$O:$O,[5]BV_Data_An_Cour!$U:$U,$B12,[5]BV_Data_An_Cour!$V:$V,$C12,[5]BV_Data_An_Cour!$W:$W,L$2)</f>
        <v>0</v>
      </c>
      <c r="M12" s="32">
        <f t="shared" si="2"/>
        <v>0</v>
      </c>
      <c r="N12" s="34">
        <f t="shared" si="8"/>
        <v>0</v>
      </c>
      <c r="O12" s="32">
        <f>-SUMIFS([5]BV_Data_An_Prec!$O:$O,[5]BV_Data_An_Prec!$U:$U,$B12,[5]BV_Data_An_Prec!$V:$V,$C12,[5]BV_Data_An_Prec!$W:$W,O$2)</f>
        <v>0</v>
      </c>
      <c r="P12" s="31">
        <f t="shared" si="9"/>
        <v>0</v>
      </c>
      <c r="Q12" s="33">
        <f>-SUMIFS([5]BV_Data_An_Prec!$O:$O,[5]BV_Data_An_Prec!$U:$U,$B12,[5]BV_Data_An_Prec!$V:$V,$C12,[5]BV_Data_An_Prec!$W:$W,Q$2)</f>
        <v>0</v>
      </c>
      <c r="R12" s="32">
        <f t="shared" si="3"/>
        <v>0</v>
      </c>
      <c r="S12" s="35">
        <f t="shared" si="4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1"/>
        <v>Véhicules neufsTotal Neufs</v>
      </c>
      <c r="B13" s="12" t="str">
        <f t="shared" si="0"/>
        <v>Véhicules neufs</v>
      </c>
      <c r="C13" s="36" t="s">
        <v>22</v>
      </c>
      <c r="D13" s="37">
        <f>+SUM(D6:D12)</f>
        <v>64.12555885477471</v>
      </c>
      <c r="E13" s="37">
        <f>IF(D13&lt;=0,0,F13/D13)</f>
        <v>1011.9718309859155</v>
      </c>
      <c r="F13" s="38">
        <f>+SUM(F6:F12)</f>
        <v>64893.25920726145</v>
      </c>
      <c r="G13" s="39">
        <f>+SUM(G6:G12)</f>
        <v>64.12555885477471</v>
      </c>
      <c r="H13" s="37">
        <f>IF(G13&lt;=0,0,I13/G13)</f>
        <v>1383.616133679466</v>
      </c>
      <c r="I13" s="38">
        <f>+SUM(I6:I12)</f>
        <v>88725.15781267843</v>
      </c>
      <c r="J13" s="39">
        <f>+SUM(J6:J12)</f>
        <v>65</v>
      </c>
      <c r="K13" s="37">
        <f>IF(J13&lt;=0,0,L13/J13)</f>
        <v>1542.5949230769215</v>
      </c>
      <c r="L13" s="38">
        <f>+SUM(L6:L12)</f>
        <v>100268.6699999999</v>
      </c>
      <c r="M13" s="39">
        <f>+SUM(M6:M12)</f>
        <v>0.87444114522528693</v>
      </c>
      <c r="N13" s="38">
        <f>+SUM(N6:N12)</f>
        <v>11543.512187321463</v>
      </c>
      <c r="O13" s="39">
        <f>+SUM(O6:O12)</f>
        <v>84</v>
      </c>
      <c r="P13" s="37">
        <f>IF(O13&lt;=0,0,Q13/O13)</f>
        <v>726.53583333333654</v>
      </c>
      <c r="Q13" s="38">
        <f>+SUM(Q6:Q12)</f>
        <v>61029.010000000271</v>
      </c>
      <c r="R13" s="39">
        <f>+SUM(R6:R12)</f>
        <v>-19</v>
      </c>
      <c r="S13" s="40">
        <f>+SUM(S6:S12)</f>
        <v>39239.659999999625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1"/>
        <v>Véhicules neufs</v>
      </c>
      <c r="B14" s="12" t="str">
        <f t="shared" si="0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1.3636390245044658E-2</v>
      </c>
      <c r="N14" s="44">
        <f>IF(I13=0,0,N13/I13)</f>
        <v>0.13010416066762912</v>
      </c>
      <c r="O14" s="42"/>
      <c r="P14" s="31"/>
      <c r="Q14" s="41"/>
      <c r="R14" s="43">
        <f>R13/O13</f>
        <v>-0.22619047619047619</v>
      </c>
      <c r="S14" s="45">
        <f>IF(Q13=0,0,(S13/Q13))</f>
        <v>0.64296733635363656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1"/>
        <v>Véhicules neufsEx-Démos et courtoisies</v>
      </c>
      <c r="B15" s="12" t="str">
        <f t="shared" si="0"/>
        <v>Véhicules neufs</v>
      </c>
      <c r="C15" s="46" t="s">
        <v>23</v>
      </c>
      <c r="D15" s="26">
        <f>+INDEX('[5]Budget original'!$A$2:$AO$496,MATCH($A15,'[5]Budget original'!$A$2:$A$496,0),MATCH(D$2,'[5]Budget original'!$A$2:$AO$2,0))</f>
        <v>6.683508951061027</v>
      </c>
      <c r="E15" s="26">
        <f t="shared" ref="E15" si="11">IF(D15=0,0,F15/D15)</f>
        <v>400</v>
      </c>
      <c r="F15" s="23">
        <f>+INDEX('[5]Budget original'!$A$2:$AO$496,MATCH($A15,'[5]Budget original'!$A$2:$A$496,0),MATCH(F$2,'[5]Budget original'!$A$2:$AO$2,0))</f>
        <v>2673.4035804244108</v>
      </c>
      <c r="G15" s="47">
        <f>+INDEX('[5]Budget révisé'!$A$2:$AO$496,MATCH($A15,'[5]Budget révisé'!$A$2:$A$496,0),MATCH(G$2,'[5]Budget révisé'!$A$2:$AO$2,0))</f>
        <v>6.683508951061027</v>
      </c>
      <c r="H15" s="48">
        <f t="shared" ref="H15" si="12">IF(G15=0,0,I15/G15)</f>
        <v>790.03378359300484</v>
      </c>
      <c r="I15" s="49">
        <f>+INDEX('[5]Budget révisé'!$A$2:$AO$496,MATCH($A15,'[5]Budget révisé'!$A$2:$A$496,0),MATCH(I$2,'[5]Budget révisé'!$A$2:$AO$2,0))</f>
        <v>5280.1978642844579</v>
      </c>
      <c r="J15" s="50">
        <f>-SUMIFS([5]BV_Data_An_Cour!$O:$O,[5]BV_Data_An_Cour!$U:$U,$B15,[5]BV_Data_An_Cour!$V:$V,$C15,[5]BV_Data_An_Cour!$W:$W,J$2)</f>
        <v>3</v>
      </c>
      <c r="K15" s="51">
        <f>IF(J15=0,0,L15/J15)</f>
        <v>1041.6766666666663</v>
      </c>
      <c r="L15" s="51">
        <f>-SUMIFS([5]BV_Data_An_Cour!$O:$O,[5]BV_Data_An_Cour!$U:$U,$B15,[5]BV_Data_An_Cour!$V:$V,$C15,[5]BV_Data_An_Cour!$W:$W,L$2)</f>
        <v>3125.0299999999988</v>
      </c>
      <c r="M15" s="52">
        <f>J15-G15</f>
        <v>-3.683508951061027</v>
      </c>
      <c r="N15" s="49">
        <f>L15-I15</f>
        <v>-2155.167864284459</v>
      </c>
      <c r="O15" s="50">
        <f>-SUMIFS([5]BV_Data_An_Prec!$O:$O,[5]BV_Data_An_Prec!$U:$U,$B15,[5]BV_Data_An_Prec!$V:$V,$C15,[5]BV_Data_An_Prec!$W:$W,O$2)</f>
        <v>0</v>
      </c>
      <c r="P15" s="51">
        <f>IF(O15=0,0,Q15/O15)</f>
        <v>0</v>
      </c>
      <c r="Q15" s="51">
        <f>-SUMIFS([5]BV_Data_An_Prec!$O:$O,[5]BV_Data_An_Prec!$U:$U,$B15,[5]BV_Data_An_Prec!$V:$V,$C15,[5]BV_Data_An_Prec!$W:$W,Q$2)</f>
        <v>0</v>
      </c>
      <c r="R15" s="52">
        <f>J15-O15</f>
        <v>3</v>
      </c>
      <c r="S15" s="53">
        <f>L15-Q15</f>
        <v>3125.0299999999988</v>
      </c>
      <c r="T15" s="14"/>
      <c r="U15" s="14"/>
      <c r="V15" s="87">
        <f>3125-L15</f>
        <v>-2.9999999998835847E-2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1"/>
        <v>Véhicules neufs</v>
      </c>
      <c r="B16" s="12" t="str">
        <f t="shared" si="0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1"/>
        <v>Véhicules neufsFlottes</v>
      </c>
      <c r="B17" s="12" t="str">
        <f t="shared" si="0"/>
        <v>Véhicules neufs</v>
      </c>
      <c r="C17" s="54" t="s">
        <v>24</v>
      </c>
      <c r="D17" s="31">
        <f>+INDEX('[5]Budget original'!$A$2:$AO$496,MATCH($A17,'[5]Budget original'!$A$2:$A$496,0),MATCH(D$2,'[5]Budget original'!$A$2:$AO$2,0))</f>
        <v>0</v>
      </c>
      <c r="E17" s="31">
        <f t="shared" ref="E17" si="13">IF(D17=0,0,F17/D17)</f>
        <v>0</v>
      </c>
      <c r="F17" s="31">
        <f>+INDEX('[5]Budget original'!$A$2:$AO$496,MATCH($A17,'[5]Budget original'!$A$2:$A$496,0),MATCH(F$2,'[5]Budget original'!$A$2:$AO$2,0))</f>
        <v>0</v>
      </c>
      <c r="G17" s="32">
        <f>+INDEX('[5]Budget révisé'!$A$2:$AO$496,MATCH($A17,'[5]Budget révisé'!$A$2:$A$496,0),MATCH(G$2,'[5]Budget révisé'!$A$2:$AO$2,0))</f>
        <v>2.4487253600827237</v>
      </c>
      <c r="H17" s="31">
        <f t="shared" ref="H17" si="14">IF(G17=0,0,I17/G17)</f>
        <v>800</v>
      </c>
      <c r="I17" s="31">
        <f>+INDEX('[5]Budget révisé'!$A$2:$AO$496,MATCH($A17,'[5]Budget révisé'!$A$2:$A$496,0),MATCH(I$2,'[5]Budget révisé'!$A$2:$AO$2,0))</f>
        <v>1958.9802880661789</v>
      </c>
      <c r="J17" s="52">
        <f>-SUMIFS([5]BV_Data_An_Cour!$O:$O,[5]BV_Data_An_Cour!$U:$U,$B17,[5]BV_Data_An_Cour!$V:$V,$C17,[5]BV_Data_An_Cour!$W:$W,J$2)</f>
        <v>5</v>
      </c>
      <c r="K17" s="31">
        <f>IF(J17=0,0,L17/J17)</f>
        <v>2400.1159999999973</v>
      </c>
      <c r="L17" s="34">
        <f>-SUMIFS([5]BV_Data_An_Cour!$O:$O,[5]BV_Data_An_Cour!$U:$U,$B17,[5]BV_Data_An_Cour!$V:$V,$C17,[5]BV_Data_An_Cour!$W:$W,L$2)</f>
        <v>12000.579999999987</v>
      </c>
      <c r="M17" s="52">
        <f>J17-G17</f>
        <v>2.5512746399172763</v>
      </c>
      <c r="N17" s="34">
        <f>L17-I17</f>
        <v>10041.599711933808</v>
      </c>
      <c r="O17" s="52">
        <f>-SUMIFS([5]BV_Data_An_Prec!$O:$O,[5]BV_Data_An_Prec!$U:$U,$B17,[5]BV_Data_An_Prec!$V:$V,$C17,[5]BV_Data_An_Prec!$W:$W,O$2)</f>
        <v>0</v>
      </c>
      <c r="P17" s="31">
        <f>IF(O17=0,0,Q17/O17)</f>
        <v>0</v>
      </c>
      <c r="Q17" s="34">
        <f>-SUMIFS([5]BV_Data_An_Prec!$O:$O,[5]BV_Data_An_Prec!$U:$U,$B17,[5]BV_Data_An_Prec!$V:$V,$C17,[5]BV_Data_An_Prec!$W:$W,Q$2)</f>
        <v>0</v>
      </c>
      <c r="R17" s="32">
        <f>J17-O17</f>
        <v>5</v>
      </c>
      <c r="S17" s="35">
        <f>L17-Q17</f>
        <v>12000.579999999987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1"/>
        <v>Véhicules neufs</v>
      </c>
      <c r="B18" s="12" t="str">
        <f t="shared" si="0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1"/>
        <v>Véhicules neufsRachat bail</v>
      </c>
      <c r="B19" s="12" t="str">
        <f t="shared" si="0"/>
        <v>Véhicules neufs</v>
      </c>
      <c r="C19" s="46" t="s">
        <v>25</v>
      </c>
      <c r="D19" s="31">
        <f>+INDEX('[5]Budget original'!$A$2:$AO$496,MATCH($A19,'[5]Budget original'!$A$2:$A$496,0),MATCH(D$2,'[5]Budget original'!$A$2:$AO$2,0))</f>
        <v>0</v>
      </c>
      <c r="E19" s="31">
        <f t="shared" ref="E19" si="15">IF(D19=0,0,F19/D19)</f>
        <v>0</v>
      </c>
      <c r="F19" s="31">
        <f>+INDEX('[5]Budget original'!$A$2:$AO$496,MATCH($A19,'[5]Budget original'!$A$2:$A$496,0),MATCH(F$2,'[5]Budget original'!$A$2:$AO$2,0))</f>
        <v>5000</v>
      </c>
      <c r="G19" s="32">
        <f>+INDEX('[5]Budget révisé'!$A$2:$AO$496,MATCH($A19,'[5]Budget révisé'!$A$2:$A$496,0),MATCH(G$2,'[5]Budget révisé'!$A$2:$AO$2,0))</f>
        <v>0</v>
      </c>
      <c r="H19" s="31">
        <f t="shared" ref="H19" si="16">IF(G19=0,0,I19/G19)</f>
        <v>0</v>
      </c>
      <c r="I19" s="31">
        <f>+INDEX('[5]Budget révisé'!$A$2:$AO$496,MATCH($A19,'[5]Budget révisé'!$A$2:$A$496,0),MATCH(I$2,'[5]Budget révisé'!$A$2:$AO$2,0))</f>
        <v>5000</v>
      </c>
      <c r="J19" s="47"/>
      <c r="K19" s="31"/>
      <c r="L19" s="34">
        <f>-SUMIFS([5]BV_Data_An_Cour!$O:$O,[5]BV_Data_An_Cour!$U:$U,$B19,[5]BV_Data_An_Cour!$V:$V,$C19,[5]BV_Data_An_Cour!$W:$W,L$2)</f>
        <v>10386.969999999972</v>
      </c>
      <c r="M19" s="32"/>
      <c r="N19" s="34">
        <f>L19-I19</f>
        <v>5386.9699999999721</v>
      </c>
      <c r="O19" s="47"/>
      <c r="P19" s="31"/>
      <c r="Q19" s="34">
        <f>-SUMIFS([5]BV_Data_An_Prec!$O:$O,[5]BV_Data_An_Prec!$U:$U,$B19,[5]BV_Data_An_Prec!$V:$V,$C19,[5]BV_Data_An_Prec!$W:$W,Q$2)</f>
        <v>6189.5400000000081</v>
      </c>
      <c r="R19" s="32">
        <f>O19-K19</f>
        <v>0</v>
      </c>
      <c r="S19" s="35">
        <f>L19-Q19</f>
        <v>4197.4299999999639</v>
      </c>
      <c r="T19" s="14"/>
      <c r="U19" s="14" t="s">
        <v>215</v>
      </c>
      <c r="V19" s="87">
        <f>G13+G15+G17</f>
        <v>73.257793165918457</v>
      </c>
      <c r="W19" s="87">
        <f>I13+I15+I17</f>
        <v>95964.335965029066</v>
      </c>
      <c r="X19" s="492">
        <f>W19/V19</f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1"/>
        <v>Véhicules neufs</v>
      </c>
      <c r="B20" s="12" t="str">
        <f t="shared" si="0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87">
        <f>J13+J15+J17</f>
        <v>73</v>
      </c>
      <c r="W20" s="87">
        <f>L13+L15+L17</f>
        <v>115394.27999999988</v>
      </c>
      <c r="X20" s="492">
        <f>W20/V20</f>
        <v>1580.743561643834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30" t="s">
        <v>26</v>
      </c>
      <c r="D21" s="31">
        <f>+INDEX('[5]Budget original'!$A$2:$AO$496,MATCH($A21,'[5]Budget original'!$A$2:$A$496,0),MATCH(D$2,'[5]Budget original'!$A$2:$AO$2,0))</f>
        <v>0</v>
      </c>
      <c r="E21" s="31">
        <f t="shared" ref="E21:E23" si="17">IF(D21=0,0,F21/D21)</f>
        <v>0</v>
      </c>
      <c r="F21" s="31">
        <f>+INDEX('[5]Budget original'!$A$2:$AO$496,MATCH($A21,'[5]Budget original'!$A$2:$A$496,0),MATCH(F$2,'[5]Budget original'!$A$2:$AO$2,0))</f>
        <v>6661.7025181552026</v>
      </c>
      <c r="G21" s="42">
        <f>+INDEX('[5]Budget révisé'!$A$2:$AO$496,MATCH($A21,'[5]Budget révisé'!$A$2:$A$496,0),MATCH(G$2,'[5]Budget révisé'!$A$2:$AO$2,0))</f>
        <v>0</v>
      </c>
      <c r="H21" s="31">
        <f t="shared" ref="H21:H23" si="18">IF(G21=0,0,I21/G21)</f>
        <v>0</v>
      </c>
      <c r="I21" s="31">
        <f>+INDEX('[5]Budget révisé'!$A$2:$AO$496,MATCH($A21,'[5]Budget révisé'!$A$2:$A$496,0),MATCH(I$2,'[5]Budget révisé'!$A$2:$AO$2,0))</f>
        <v>6661.7025181552026</v>
      </c>
      <c r="J21" s="32"/>
      <c r="K21" s="31">
        <f>IF(J13=0,0,L21/(J13+J15))</f>
        <v>93.977941176470594</v>
      </c>
      <c r="L21" s="34">
        <f>-SUMIFS([5]BV_Data_An_Cour!$O:$O,[5]BV_Data_An_Cour!$U:$U,$B21,[5]BV_Data_An_Cour!$V:$V,$C21,[5]BV_Data_An_Cour!$W:$W,L$2)</f>
        <v>6390.5</v>
      </c>
      <c r="M21" s="32"/>
      <c r="N21" s="34">
        <f t="shared" ref="N21:N24" si="19">L21-I21</f>
        <v>-271.2025181552026</v>
      </c>
      <c r="O21" s="32"/>
      <c r="P21" s="31">
        <f>IF(O13=0,0,Q21/(O13+O15))</f>
        <v>136.6225</v>
      </c>
      <c r="Q21" s="34">
        <f>-SUMIFS([5]BV_Data_An_Prec!$O:$O,[5]BV_Data_An_Prec!$U:$U,$B21,[5]BV_Data_An_Prec!$V:$V,$C21,[5]BV_Data_An_Prec!$W:$W,Q$2)</f>
        <v>11476.29</v>
      </c>
      <c r="R21" s="32">
        <f t="shared" ref="R21:R23" si="20">O21-K21</f>
        <v>-93.977941176470594</v>
      </c>
      <c r="S21" s="35">
        <f t="shared" ref="S21:S24" si="21">L21-Q21</f>
        <v>-5085.7900000000009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tr">
        <f t="shared" si="1"/>
        <v>Véhicules neufsRev. Protections</v>
      </c>
      <c r="B22" s="12" t="str">
        <f t="shared" si="0"/>
        <v>Véhicules neufs</v>
      </c>
      <c r="C22" s="30" t="s">
        <v>27</v>
      </c>
      <c r="D22" s="31">
        <f>+INDEX('[5]Budget original'!$A$2:$AO$496,MATCH($A22,'[5]Budget original'!$A$2:$A$496,0),MATCH(D$2,'[5]Budget original'!$A$2:$AO$2,0))</f>
        <v>0</v>
      </c>
      <c r="E22" s="31">
        <f t="shared" si="17"/>
        <v>0</v>
      </c>
      <c r="F22" s="31">
        <f>+INDEX('[5]Budget original'!$A$2:$AO$496,MATCH($A22,'[5]Budget original'!$A$2:$A$496,0),MATCH(F$2,'[5]Budget original'!$A$2:$AO$2,0))</f>
        <v>52209.156944611699</v>
      </c>
      <c r="G22" s="42">
        <f>+INDEX('[5]Budget révisé'!$A$2:$AO$496,MATCH($A22,'[5]Budget révisé'!$A$2:$A$496,0),MATCH(G$2,'[5]Budget révisé'!$A$2:$AO$2,0))</f>
        <v>0</v>
      </c>
      <c r="H22" s="31">
        <f t="shared" si="18"/>
        <v>0</v>
      </c>
      <c r="I22" s="31">
        <f>+INDEX('[5]Budget révisé'!$A$2:$AO$496,MATCH($A22,'[5]Budget révisé'!$A$2:$A$496,0),MATCH(I$2,'[5]Budget révisé'!$A$2:$AO$2,0))</f>
        <v>52209.156944611699</v>
      </c>
      <c r="J22" s="32"/>
      <c r="K22" s="31">
        <f>IF(J13=0,0,L22/(J13+J15))</f>
        <v>763.56294117647053</v>
      </c>
      <c r="L22" s="34">
        <f>-SUMIFS([5]BV_Data_An_Cour!$O:$O,[5]BV_Data_An_Cour!$U:$U,$B22,[5]BV_Data_An_Cour!$V:$V,$C22,[5]BV_Data_An_Cour!$W:$W,L$2)</f>
        <v>51922.28</v>
      </c>
      <c r="M22" s="32"/>
      <c r="N22" s="34">
        <f t="shared" si="19"/>
        <v>-286.87694461170031</v>
      </c>
      <c r="O22" s="32"/>
      <c r="P22" s="31">
        <f>IF(O13=0,0,Q22/(O13+O15))</f>
        <v>607.75678571428568</v>
      </c>
      <c r="Q22" s="34">
        <f>-SUMIFS([5]BV_Data_An_Prec!$O:$O,[5]BV_Data_An_Prec!$U:$U,$B22,[5]BV_Data_An_Prec!$V:$V,$C22,[5]BV_Data_An_Prec!$W:$W,Q$2)</f>
        <v>51051.57</v>
      </c>
      <c r="R22" s="32">
        <f t="shared" si="20"/>
        <v>-763.56294117647053</v>
      </c>
      <c r="S22" s="35">
        <f t="shared" si="21"/>
        <v>870.70999999999913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tr">
        <f t="shared" si="1"/>
        <v>Véhicules neufsRev. Autres</v>
      </c>
      <c r="B23" s="12" t="str">
        <f t="shared" si="0"/>
        <v>Véhicules neufs</v>
      </c>
      <c r="C23" s="30" t="s">
        <v>28</v>
      </c>
      <c r="D23" s="31">
        <f>+INDEX('[5]Budget original'!$A$2:$AO$496,MATCH($A23,'[5]Budget original'!$A$2:$A$496,0),MATCH(D$2,'[5]Budget original'!$A$2:$AO$2,0))</f>
        <v>0</v>
      </c>
      <c r="E23" s="31">
        <f t="shared" si="17"/>
        <v>0</v>
      </c>
      <c r="F23" s="31">
        <f>+INDEX('[5]Budget original'!$A$2:$AO$496,MATCH($A23,'[5]Budget original'!$A$2:$A$496,0),MATCH(F$2,'[5]Budget original'!$A$2:$AO$2,0))</f>
        <v>1316.8481721934702</v>
      </c>
      <c r="G23" s="42">
        <f>+INDEX('[5]Budget révisé'!$A$2:$AO$496,MATCH($A23,'[5]Budget révisé'!$A$2:$A$496,0),MATCH(G$2,'[5]Budget révisé'!$A$2:$AO$2,0))</f>
        <v>0</v>
      </c>
      <c r="H23" s="31">
        <f t="shared" si="18"/>
        <v>0</v>
      </c>
      <c r="I23" s="31">
        <f>+INDEX('[5]Budget révisé'!$A$2:$AO$496,MATCH($A23,'[5]Budget révisé'!$A$2:$A$496,0),MATCH(I$2,'[5]Budget révisé'!$A$2:$AO$2,0))</f>
        <v>1316.8481721934702</v>
      </c>
      <c r="J23" s="32"/>
      <c r="K23" s="31">
        <f>IF(J13=0,0,L23/(J13+J15))</f>
        <v>14.451617647058825</v>
      </c>
      <c r="L23" s="34">
        <f>-SUMIFS([5]BV_Data_An_Cour!$O:$O,[5]BV_Data_An_Cour!$U:$U,$B23,[5]BV_Data_An_Cour!$V:$V,$C23,[5]BV_Data_An_Cour!$W:$W,L$2)</f>
        <v>982.71</v>
      </c>
      <c r="M23" s="52"/>
      <c r="N23" s="34">
        <f t="shared" si="19"/>
        <v>-334.13817219347015</v>
      </c>
      <c r="O23" s="32"/>
      <c r="P23" s="31">
        <f>IF(O13=0,0,Q23/(O13+O15))</f>
        <v>9.5772619047619045</v>
      </c>
      <c r="Q23" s="34">
        <f>-SUMIFS([5]BV_Data_An_Prec!$O:$O,[5]BV_Data_An_Prec!$U:$U,$B23,[5]BV_Data_An_Prec!$V:$V,$C23,[5]BV_Data_An_Prec!$W:$W,Q$2)</f>
        <v>804.49</v>
      </c>
      <c r="R23" s="32">
        <f t="shared" si="20"/>
        <v>-14.451617647058825</v>
      </c>
      <c r="S23" s="35">
        <f t="shared" si="21"/>
        <v>178.22000000000003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tr">
        <f t="shared" si="1"/>
        <v>Véhicules neufsTotal F&amp;I</v>
      </c>
      <c r="B24" s="12" t="str">
        <f t="shared" si="0"/>
        <v>Véhicules neufs</v>
      </c>
      <c r="C24" s="36" t="s">
        <v>29</v>
      </c>
      <c r="D24" s="37">
        <f>+D15+D13</f>
        <v>70.809067805835738</v>
      </c>
      <c r="E24" s="37">
        <f>IF(D24&lt;=0,0,F24/D24)</f>
        <v>850</v>
      </c>
      <c r="F24" s="38">
        <f>F21+F22+F23</f>
        <v>60187.707634960374</v>
      </c>
      <c r="G24" s="39">
        <f>+G15+G13</f>
        <v>70.809067805835738</v>
      </c>
      <c r="H24" s="37">
        <f>IF(G24&lt;=0,0,I24/G24)</f>
        <v>850</v>
      </c>
      <c r="I24" s="38">
        <f>I21+I22+I23</f>
        <v>60187.707634960374</v>
      </c>
      <c r="J24" s="39">
        <f>+J15+J13</f>
        <v>68</v>
      </c>
      <c r="K24" s="37">
        <f>IF(J24&lt;=0,0,L24/J24)</f>
        <v>871.99249999999995</v>
      </c>
      <c r="L24" s="38">
        <f>L21+L22+L23</f>
        <v>59295.49</v>
      </c>
      <c r="M24" s="59">
        <f>J24-G24</f>
        <v>-2.8090678058357383</v>
      </c>
      <c r="N24" s="38">
        <f t="shared" si="19"/>
        <v>-892.21763496037602</v>
      </c>
      <c r="O24" s="39">
        <f>+O15+O13</f>
        <v>84</v>
      </c>
      <c r="P24" s="37">
        <f>IF(O24&lt;=0,0,Q24/O24)</f>
        <v>753.95654761904757</v>
      </c>
      <c r="Q24" s="38">
        <f>Q21+Q22+Q23</f>
        <v>63332.35</v>
      </c>
      <c r="R24" s="57"/>
      <c r="S24" s="40">
        <f t="shared" si="21"/>
        <v>-4036.8600000000006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-1.4823917873258995E-2</v>
      </c>
      <c r="O25" s="42"/>
      <c r="P25" s="14"/>
      <c r="Q25" s="60"/>
      <c r="R25" s="61"/>
      <c r="S25" s="45">
        <f>IF(Q24=0,0,(S24/Q24))</f>
        <v>-6.3740884397941983E-2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63" t="s">
        <v>30</v>
      </c>
      <c r="D27" s="64">
        <f>+D13+D15+D17</f>
        <v>70.809067805835738</v>
      </c>
      <c r="E27" s="65">
        <f>IF(D27&lt;=0,0,F27/D27)</f>
        <v>1874.8216088180907</v>
      </c>
      <c r="F27" s="66">
        <f>F13+F17+F24+F19+F15</f>
        <v>132754.37042264623</v>
      </c>
      <c r="G27" s="67">
        <f>+G13+G15+G17</f>
        <v>73.257793165918457</v>
      </c>
      <c r="H27" s="68">
        <f>IF(G27&lt;=0,0,I27/G27)</f>
        <v>2199.7938599515692</v>
      </c>
      <c r="I27" s="66">
        <f>I13+I17+I24+I19+I15</f>
        <v>161152.04359998944</v>
      </c>
      <c r="J27" s="67">
        <f>+J13+J15+J17</f>
        <v>73</v>
      </c>
      <c r="K27" s="68">
        <f>IF(J27&lt;=0,0,L27/J27)</f>
        <v>2535.2978082191757</v>
      </c>
      <c r="L27" s="66">
        <f>L13+L17+L24+L19+L15</f>
        <v>185076.73999999985</v>
      </c>
      <c r="M27" s="67">
        <f>J27-G27</f>
        <v>-0.25779316591845713</v>
      </c>
      <c r="N27" s="66">
        <f>L27-I27</f>
        <v>23924.696400010405</v>
      </c>
      <c r="O27" s="67">
        <f>+O13+O15+O17</f>
        <v>84</v>
      </c>
      <c r="P27" s="68">
        <f>IF(O27&lt;=0,0,Q27/O27)</f>
        <v>1554.1773809523843</v>
      </c>
      <c r="Q27" s="66">
        <f>Q13+Q17+Q24+Q19+Q15</f>
        <v>130550.90000000029</v>
      </c>
      <c r="R27" s="67">
        <f>J27-O27</f>
        <v>-11</v>
      </c>
      <c r="S27" s="69">
        <f>L27-Q27</f>
        <v>54525.83999999956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-3.5189862371992611E-3</v>
      </c>
      <c r="N28" s="75">
        <f>N27/I27</f>
        <v>0.14846039718488543</v>
      </c>
      <c r="O28" s="73"/>
      <c r="P28" s="71"/>
      <c r="Q28" s="72"/>
      <c r="R28" s="74">
        <f>R27/O27</f>
        <v>-0.13095238095238096</v>
      </c>
      <c r="S28" s="76">
        <f>IF(Q27=0,0,S27/Q27)</f>
        <v>0.41765962547940644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30" t="s">
        <v>32</v>
      </c>
      <c r="D31" s="82"/>
      <c r="E31" s="83">
        <f t="shared" ref="E31:E40" si="22">F31/D$24</f>
        <v>372.5949475800295</v>
      </c>
      <c r="F31" s="31">
        <f>+INDEX('[5]Budget original'!$A$2:$AO$496,MATCH($A31,'[5]Budget original'!$A$2:$A$496,0),MATCH(F$2,'[5]Budget original'!$A$2:$AO$2,0))</f>
        <v>26383.100907306121</v>
      </c>
      <c r="G31" s="152">
        <f>I31/(I15+I13)</f>
        <v>0.28622244399772345</v>
      </c>
      <c r="H31" s="83">
        <f t="shared" ref="H31:H40" si="23">I31/G$24</f>
        <v>379.98583351662325</v>
      </c>
      <c r="I31" s="31">
        <f>+INDEX('[5]Budget révisé'!$A$2:$AO$496,MATCH($A31,'[5]Budget révisé'!$A$2:$A$496,0),MATCH(I$2,'[5]Budget révisé'!$A$2:$AO$2,0))</f>
        <v>26906.442650735586</v>
      </c>
      <c r="J31" s="152">
        <f>L31/(L15+L13)</f>
        <v>0.40075884700905418</v>
      </c>
      <c r="K31" s="83">
        <f t="shared" ref="K31:K40" si="24">IF(L31=0,0,L31/J$24)</f>
        <v>609.35205882352943</v>
      </c>
      <c r="L31" s="31">
        <f>SUMIFS([5]BV_Data_An_Cour!$O:$O,[5]BV_Data_An_Cour!$U:$U,$B31,[5]BV_Data_An_Cour!$V:$V,$C31,[5]BV_Data_An_Cour!$W:$W,L$2)</f>
        <v>41435.94</v>
      </c>
      <c r="M31" s="42"/>
      <c r="N31" s="60">
        <f t="shared" ref="N31:N53" si="25">L31-I31</f>
        <v>14529.497349264417</v>
      </c>
      <c r="O31" s="42"/>
      <c r="P31" s="83">
        <f t="shared" ref="P31:P40" si="26">IF(Q31=0,0,Q31/O$24)</f>
        <v>356.51678571428573</v>
      </c>
      <c r="Q31" s="34">
        <f>SUMIFS([5]BV_Data_An_Prec!$O:$O,[5]BV_Data_An_Prec!$U:$U,$B31,[5]BV_Data_An_Prec!$V:$V,$C31,[5]BV_Data_An_Prec!$W:$W,Q$2)</f>
        <v>29947.41</v>
      </c>
      <c r="R31" s="42"/>
      <c r="S31" s="86">
        <f t="shared" ref="S31:S53" si="27">L31-Q31</f>
        <v>11488.530000000002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8" t="s">
        <v>33</v>
      </c>
      <c r="D32" s="89"/>
      <c r="E32" s="90">
        <f t="shared" si="22"/>
        <v>255</v>
      </c>
      <c r="F32" s="23">
        <f>+INDEX('[5]Budget original'!$A$2:$AO$496,MATCH($A32,'[5]Budget original'!$A$2:$A$496,0),MATCH(F$2,'[5]Budget original'!$A$2:$AO$2,0))</f>
        <v>18056.312290488113</v>
      </c>
      <c r="G32" s="93">
        <f>I32/I24</f>
        <v>0.3</v>
      </c>
      <c r="H32" s="92">
        <f t="shared" si="23"/>
        <v>255</v>
      </c>
      <c r="I32" s="23">
        <f>+INDEX('[5]Budget révisé'!$A$2:$AO$496,MATCH($A32,'[5]Budget révisé'!$A$2:$A$496,0),MATCH(I$2,'[5]Budget révisé'!$A$2:$AO$2,0))</f>
        <v>18056.312290488113</v>
      </c>
      <c r="J32" s="493">
        <f>L32/L24</f>
        <v>0.31930792712902789</v>
      </c>
      <c r="K32" s="90">
        <f t="shared" si="24"/>
        <v>278.43411764705883</v>
      </c>
      <c r="L32" s="23">
        <f>SUMIFS([5]BV_Data_An_Cour!$O:$O,[5]BV_Data_An_Cour!$U:$U,$B32,[5]BV_Data_An_Cour!$V:$V,$C32,[5]BV_Data_An_Cour!$W:$W,L$2)</f>
        <v>18933.52</v>
      </c>
      <c r="M32" s="24"/>
      <c r="N32" s="94">
        <f t="shared" si="25"/>
        <v>877.20770951188751</v>
      </c>
      <c r="O32" s="24"/>
      <c r="P32" s="90">
        <f t="shared" si="26"/>
        <v>201.43083333333331</v>
      </c>
      <c r="Q32" s="23">
        <f>SUMIFS([5]BV_Data_An_Prec!$O:$O,[5]BV_Data_An_Prec!$U:$U,$B32,[5]BV_Data_An_Prec!$V:$V,$C32,[5]BV_Data_An_Prec!$W:$W,Q$2)</f>
        <v>16920.189999999999</v>
      </c>
      <c r="R32" s="24"/>
      <c r="S32" s="95">
        <f t="shared" si="27"/>
        <v>2013.3300000000017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30" t="s">
        <v>34</v>
      </c>
      <c r="D33" s="82"/>
      <c r="E33" s="83">
        <f t="shared" si="22"/>
        <v>197</v>
      </c>
      <c r="F33" s="31">
        <f>+INDEX('[5]Budget original'!$A$2:$AO$496,MATCH($A33,'[5]Budget original'!$A$2:$A$496,0),MATCH(F$2,'[5]Budget original'!$A$2:$AO$2,0))</f>
        <v>13949.386357749641</v>
      </c>
      <c r="G33" s="84"/>
      <c r="H33" s="83">
        <f t="shared" si="23"/>
        <v>197</v>
      </c>
      <c r="I33" s="31">
        <f>+INDEX('[5]Budget révisé'!$A$2:$AO$496,MATCH($A33,'[5]Budget révisé'!$A$2:$A$496,0),MATCH(I$2,'[5]Budget révisé'!$A$2:$AO$2,0))</f>
        <v>13949.386357749641</v>
      </c>
      <c r="J33" s="42"/>
      <c r="K33" s="83">
        <f t="shared" si="24"/>
        <v>186.22485294117649</v>
      </c>
      <c r="L33" s="31">
        <f>SUMIFS([5]BV_Data_An_Cour!$O:$O,[5]BV_Data_An_Cour!$U:$U,$B33,[5]BV_Data_An_Cour!$V:$V,$C33,[5]BV_Data_An_Cour!$W:$W,L$2)</f>
        <v>12663.29</v>
      </c>
      <c r="M33" s="42"/>
      <c r="N33" s="60">
        <f t="shared" si="25"/>
        <v>-1286.0963577496404</v>
      </c>
      <c r="O33" s="42"/>
      <c r="P33" s="83">
        <f t="shared" si="26"/>
        <v>160.20166666666668</v>
      </c>
      <c r="Q33" s="34">
        <f>SUMIFS([5]BV_Data_An_Prec!$O:$O,[5]BV_Data_An_Prec!$U:$U,$B33,[5]BV_Data_An_Prec!$V:$V,$C33,[5]BV_Data_An_Prec!$W:$W,Q$2)</f>
        <v>13456.94</v>
      </c>
      <c r="R33" s="42"/>
      <c r="S33" s="86">
        <f t="shared" si="27"/>
        <v>-793.64999999999964</v>
      </c>
      <c r="T33" s="14"/>
      <c r="U33" s="14"/>
      <c r="V33" s="12"/>
      <c r="W33" s="12">
        <f>L24*0.3</f>
        <v>17788.646999999997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30" t="s">
        <v>35</v>
      </c>
      <c r="D34" s="82"/>
      <c r="E34" s="83">
        <f t="shared" si="22"/>
        <v>6</v>
      </c>
      <c r="F34" s="31">
        <f>+INDEX('[5]Budget original'!$A$2:$AO$496,MATCH($A34,'[5]Budget original'!$A$2:$A$496,0),MATCH(F$2,'[5]Budget original'!$A$2:$AO$2,0))</f>
        <v>424.8544068350144</v>
      </c>
      <c r="G34" s="84"/>
      <c r="H34" s="83">
        <f t="shared" si="23"/>
        <v>6</v>
      </c>
      <c r="I34" s="31">
        <f>+INDEX('[5]Budget révisé'!$A$2:$AO$496,MATCH($A34,'[5]Budget révisé'!$A$2:$A$496,0),MATCH(I$2,'[5]Budget révisé'!$A$2:$AO$2,0))</f>
        <v>424.8544068350144</v>
      </c>
      <c r="J34" s="42"/>
      <c r="K34" s="83">
        <f t="shared" si="24"/>
        <v>10.717647058823529</v>
      </c>
      <c r="L34" s="31">
        <f>SUMIFS([5]BV_Data_An_Cour!$O:$O,[5]BV_Data_An_Cour!$U:$U,$B34,[5]BV_Data_An_Cour!$V:$V,$C34,[5]BV_Data_An_Cour!$W:$W,L$2)</f>
        <v>728.8</v>
      </c>
      <c r="M34" s="42"/>
      <c r="N34" s="60">
        <f t="shared" si="25"/>
        <v>303.94559316498555</v>
      </c>
      <c r="O34" s="42"/>
      <c r="P34" s="83">
        <f t="shared" si="26"/>
        <v>0</v>
      </c>
      <c r="Q34" s="34">
        <f>SUMIFS([5]BV_Data_An_Prec!$O:$O,[5]BV_Data_An_Prec!$U:$U,$B34,[5]BV_Data_An_Prec!$V:$V,$C34,[5]BV_Data_An_Prec!$W:$W,Q$2)</f>
        <v>0</v>
      </c>
      <c r="R34" s="42"/>
      <c r="S34" s="86">
        <f t="shared" si="27"/>
        <v>728.8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8" t="s">
        <v>36</v>
      </c>
      <c r="D35" s="89"/>
      <c r="E35" s="90">
        <f t="shared" si="22"/>
        <v>34</v>
      </c>
      <c r="F35" s="23">
        <f>+INDEX('[5]Budget original'!$A$2:$AO$496,MATCH($A35,'[5]Budget original'!$A$2:$A$496,0),MATCH(F$2,'[5]Budget original'!$A$2:$AO$2,0))</f>
        <v>2407.5083053984149</v>
      </c>
      <c r="G35" s="91"/>
      <c r="H35" s="92">
        <f t="shared" si="23"/>
        <v>34</v>
      </c>
      <c r="I35" s="23">
        <f>+INDEX('[5]Budget révisé'!$A$2:$AO$496,MATCH($A35,'[5]Budget révisé'!$A$2:$A$496,0),MATCH(I$2,'[5]Budget révisé'!$A$2:$AO$2,0))</f>
        <v>2407.5083053984149</v>
      </c>
      <c r="J35" s="24"/>
      <c r="K35" s="90">
        <f t="shared" si="24"/>
        <v>13.796029411764707</v>
      </c>
      <c r="L35" s="23">
        <f>SUMIFS([5]BV_Data_An_Cour!$O:$O,[5]BV_Data_An_Cour!$U:$U,$B35,[5]BV_Data_An_Cour!$V:$V,$C35,[5]BV_Data_An_Cour!$W:$W,L$2)</f>
        <v>938.13</v>
      </c>
      <c r="M35" s="24"/>
      <c r="N35" s="94">
        <f t="shared" si="25"/>
        <v>-1469.3783053984148</v>
      </c>
      <c r="O35" s="24"/>
      <c r="P35" s="90">
        <f t="shared" si="26"/>
        <v>14.538690476190476</v>
      </c>
      <c r="Q35" s="34">
        <f>SUMIFS([5]BV_Data_An_Prec!$O:$O,[5]BV_Data_An_Prec!$U:$U,$B35,[5]BV_Data_An_Prec!$V:$V,$C35,[5]BV_Data_An_Prec!$W:$W,Q$2)</f>
        <v>1221.25</v>
      </c>
      <c r="R35" s="24"/>
      <c r="S35" s="95">
        <f t="shared" si="27"/>
        <v>-283.12</v>
      </c>
      <c r="T35" s="14"/>
      <c r="U35" s="14"/>
      <c r="V35" s="12"/>
      <c r="W35" s="87">
        <f>L32-W33</f>
        <v>1144.8730000000032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30" t="s">
        <v>37</v>
      </c>
      <c r="D36" s="82"/>
      <c r="E36" s="83">
        <f t="shared" si="22"/>
        <v>180.66964285714283</v>
      </c>
      <c r="F36" s="31">
        <f>+INDEX('[5]Budget original'!$A$2:$AO$496,MATCH($A36,'[5]Budget original'!$A$2:$A$496,0),MATCH(F$2,'[5]Budget original'!$A$2:$AO$2,0))</f>
        <v>12793.048991527554</v>
      </c>
      <c r="G36" s="84"/>
      <c r="H36" s="83">
        <f t="shared" si="23"/>
        <v>180.66964285714283</v>
      </c>
      <c r="I36" s="31">
        <f>+INDEX('[5]Budget révisé'!$A$2:$AO$496,MATCH($A36,'[5]Budget révisé'!$A$2:$A$496,0),MATCH(I$2,'[5]Budget révisé'!$A$2:$AO$2,0))</f>
        <v>12793.048991527554</v>
      </c>
      <c r="J36" s="42"/>
      <c r="K36" s="83">
        <f t="shared" si="24"/>
        <v>179.49602941176471</v>
      </c>
      <c r="L36" s="96">
        <f>SUMIFS([5]BV_Data_An_Cour!$O:$O,[5]BV_Data_An_Cour!$U:$U,$B36,[5]BV_Data_An_Cour!$V:$V,$C36,[5]BV_Data_An_Cour!$W:$W,L$2)</f>
        <v>12205.73</v>
      </c>
      <c r="M36" s="14"/>
      <c r="N36" s="60">
        <f t="shared" si="25"/>
        <v>-587.31899152755432</v>
      </c>
      <c r="O36" s="42"/>
      <c r="P36" s="83">
        <f t="shared" si="26"/>
        <v>76.071428571428569</v>
      </c>
      <c r="Q36" s="56">
        <f>SUMIFS([5]BV_Data_An_Prec!$O:$O,[5]BV_Data_An_Prec!$U:$U,$B36,[5]BV_Data_An_Prec!$V:$V,$C36,[5]BV_Data_An_Prec!$W:$W,Q$2)</f>
        <v>6390</v>
      </c>
      <c r="R36" s="42"/>
      <c r="S36" s="86">
        <f t="shared" si="27"/>
        <v>5815.73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30" t="s">
        <v>38</v>
      </c>
      <c r="D37" s="82"/>
      <c r="E37" s="83">
        <f t="shared" si="22"/>
        <v>217.69013643374319</v>
      </c>
      <c r="F37" s="31">
        <f>+INDEX('[5]Budget original'!$A$2:$AO$496,MATCH($A37,'[5]Budget original'!$A$2:$A$496,0),MATCH(F$2,'[5]Budget original'!$A$2:$AO$2,0))</f>
        <v>15414.435631398555</v>
      </c>
      <c r="G37" s="84"/>
      <c r="H37" s="83">
        <f t="shared" si="23"/>
        <v>219.7935456700142</v>
      </c>
      <c r="I37" s="31">
        <f>+INDEX('[5]Budget révisé'!$A$2:$AO$496,MATCH($A37,'[5]Budget révisé'!$A$2:$A$496,0),MATCH(I$2,'[5]Budget révisé'!$A$2:$AO$2,0))</f>
        <v>15563.376078633089</v>
      </c>
      <c r="J37" s="42"/>
      <c r="K37" s="83">
        <f t="shared" si="24"/>
        <v>226.95058823529411</v>
      </c>
      <c r="L37" s="97">
        <f>SUMIFS([5]BV_Data_An_Cour!$O:$O,[5]BV_Data_An_Cour!$U:$U,$B37,[5]BV_Data_An_Cour!$V:$V,$C37,[5]BV_Data_An_Cour!$W:$W,L$2)</f>
        <v>15432.64</v>
      </c>
      <c r="M37" s="14"/>
      <c r="N37" s="60">
        <f t="shared" si="25"/>
        <v>-130.73607863309007</v>
      </c>
      <c r="O37" s="42"/>
      <c r="P37" s="83">
        <f t="shared" si="26"/>
        <v>235.93357142857141</v>
      </c>
      <c r="Q37" s="34">
        <f>SUMIFS([5]BV_Data_An_Prec!$O:$O,[5]BV_Data_An_Prec!$U:$U,$B37,[5]BV_Data_An_Prec!$V:$V,$C37,[5]BV_Data_An_Prec!$W:$W,Q$2)</f>
        <v>19818.419999999998</v>
      </c>
      <c r="R37" s="42"/>
      <c r="S37" s="86">
        <f t="shared" si="27"/>
        <v>-4385.7799999999988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30" t="s">
        <v>21</v>
      </c>
      <c r="D38" s="82"/>
      <c r="E38" s="83">
        <f t="shared" si="22"/>
        <v>0</v>
      </c>
      <c r="F38" s="31">
        <f>+INDEX('[5]Budget original'!$A$2:$AO$496,MATCH($A38,'[5]Budget original'!$A$2:$A$496,0),MATCH(F$2,'[5]Budget original'!$A$2:$AO$2,0))</f>
        <v>0</v>
      </c>
      <c r="G38" s="84"/>
      <c r="H38" s="83">
        <f t="shared" si="23"/>
        <v>0</v>
      </c>
      <c r="I38" s="31">
        <f>+INDEX('[5]Budget révisé'!$A$2:$AO$496,MATCH($A38,'[5]Budget révisé'!$A$2:$A$496,0),MATCH(I$2,'[5]Budget révisé'!$A$2:$AO$2,0))</f>
        <v>0</v>
      </c>
      <c r="J38" s="42"/>
      <c r="K38" s="83">
        <f t="shared" si="24"/>
        <v>0</v>
      </c>
      <c r="L38" s="97">
        <f>SUMIFS([5]BV_Data_An_Cour!$O:$O,[5]BV_Data_An_Cour!$U:$U,$B38,[5]BV_Data_An_Cour!$V:$V,$C38,[5]BV_Data_An_Cour!$W:$W,L$2)</f>
        <v>0</v>
      </c>
      <c r="M38" s="14"/>
      <c r="N38" s="60">
        <f t="shared" si="25"/>
        <v>0</v>
      </c>
      <c r="O38" s="42"/>
      <c r="P38" s="83">
        <f t="shared" si="26"/>
        <v>0</v>
      </c>
      <c r="Q38" s="34">
        <f>SUMIFS([5]BV_Data_An_Prec!$O:$O,[5]BV_Data_An_Prec!$U:$U,$B38,[5]BV_Data_An_Prec!$V:$V,$C38,[5]BV_Data_An_Prec!$W:$W,Q$2)</f>
        <v>0</v>
      </c>
      <c r="R38" s="42"/>
      <c r="S38" s="86">
        <f t="shared" si="27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30" t="s">
        <v>21</v>
      </c>
      <c r="D39" s="82"/>
      <c r="E39" s="83">
        <f t="shared" si="22"/>
        <v>0</v>
      </c>
      <c r="F39" s="31">
        <f>+INDEX('[5]Budget original'!$A$2:$AO$496,MATCH($A39,'[5]Budget original'!$A$2:$A$496,0),MATCH(F$2,'[5]Budget original'!$A$2:$AO$2,0))</f>
        <v>0</v>
      </c>
      <c r="G39" s="84"/>
      <c r="H39" s="83">
        <f t="shared" si="23"/>
        <v>0</v>
      </c>
      <c r="I39" s="31">
        <f>+INDEX('[5]Budget révisé'!$A$2:$AO$496,MATCH($A39,'[5]Budget révisé'!$A$2:$A$496,0),MATCH(I$2,'[5]Budget révisé'!$A$2:$AO$2,0))</f>
        <v>0</v>
      </c>
      <c r="J39" s="42"/>
      <c r="K39" s="83">
        <f t="shared" si="24"/>
        <v>0</v>
      </c>
      <c r="L39" s="97">
        <f>SUMIFS([5]BV_Data_An_Cour!$O:$O,[5]BV_Data_An_Cour!$U:$U,$B39,[5]BV_Data_An_Cour!$V:$V,$C39,[5]BV_Data_An_Cour!$W:$W,L$2)</f>
        <v>0</v>
      </c>
      <c r="M39" s="14"/>
      <c r="N39" s="60">
        <f t="shared" si="25"/>
        <v>0</v>
      </c>
      <c r="O39" s="42"/>
      <c r="P39" s="83">
        <f t="shared" si="26"/>
        <v>0</v>
      </c>
      <c r="Q39" s="34">
        <f>SUMIFS([5]BV_Data_An_Prec!$O:$O,[5]BV_Data_An_Prec!$U:$U,$B39,[5]BV_Data_An_Prec!$V:$V,$C39,[5]BV_Data_An_Prec!$W:$W,Q$2)</f>
        <v>0</v>
      </c>
      <c r="R39" s="42"/>
      <c r="S39" s="86">
        <f t="shared" si="27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30" t="s">
        <v>21</v>
      </c>
      <c r="D40" s="82"/>
      <c r="E40" s="83">
        <f t="shared" si="22"/>
        <v>0</v>
      </c>
      <c r="F40" s="31">
        <f>+INDEX('[5]Budget original'!$A$2:$AO$496,MATCH($A40,'[5]Budget original'!$A$2:$A$496,0),MATCH(F$2,'[5]Budget original'!$A$2:$AO$2,0))</f>
        <v>0</v>
      </c>
      <c r="G40" s="84"/>
      <c r="H40" s="83">
        <f t="shared" si="23"/>
        <v>0</v>
      </c>
      <c r="I40" s="31">
        <f>+INDEX('[5]Budget révisé'!$A$2:$AO$496,MATCH($A40,'[5]Budget révisé'!$A$2:$A$496,0),MATCH(I$2,'[5]Budget révisé'!$A$2:$AO$2,0))</f>
        <v>0</v>
      </c>
      <c r="J40" s="42"/>
      <c r="K40" s="83">
        <f t="shared" si="24"/>
        <v>0</v>
      </c>
      <c r="L40" s="98">
        <f>SUMIFS([5]BV_Data_An_Cour!$O:$O,[5]BV_Data_An_Cour!$U:$U,$B40,[5]BV_Data_An_Cour!$V:$V,$C40,[5]BV_Data_An_Cour!$W:$W,L$2)</f>
        <v>0</v>
      </c>
      <c r="M40" s="14"/>
      <c r="N40" s="60">
        <f t="shared" si="25"/>
        <v>0</v>
      </c>
      <c r="O40" s="42"/>
      <c r="P40" s="83">
        <f t="shared" si="26"/>
        <v>0</v>
      </c>
      <c r="Q40" s="34">
        <f>SUMIFS([5]BV_Data_An_Prec!$O:$O,[5]BV_Data_An_Prec!$U:$U,$B40,[5]BV_Data_An_Prec!$V:$V,$C40,[5]BV_Data_An_Prec!$W:$W,Q$2)</f>
        <v>0</v>
      </c>
      <c r="R40" s="42"/>
      <c r="S40" s="86">
        <f t="shared" si="27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9" t="s">
        <v>39</v>
      </c>
      <c r="D41" s="100" t="s">
        <v>40</v>
      </c>
      <c r="E41" s="101">
        <f>F41/F$27</f>
        <v>0.67363994575841102</v>
      </c>
      <c r="F41" s="102">
        <f>SUM(F31:F40)</f>
        <v>89428.646890703414</v>
      </c>
      <c r="G41" s="103" t="s">
        <v>40</v>
      </c>
      <c r="H41" s="101">
        <f>I41/I$27</f>
        <v>0.55910509769901129</v>
      </c>
      <c r="I41" s="102">
        <f>SUM(I31:I40)</f>
        <v>90100.929081367416</v>
      </c>
      <c r="J41" s="103" t="s">
        <v>40</v>
      </c>
      <c r="K41" s="101">
        <f>L41/L$27</f>
        <v>0.55294927930976134</v>
      </c>
      <c r="L41" s="102">
        <f>SUM(L31:L40)</f>
        <v>102338.05</v>
      </c>
      <c r="M41" s="104"/>
      <c r="N41" s="102">
        <f t="shared" si="25"/>
        <v>12237.120918632587</v>
      </c>
      <c r="O41" s="103" t="s">
        <v>40</v>
      </c>
      <c r="P41" s="101">
        <f>Q41/Q$27</f>
        <v>0.67218387617396602</v>
      </c>
      <c r="Q41" s="105">
        <f>SUM(Q31:Q40)</f>
        <v>87754.21</v>
      </c>
      <c r="R41" s="106"/>
      <c r="S41" s="107">
        <f t="shared" si="27"/>
        <v>14583.839999999997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108" t="s">
        <v>42</v>
      </c>
      <c r="D42" s="14"/>
      <c r="E42" s="14"/>
      <c r="F42" s="31">
        <f>+INDEX('[5]Budget original'!$A$2:$AO$496,MATCH($A42,'[5]Budget original'!$A$2:$A$496,0),MATCH(F$2,'[5]Budget original'!$A$2:$AO$2,0))</f>
        <v>24368.631609195403</v>
      </c>
      <c r="G42" s="42"/>
      <c r="H42" s="14"/>
      <c r="I42" s="31">
        <f>+INDEX('[5]Budget révisé'!$A$2:$AO$496,MATCH($A42,'[5]Budget révisé'!$A$2:$A$496,0),MATCH(I$2,'[5]Budget révisé'!$A$2:$AO$2,0))</f>
        <v>24368.631609195403</v>
      </c>
      <c r="J42" s="42"/>
      <c r="K42" s="14"/>
      <c r="L42" s="34">
        <f>SUMIFS([5]BV_Data_An_Cour!$O:$O,[5]BV_Data_An_Cour!$U:$U,$B42,[5]BV_Data_An_Cour!$V:$V,$C42,[5]BV_Data_An_Cour!$W:$W,L$2)</f>
        <v>23208.79</v>
      </c>
      <c r="M42" s="42"/>
      <c r="N42" s="60">
        <f t="shared" si="25"/>
        <v>-1159.8416091954023</v>
      </c>
      <c r="O42" s="42"/>
      <c r="P42" s="14"/>
      <c r="Q42" s="34">
        <f>SUMIFS([5]BV_Data_An_Prec!$O:$O,[5]BV_Data_An_Prec!$U:$U,$B42,[5]BV_Data_An_Prec!$V:$V,$C42,[5]BV_Data_An_Prec!$W:$W,Q$2)</f>
        <v>18256.72</v>
      </c>
      <c r="R42" s="42"/>
      <c r="S42" s="86">
        <f t="shared" si="27"/>
        <v>4952.07</v>
      </c>
      <c r="T42" s="14"/>
      <c r="U42" s="14" t="s">
        <v>238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9" t="s">
        <v>43</v>
      </c>
      <c r="D43" s="82"/>
      <c r="E43" s="14"/>
      <c r="F43" s="23">
        <f>+INDEX('[5]Budget original'!$A$2:$AO$496,MATCH($A43,'[5]Budget original'!$A$2:$A$496,0),MATCH(F$2,'[5]Budget original'!$A$2:$AO$2,0))</f>
        <v>9573.4805155862086</v>
      </c>
      <c r="G43" s="84"/>
      <c r="H43" s="14"/>
      <c r="I43" s="23">
        <f>+INDEX('[5]Budget révisé'!$A$2:$AO$496,MATCH($A43,'[5]Budget révisé'!$A$2:$A$496,0),MATCH(I$2,'[5]Budget révisé'!$A$2:$AO$2,0))</f>
        <v>9573.4805155862086</v>
      </c>
      <c r="J43" s="42"/>
      <c r="K43" s="14"/>
      <c r="L43" s="34">
        <f>SUMIFS([5]BV_Data_An_Cour!$O:$O,[5]BV_Data_An_Cour!$U:$U,$B43,[5]BV_Data_An_Cour!$V:$V,$C43,[5]BV_Data_An_Cour!$W:$W,L$2)</f>
        <v>9482.66</v>
      </c>
      <c r="M43" s="42"/>
      <c r="N43" s="60">
        <f t="shared" si="25"/>
        <v>-90.820515586208785</v>
      </c>
      <c r="O43" s="42"/>
      <c r="P43" s="14"/>
      <c r="Q43" s="34">
        <f>SUMIFS([5]BV_Data_An_Prec!$O:$O,[5]BV_Data_An_Prec!$U:$U,$B43,[5]BV_Data_An_Prec!$V:$V,$C43,[5]BV_Data_An_Prec!$W:$W,Q$2)</f>
        <v>8581.81</v>
      </c>
      <c r="R43" s="42"/>
      <c r="S43" s="86">
        <f t="shared" si="27"/>
        <v>900.85000000000036</v>
      </c>
      <c r="T43" s="14"/>
      <c r="U43" s="14"/>
      <c r="V43" s="12" t="s">
        <v>239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108" t="s">
        <v>44</v>
      </c>
      <c r="D44" s="110"/>
      <c r="E44" s="111"/>
      <c r="F44" s="31">
        <f>+INDEX('[5]Budget original'!$A$2:$AO$496,MATCH($A44,'[5]Budget original'!$A$2:$A$496,0),MATCH(F$2,'[5]Budget original'!$A$2:$AO$2,0))</f>
        <v>6032.6672478896544</v>
      </c>
      <c r="G44" s="112"/>
      <c r="H44" s="111"/>
      <c r="I44" s="31">
        <f>+INDEX('[5]Budget révisé'!$A$2:$AO$496,MATCH($A44,'[5]Budget révisé'!$A$2:$A$496,0),MATCH(I$2,'[5]Budget révisé'!$A$2:$AO$2,0))</f>
        <v>6032.6672478896544</v>
      </c>
      <c r="J44" s="113"/>
      <c r="K44" s="111"/>
      <c r="L44" s="114">
        <f>SUMIFS([5]BV_Data_An_Cour!$O:$O,[5]BV_Data_An_Cour!$U:$U,$B44,[5]BV_Data_An_Cour!$V:$V,$C44,[5]BV_Data_An_Cour!$W:$W,L$2)</f>
        <v>9954.6200000000008</v>
      </c>
      <c r="M44" s="113"/>
      <c r="N44" s="115">
        <f t="shared" si="25"/>
        <v>3921.9527521103464</v>
      </c>
      <c r="O44" s="113"/>
      <c r="P44" s="111"/>
      <c r="Q44" s="114">
        <f>SUMIFS([5]BV_Data_An_Prec!$O:$O,[5]BV_Data_An_Prec!$U:$U,$B44,[5]BV_Data_An_Prec!$V:$V,$C44,[5]BV_Data_An_Prec!$W:$W,Q$2)</f>
        <v>6784.68</v>
      </c>
      <c r="R44" s="113"/>
      <c r="S44" s="116">
        <f t="shared" si="27"/>
        <v>3169.9400000000005</v>
      </c>
      <c r="T44" s="14"/>
      <c r="U44" s="14" t="s">
        <v>240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108" t="s">
        <v>45</v>
      </c>
      <c r="D45" s="82"/>
      <c r="E45" s="14"/>
      <c r="F45" s="31">
        <f>+INDEX('[5]Budget original'!$A$2:$AO$496,MATCH($A45,'[5]Budget original'!$A$2:$A$496,0),MATCH(F$2,'[5]Budget original'!$A$2:$AO$2,0))</f>
        <v>0</v>
      </c>
      <c r="G45" s="84"/>
      <c r="H45" s="14"/>
      <c r="I45" s="31">
        <f>+INDEX('[5]Budget révisé'!$A$2:$AO$496,MATCH($A45,'[5]Budget révisé'!$A$2:$A$496,0),MATCH(I$2,'[5]Budget révisé'!$A$2:$AO$2,0))</f>
        <v>0</v>
      </c>
      <c r="J45" s="42"/>
      <c r="K45" s="14"/>
      <c r="L45" s="34">
        <f>SUMIFS([5]BV_Data_An_Cour!$O:$O,[5]BV_Data_An_Cour!$U:$U,$B45,[5]BV_Data_An_Cour!$V:$V,$C45,[5]BV_Data_An_Cour!$W:$W,L$2)</f>
        <v>0</v>
      </c>
      <c r="M45" s="42"/>
      <c r="N45" s="60">
        <f t="shared" si="25"/>
        <v>0</v>
      </c>
      <c r="O45" s="42"/>
      <c r="P45" s="14"/>
      <c r="Q45" s="34">
        <f>SUMIFS([5]BV_Data_An_Prec!$O:$O,[5]BV_Data_An_Prec!$U:$U,$B45,[5]BV_Data_An_Prec!$V:$V,$C45,[5]BV_Data_An_Prec!$W:$W,Q$2)</f>
        <v>0</v>
      </c>
      <c r="R45" s="42"/>
      <c r="S45" s="86">
        <f t="shared" si="27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108" t="s">
        <v>21</v>
      </c>
      <c r="D46" s="82"/>
      <c r="E46" s="14"/>
      <c r="F46" s="31">
        <f>+INDEX('[5]Budget original'!$A$2:$AO$496,MATCH($A46,'[5]Budget original'!$A$2:$A$496,0),MATCH(F$2,'[5]Budget original'!$A$2:$AO$2,0))</f>
        <v>0</v>
      </c>
      <c r="G46" s="84"/>
      <c r="H46" s="14"/>
      <c r="I46" s="31">
        <f>+INDEX('[5]Budget révisé'!$A$2:$AO$496,MATCH($A46,'[5]Budget révisé'!$A$2:$A$496,0),MATCH(I$2,'[5]Budget révisé'!$A$2:$AO$2,0))</f>
        <v>0</v>
      </c>
      <c r="J46" s="42"/>
      <c r="K46" s="14"/>
      <c r="L46" s="34">
        <f>SUMIFS([5]BV_Data_An_Cour!$O:$O,[5]BV_Data_An_Cour!$U:$U,$B46,[5]BV_Data_An_Cour!$V:$V,$C46,[5]BV_Data_An_Cour!$W:$W,L$2)</f>
        <v>0</v>
      </c>
      <c r="M46" s="42"/>
      <c r="N46" s="60">
        <f t="shared" si="25"/>
        <v>0</v>
      </c>
      <c r="O46" s="42"/>
      <c r="P46" s="14"/>
      <c r="Q46" s="34">
        <f>SUMIFS([5]BV_Data_An_Prec!$O:$O,[5]BV_Data_An_Prec!$U:$U,$B46,[5]BV_Data_An_Prec!$V:$V,$C46,[5]BV_Data_An_Prec!$W:$W,Q$2)</f>
        <v>0</v>
      </c>
      <c r="R46" s="42"/>
      <c r="S46" s="86">
        <f t="shared" si="27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108" t="s">
        <v>21</v>
      </c>
      <c r="D47" s="82"/>
      <c r="E47" s="14"/>
      <c r="F47" s="31">
        <f>+INDEX('[5]Budget original'!$A$2:$AO$496,MATCH($A47,'[5]Budget original'!$A$2:$A$496,0),MATCH(F$2,'[5]Budget original'!$A$2:$AO$2,0))</f>
        <v>0</v>
      </c>
      <c r="G47" s="84"/>
      <c r="H47" s="14"/>
      <c r="I47" s="31">
        <f>+INDEX('[5]Budget révisé'!$A$2:$AO$496,MATCH($A47,'[5]Budget révisé'!$A$2:$A$496,0),MATCH(I$2,'[5]Budget révisé'!$A$2:$AO$2,0))</f>
        <v>0</v>
      </c>
      <c r="J47" s="42"/>
      <c r="K47" s="14"/>
      <c r="L47" s="34">
        <f>SUMIFS([5]BV_Data_An_Cour!$O:$O,[5]BV_Data_An_Cour!$U:$U,$B47,[5]BV_Data_An_Cour!$V:$V,$C47,[5]BV_Data_An_Cour!$W:$W,L$2)</f>
        <v>0</v>
      </c>
      <c r="M47" s="42"/>
      <c r="N47" s="60">
        <f t="shared" si="25"/>
        <v>0</v>
      </c>
      <c r="O47" s="42"/>
      <c r="P47" s="14"/>
      <c r="Q47" s="34">
        <f>SUMIFS([5]BV_Data_An_Prec!$O:$O,[5]BV_Data_An_Prec!$U:$U,$B47,[5]BV_Data_An_Prec!$V:$V,$C47,[5]BV_Data_An_Prec!$W:$W,Q$2)</f>
        <v>0</v>
      </c>
      <c r="R47" s="42"/>
      <c r="S47" s="86">
        <f t="shared" si="27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108" t="s">
        <v>21</v>
      </c>
      <c r="D48" s="82"/>
      <c r="E48" s="14"/>
      <c r="F48" s="31">
        <f>+INDEX('[5]Budget original'!$A$2:$AO$496,MATCH($A48,'[5]Budget original'!$A$2:$A$496,0),MATCH(F$2,'[5]Budget original'!$A$2:$AO$2,0))</f>
        <v>0</v>
      </c>
      <c r="G48" s="84"/>
      <c r="H48" s="14"/>
      <c r="I48" s="31">
        <f>+INDEX('[5]Budget révisé'!$A$2:$AO$496,MATCH($A48,'[5]Budget révisé'!$A$2:$A$496,0),MATCH(I$2,'[5]Budget révisé'!$A$2:$AO$2,0))</f>
        <v>0</v>
      </c>
      <c r="J48" s="42"/>
      <c r="K48" s="14"/>
      <c r="L48" s="34">
        <f>SUMIFS([5]BV_Data_An_Cour!$O:$O,[5]BV_Data_An_Cour!$U:$U,$B48,[5]BV_Data_An_Cour!$V:$V,$C48,[5]BV_Data_An_Cour!$W:$W,L$2)</f>
        <v>0</v>
      </c>
      <c r="M48" s="42"/>
      <c r="N48" s="60">
        <f t="shared" si="25"/>
        <v>0</v>
      </c>
      <c r="O48" s="42"/>
      <c r="P48" s="14"/>
      <c r="Q48" s="34">
        <f>SUMIFS([5]BV_Data_An_Prec!$O:$O,[5]BV_Data_An_Prec!$U:$U,$B48,[5]BV_Data_An_Prec!$V:$V,$C48,[5]BV_Data_An_Prec!$W:$W,Q$2)</f>
        <v>0</v>
      </c>
      <c r="R48" s="42"/>
      <c r="S48" s="86">
        <f t="shared" si="27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9" t="s">
        <v>46</v>
      </c>
      <c r="D49" s="82"/>
      <c r="E49" s="14"/>
      <c r="F49" s="23">
        <f>+INDEX('[5]Budget original'!$A$2:$AO$496,MATCH($A49,'[5]Budget original'!$A$2:$A$496,0),MATCH(F$2,'[5]Budget original'!$A$2:$AO$2,0))</f>
        <v>10129.70310845586</v>
      </c>
      <c r="G49" s="84"/>
      <c r="H49" s="14"/>
      <c r="I49" s="23">
        <f>+INDEX('[5]Budget révisé'!$A$2:$AO$496,MATCH($A49,'[5]Budget révisé'!$A$2:$A$496,0),MATCH(I$2,'[5]Budget révisé'!$A$2:$AO$2,0))</f>
        <v>10192.504117667397</v>
      </c>
      <c r="J49" s="42"/>
      <c r="K49" s="14"/>
      <c r="L49" s="23">
        <f>SUMIFS([5]BV_Data_An_Cour!$O:$O,[5]BV_Data_An_Cour!$U:$U,$B49,[5]BV_Data_An_Cour!$V:$V,$C49,[5]BV_Data_An_Cour!$W:$W,L$2)</f>
        <v>13664.22</v>
      </c>
      <c r="M49" s="42"/>
      <c r="N49" s="60">
        <f t="shared" si="25"/>
        <v>3471.7158823326026</v>
      </c>
      <c r="O49" s="42"/>
      <c r="P49" s="14"/>
      <c r="Q49" s="23">
        <f>SUMIFS([5]BV_Data_An_Prec!$O:$O,[5]BV_Data_An_Prec!$U:$U,$B49,[5]BV_Data_An_Prec!$V:$V,$C49,[5]BV_Data_An_Prec!$W:$W,Q$2)</f>
        <v>13443.9</v>
      </c>
      <c r="R49" s="42"/>
      <c r="S49" s="86">
        <f t="shared" si="27"/>
        <v>220.31999999999971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108" t="s">
        <v>47</v>
      </c>
      <c r="D50" s="110"/>
      <c r="E50" s="111"/>
      <c r="F50" s="31">
        <f>+INDEX('[5]Budget original'!$A$2:$AO$496,MATCH($A50,'[5]Budget original'!$A$2:$A$496,0),MATCH(F$2,'[5]Budget original'!$A$2:$AO$2,0))</f>
        <v>10129.70310845586</v>
      </c>
      <c r="G50" s="112"/>
      <c r="H50" s="111"/>
      <c r="I50" s="31">
        <f>+INDEX('[5]Budget révisé'!$A$2:$AO$496,MATCH($A50,'[5]Budget révisé'!$A$2:$A$496,0),MATCH(I$2,'[5]Budget révisé'!$A$2:$AO$2,0))</f>
        <v>10192.504117667397</v>
      </c>
      <c r="J50" s="113"/>
      <c r="K50" s="111"/>
      <c r="L50" s="34">
        <f>SUMIFS([5]BV_Data_An_Cour!$O:$O,[5]BV_Data_An_Cour!$U:$U,$B50,[5]BV_Data_An_Cour!$V:$V,$C50,[5]BV_Data_An_Cour!$W:$W,L$2)</f>
        <v>10566.27</v>
      </c>
      <c r="M50" s="113"/>
      <c r="N50" s="115">
        <f t="shared" si="25"/>
        <v>373.76588233260372</v>
      </c>
      <c r="O50" s="113"/>
      <c r="P50" s="111"/>
      <c r="Q50" s="34">
        <f>SUMIFS([5]BV_Data_An_Prec!$O:$O,[5]BV_Data_An_Prec!$U:$U,$B50,[5]BV_Data_An_Prec!$V:$V,$C50,[5]BV_Data_An_Prec!$W:$W,Q$2)</f>
        <v>11807.58</v>
      </c>
      <c r="R50" s="113"/>
      <c r="S50" s="116">
        <f t="shared" si="27"/>
        <v>-1241.3099999999995</v>
      </c>
      <c r="T50" s="14"/>
      <c r="U50" s="14" t="s">
        <v>241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108" t="s">
        <v>48</v>
      </c>
      <c r="D51" s="82"/>
      <c r="E51" s="14"/>
      <c r="F51" s="31">
        <f>+INDEX('[5]Budget original'!$A$2:$AO$496,MATCH($A51,'[5]Budget original'!$A$2:$A$496,0),MATCH(F$2,'[5]Budget original'!$A$2:$AO$2,0))</f>
        <v>7259.6205610600327</v>
      </c>
      <c r="G51" s="84"/>
      <c r="H51" s="14"/>
      <c r="I51" s="31">
        <f>+INDEX('[5]Budget révisé'!$A$2:$AO$496,MATCH($A51,'[5]Budget révisé'!$A$2:$A$496,0),MATCH(I$2,'[5]Budget révisé'!$A$2:$AO$2,0))</f>
        <v>7304.6279509949663</v>
      </c>
      <c r="J51" s="42"/>
      <c r="K51" s="14"/>
      <c r="L51" s="34">
        <f>SUMIFS([5]BV_Data_An_Cour!$O:$O,[5]BV_Data_An_Cour!$U:$U,$B51,[5]BV_Data_An_Cour!$V:$V,$C51,[5]BV_Data_An_Cour!$W:$W,L$2)</f>
        <v>7572.49</v>
      </c>
      <c r="M51" s="42"/>
      <c r="N51" s="60">
        <f t="shared" si="25"/>
        <v>267.86204900503344</v>
      </c>
      <c r="O51" s="42"/>
      <c r="P51" s="14"/>
      <c r="Q51" s="34">
        <f>SUMIFS([5]BV_Data_An_Prec!$O:$O,[5]BV_Data_An_Prec!$U:$U,$B51,[5]BV_Data_An_Prec!$V:$V,$C51,[5]BV_Data_An_Prec!$W:$W,Q$2)</f>
        <v>8019.25</v>
      </c>
      <c r="R51" s="42"/>
      <c r="S51" s="86">
        <f t="shared" si="27"/>
        <v>-446.76000000000022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108" t="s">
        <v>49</v>
      </c>
      <c r="D52" s="82"/>
      <c r="E52" s="14"/>
      <c r="F52" s="31">
        <f>+INDEX('[5]Budget original'!$A$2:$AO$496,MATCH($A52,'[5]Budget original'!$A$2:$A$496,0),MATCH(F$2,'[5]Budget original'!$A$2:$AO$2,0))</f>
        <v>1688.28385140931</v>
      </c>
      <c r="G52" s="84"/>
      <c r="H52" s="14"/>
      <c r="I52" s="31">
        <f>+INDEX('[5]Budget révisé'!$A$2:$AO$496,MATCH($A52,'[5]Budget révisé'!$A$2:$A$496,0),MATCH(I$2,'[5]Budget révisé'!$A$2:$AO$2,0))</f>
        <v>1698.7506862778994</v>
      </c>
      <c r="J52" s="42"/>
      <c r="K52" s="14"/>
      <c r="L52" s="34">
        <f>SUMIFS([5]BV_Data_An_Cour!$O:$O,[5]BV_Data_An_Cour!$U:$U,$B52,[5]BV_Data_An_Cour!$V:$V,$C52,[5]BV_Data_An_Cour!$W:$W,L$2)</f>
        <v>1761.05</v>
      </c>
      <c r="M52" s="42"/>
      <c r="N52" s="60">
        <f t="shared" si="25"/>
        <v>62.299313722100578</v>
      </c>
      <c r="O52" s="42"/>
      <c r="P52" s="14"/>
      <c r="Q52" s="34">
        <f>SUMIFS([5]BV_Data_An_Prec!$O:$O,[5]BV_Data_An_Prec!$U:$U,$B52,[5]BV_Data_An_Prec!$V:$V,$C52,[5]BV_Data_An_Prec!$W:$W,Q$2)</f>
        <v>2738.85</v>
      </c>
      <c r="R52" s="42"/>
      <c r="S52" s="86">
        <f t="shared" si="27"/>
        <v>-977.8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30" t="s">
        <v>21</v>
      </c>
      <c r="D53" s="89"/>
      <c r="E53" s="117"/>
      <c r="F53" s="31">
        <f>+INDEX('[5]Budget original'!$A$2:$AO$496,MATCH($A53,'[5]Budget original'!$A$2:$A$496,0),MATCH(F$2,'[5]Budget original'!$A$2:$AO$2,0))</f>
        <v>0</v>
      </c>
      <c r="G53" s="91"/>
      <c r="H53" s="117"/>
      <c r="I53" s="31">
        <f>+INDEX('[5]Budget révisé'!$A$2:$AO$496,MATCH($A53,'[5]Budget révisé'!$A$2:$A$496,0),MATCH(I$2,'[5]Budget révisé'!$A$2:$AO$2,0))</f>
        <v>0</v>
      </c>
      <c r="J53" s="24"/>
      <c r="K53" s="117"/>
      <c r="L53" s="34">
        <f>SUMIFS([5]BV_Data_An_Cour!$O:$O,[5]BV_Data_An_Cour!$U:$U,$B53,[5]BV_Data_An_Cour!$V:$V,$C53,[5]BV_Data_An_Cour!$W:$W,L$2)</f>
        <v>0</v>
      </c>
      <c r="M53" s="24"/>
      <c r="N53" s="94">
        <f t="shared" si="25"/>
        <v>0</v>
      </c>
      <c r="O53" s="24"/>
      <c r="P53" s="117"/>
      <c r="Q53" s="34">
        <f>SUMIFS([5]BV_Data_An_Prec!$O:$O,[5]BV_Data_An_Prec!$U:$U,$B53,[5]BV_Data_An_Prec!$V:$V,$C53,[5]BV_Data_An_Prec!$W:$W,Q$2)</f>
        <v>0</v>
      </c>
      <c r="R53" s="24"/>
      <c r="S53" s="95">
        <f t="shared" si="27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9" t="s">
        <v>50</v>
      </c>
      <c r="D54" s="100" t="s">
        <v>40</v>
      </c>
      <c r="E54" s="101">
        <f>F54/F$27</f>
        <v>0.52112853069770382</v>
      </c>
      <c r="F54" s="102">
        <f>+SUM(F42:F53)</f>
        <v>69182.09000205234</v>
      </c>
      <c r="G54" s="103" t="s">
        <v>40</v>
      </c>
      <c r="H54" s="101">
        <f>I54/I$27</f>
        <v>0.430420643112983</v>
      </c>
      <c r="I54" s="102">
        <f>+SUM(I42:I53)</f>
        <v>69363.166245278931</v>
      </c>
      <c r="J54" s="103" t="s">
        <v>40</v>
      </c>
      <c r="K54" s="101">
        <f>L54/L$27</f>
        <v>0.41177567748383764</v>
      </c>
      <c r="L54" s="102">
        <f>+SUM(L42:L53)</f>
        <v>76210.100000000006</v>
      </c>
      <c r="M54" s="106"/>
      <c r="N54" s="102">
        <f>+SUM(N42:N53)</f>
        <v>6846.9337547210762</v>
      </c>
      <c r="O54" s="103" t="s">
        <v>40</v>
      </c>
      <c r="P54" s="101">
        <f>Q54/Q$27</f>
        <v>0.53337656040670611</v>
      </c>
      <c r="Q54" s="102">
        <f>+SUM(Q42:Q53)</f>
        <v>69632.790000000008</v>
      </c>
      <c r="R54" s="106"/>
      <c r="S54" s="107">
        <f>+SUM(S42:S53)</f>
        <v>6577.31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30" t="s">
        <v>51</v>
      </c>
      <c r="D55" s="82"/>
      <c r="E55" s="14"/>
      <c r="F55" s="31">
        <f>+INDEX('[5]Budget original'!$A$2:$AO$496,MATCH($A55,'[5]Budget original'!$A$2:$A$496,0),MATCH(F$2,'[5]Budget original'!$A$2:$AO$2,0))</f>
        <v>0</v>
      </c>
      <c r="G55" s="84"/>
      <c r="H55" s="14"/>
      <c r="I55" s="31">
        <f>+INDEX('[5]Budget révisé'!$A$2:$AO$496,MATCH($A55,'[5]Budget révisé'!$A$2:$A$496,0),MATCH(I$2,'[5]Budget révisé'!$A$2:$AO$2,0))</f>
        <v>0</v>
      </c>
      <c r="J55" s="42"/>
      <c r="K55" s="14"/>
      <c r="L55" s="34">
        <f>SUMIFS([5]BV_Data_An_Cour!$O:$O,[5]BV_Data_An_Cour!$U:$U,$B55,[5]BV_Data_An_Cour!$V:$V,$C55,[5]BV_Data_An_Cour!$W:$W,L$2)</f>
        <v>0</v>
      </c>
      <c r="M55" s="42"/>
      <c r="N55" s="60">
        <f t="shared" ref="N55:N71" si="28">L55-I55</f>
        <v>0</v>
      </c>
      <c r="O55" s="42"/>
      <c r="P55" s="14"/>
      <c r="Q55" s="34">
        <f>SUMIFS([5]BV_Data_An_Prec!$O:$O,[5]BV_Data_An_Prec!$U:$U,$B55,[5]BV_Data_An_Prec!$V:$V,$C55,[5]BV_Data_An_Prec!$W:$W,Q$2)</f>
        <v>0</v>
      </c>
      <c r="R55" s="42"/>
      <c r="S55" s="86">
        <f t="shared" ref="S55:S71" si="29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30" t="s">
        <v>52</v>
      </c>
      <c r="D56" s="82"/>
      <c r="E56" s="14"/>
      <c r="F56" s="31">
        <f>+INDEX('[5]Budget original'!$A$2:$AO$496,MATCH($A56,'[5]Budget original'!$A$2:$A$496,0),MATCH(F$2,'[5]Budget original'!$A$2:$AO$2,0))</f>
        <v>0</v>
      </c>
      <c r="G56" s="84"/>
      <c r="H56" s="14"/>
      <c r="I56" s="31">
        <f>+INDEX('[5]Budget révisé'!$A$2:$AO$496,MATCH($A56,'[5]Budget révisé'!$A$2:$A$496,0),MATCH(I$2,'[5]Budget révisé'!$A$2:$AO$2,0))</f>
        <v>0</v>
      </c>
      <c r="J56" s="42"/>
      <c r="K56" s="14"/>
      <c r="L56" s="34">
        <f>SUMIFS([5]BV_Data_An_Cour!$O:$O,[5]BV_Data_An_Cour!$U:$U,$B56,[5]BV_Data_An_Cour!$V:$V,$C56,[5]BV_Data_An_Cour!$W:$W,L$2)</f>
        <v>0</v>
      </c>
      <c r="M56" s="42"/>
      <c r="N56" s="60">
        <f t="shared" si="28"/>
        <v>0</v>
      </c>
      <c r="O56" s="42"/>
      <c r="P56" s="14"/>
      <c r="Q56" s="34">
        <f>SUMIFS([5]BV_Data_An_Prec!$O:$O,[5]BV_Data_An_Prec!$U:$U,$B56,[5]BV_Data_An_Prec!$V:$V,$C56,[5]BV_Data_An_Prec!$W:$W,Q$2)</f>
        <v>0</v>
      </c>
      <c r="R56" s="42"/>
      <c r="S56" s="86">
        <f t="shared" si="29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8" t="s">
        <v>53</v>
      </c>
      <c r="D57" s="89"/>
      <c r="E57" s="117"/>
      <c r="F57" s="23">
        <f>+INDEX('[5]Budget original'!$A$2:$AO$496,MATCH($A57,'[5]Budget original'!$A$2:$A$496,0),MATCH(F$2,'[5]Budget original'!$A$2:$AO$2,0))</f>
        <v>9088.8775000000005</v>
      </c>
      <c r="G57" s="91"/>
      <c r="H57" s="117"/>
      <c r="I57" s="23">
        <f>+INDEX('[5]Budget révisé'!$A$2:$AO$496,MATCH($A57,'[5]Budget révisé'!$A$2:$A$496,0),MATCH(I$2,'[5]Budget révisé'!$A$2:$AO$2,0))</f>
        <v>9088.8775000000005</v>
      </c>
      <c r="J57" s="24"/>
      <c r="K57" s="117"/>
      <c r="L57" s="23">
        <f>SUMIFS([5]BV_Data_An_Cour!$O:$O,[5]BV_Data_An_Cour!$U:$U,$B57,[5]BV_Data_An_Cour!$V:$V,$C57,[5]BV_Data_An_Cour!$W:$W,L$2)</f>
        <v>5494.87</v>
      </c>
      <c r="M57" s="24"/>
      <c r="N57" s="94">
        <f t="shared" si="28"/>
        <v>-3594.0075000000006</v>
      </c>
      <c r="O57" s="24"/>
      <c r="P57" s="117"/>
      <c r="Q57" s="23">
        <f>SUMIFS([5]BV_Data_An_Prec!$O:$O,[5]BV_Data_An_Prec!$U:$U,$B57,[5]BV_Data_An_Prec!$V:$V,$C57,[5]BV_Data_An_Prec!$W:$W,Q$2)</f>
        <v>10879.06</v>
      </c>
      <c r="R57" s="24"/>
      <c r="S57" s="95">
        <f t="shared" si="29"/>
        <v>-5384.19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30" t="s">
        <v>54</v>
      </c>
      <c r="D58" s="82"/>
      <c r="E58" s="14"/>
      <c r="F58" s="31">
        <f>+INDEX('[5]Budget original'!$A$2:$AO$496,MATCH($A58,'[5]Budget original'!$A$2:$A$496,0),MATCH(F$2,'[5]Budget original'!$A$2:$AO$2,0))</f>
        <v>6677.3962666666675</v>
      </c>
      <c r="G58" s="84"/>
      <c r="H58" s="14"/>
      <c r="I58" s="31">
        <f>+INDEX('[5]Budget révisé'!$A$2:$AO$496,MATCH($A58,'[5]Budget révisé'!$A$2:$A$496,0),MATCH(I$2,'[5]Budget révisé'!$A$2:$AO$2,0))</f>
        <v>6677.3962666666675</v>
      </c>
      <c r="J58" s="42"/>
      <c r="K58" s="14"/>
      <c r="L58" s="34">
        <f>SUMIFS([5]BV_Data_An_Cour!$O:$O,[5]BV_Data_An_Cour!$U:$U,$B58,[5]BV_Data_An_Cour!$V:$V,$C58,[5]BV_Data_An_Cour!$W:$W,L$2)</f>
        <v>4538.32</v>
      </c>
      <c r="M58" s="42"/>
      <c r="N58" s="60">
        <f t="shared" si="28"/>
        <v>-2139.0762666666678</v>
      </c>
      <c r="O58" s="42"/>
      <c r="P58" s="14"/>
      <c r="Q58" s="34">
        <f>SUMIFS([5]BV_Data_An_Prec!$O:$O,[5]BV_Data_An_Prec!$U:$U,$B58,[5]BV_Data_An_Prec!$V:$V,$C58,[5]BV_Data_An_Prec!$W:$W,Q$2)</f>
        <v>7418.14</v>
      </c>
      <c r="R58" s="42"/>
      <c r="S58" s="86">
        <f t="shared" si="29"/>
        <v>-2879.8200000000006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30" t="s">
        <v>55</v>
      </c>
      <c r="D59" s="82"/>
      <c r="E59" s="14"/>
      <c r="F59" s="31">
        <f>+INDEX('[5]Budget original'!$A$2:$AO$496,MATCH($A59,'[5]Budget original'!$A$2:$A$496,0),MATCH(F$2,'[5]Budget original'!$A$2:$AO$2,0))</f>
        <v>1596.4967999999999</v>
      </c>
      <c r="G59" s="84"/>
      <c r="H59" s="14"/>
      <c r="I59" s="31">
        <f>+INDEX('[5]Budget révisé'!$A$2:$AO$496,MATCH($A59,'[5]Budget révisé'!$A$2:$A$496,0),MATCH(I$2,'[5]Budget révisé'!$A$2:$AO$2,0))</f>
        <v>1596.4967999999999</v>
      </c>
      <c r="J59" s="42"/>
      <c r="K59" s="14"/>
      <c r="L59" s="34">
        <f>SUMIFS([5]BV_Data_An_Cour!$O:$O,[5]BV_Data_An_Cour!$U:$U,$B59,[5]BV_Data_An_Cour!$V:$V,$C59,[5]BV_Data_An_Cour!$W:$W,L$2)</f>
        <v>209.82</v>
      </c>
      <c r="M59" s="42"/>
      <c r="N59" s="60">
        <f t="shared" si="28"/>
        <v>-1386.6768</v>
      </c>
      <c r="O59" s="42"/>
      <c r="P59" s="14"/>
      <c r="Q59" s="34">
        <f>SUMIFS([5]BV_Data_An_Prec!$O:$O,[5]BV_Data_An_Prec!$U:$U,$B59,[5]BV_Data_An_Prec!$V:$V,$C59,[5]BV_Data_An_Prec!$W:$W,Q$2)</f>
        <v>1944.64</v>
      </c>
      <c r="R59" s="42"/>
      <c r="S59" s="86">
        <f t="shared" si="29"/>
        <v>-1734.8200000000002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8" t="s">
        <v>56</v>
      </c>
      <c r="D60" s="89"/>
      <c r="E60" s="117"/>
      <c r="F60" s="23">
        <f>+INDEX('[5]Budget original'!$A$2:$AO$496,MATCH($A60,'[5]Budget original'!$A$2:$A$496,0),MATCH(F$2,'[5]Budget original'!$A$2:$AO$2,0))</f>
        <v>9857.894666666667</v>
      </c>
      <c r="G60" s="91"/>
      <c r="H60" s="117"/>
      <c r="I60" s="23">
        <f>+INDEX('[5]Budget révisé'!$A$2:$AO$496,MATCH($A60,'[5]Budget révisé'!$A$2:$A$496,0),MATCH(I$2,'[5]Budget révisé'!$A$2:$AO$2,0))</f>
        <v>9857.894666666667</v>
      </c>
      <c r="J60" s="24"/>
      <c r="K60" s="117"/>
      <c r="L60" s="23">
        <f>SUMIFS([5]BV_Data_An_Cour!$O:$O,[5]BV_Data_An_Cour!$U:$U,$B60,[5]BV_Data_An_Cour!$V:$V,$C60,[5]BV_Data_An_Cour!$W:$W,L$2)</f>
        <v>8488.9599999999991</v>
      </c>
      <c r="M60" s="24"/>
      <c r="N60" s="94">
        <f t="shared" si="28"/>
        <v>-1368.9346666666679</v>
      </c>
      <c r="O60" s="24"/>
      <c r="P60" s="117"/>
      <c r="Q60" s="23">
        <f>SUMIFS([5]BV_Data_An_Prec!$O:$O,[5]BV_Data_An_Prec!$U:$U,$B60,[5]BV_Data_An_Prec!$V:$V,$C60,[5]BV_Data_An_Prec!$W:$W,Q$2)</f>
        <v>5955.16</v>
      </c>
      <c r="R60" s="24"/>
      <c r="S60" s="95">
        <f t="shared" si="29"/>
        <v>2533.7999999999993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30" t="s">
        <v>57</v>
      </c>
      <c r="D61" s="82"/>
      <c r="E61" s="14"/>
      <c r="F61" s="31">
        <f>+INDEX('[5]Budget original'!$A$2:$AO$496,MATCH($A61,'[5]Budget original'!$A$2:$A$496,0),MATCH(F$2,'[5]Budget original'!$A$2:$AO$2,0))</f>
        <v>283.23627122334295</v>
      </c>
      <c r="G61" s="84"/>
      <c r="H61" s="14"/>
      <c r="I61" s="31">
        <f>+INDEX('[5]Budget révisé'!$A$2:$AO$496,MATCH($A61,'[5]Budget révisé'!$A$2:$A$496,0),MATCH(I$2,'[5]Budget révisé'!$A$2:$AO$2,0))</f>
        <v>283.23627122334295</v>
      </c>
      <c r="J61" s="42"/>
      <c r="K61" s="14"/>
      <c r="L61" s="34">
        <f>SUMIFS([5]BV_Data_An_Cour!$O:$O,[5]BV_Data_An_Cour!$U:$U,$B61,[5]BV_Data_An_Cour!$V:$V,$C61,[5]BV_Data_An_Cour!$W:$W,L$2)</f>
        <v>477.01</v>
      </c>
      <c r="M61" s="42"/>
      <c r="N61" s="60">
        <f t="shared" si="28"/>
        <v>193.77372877665704</v>
      </c>
      <c r="O61" s="42"/>
      <c r="P61" s="14"/>
      <c r="Q61" s="34">
        <f>SUMIFS([5]BV_Data_An_Prec!$O:$O,[5]BV_Data_An_Prec!$U:$U,$B61,[5]BV_Data_An_Prec!$V:$V,$C61,[5]BV_Data_An_Prec!$W:$W,Q$2)</f>
        <v>261</v>
      </c>
      <c r="R61" s="42"/>
      <c r="S61" s="86">
        <f t="shared" si="29"/>
        <v>216.01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30" t="s">
        <v>58</v>
      </c>
      <c r="D62" s="82"/>
      <c r="E62" s="14"/>
      <c r="F62" s="31">
        <f>+INDEX('[5]Budget original'!$A$2:$AO$496,MATCH($A62,'[5]Budget original'!$A$2:$A$496,0),MATCH(F$2,'[5]Budget original'!$A$2:$AO$2,0))</f>
        <v>35</v>
      </c>
      <c r="G62" s="84"/>
      <c r="H62" s="14"/>
      <c r="I62" s="31">
        <f>+INDEX('[5]Budget révisé'!$A$2:$AO$496,MATCH($A62,'[5]Budget révisé'!$A$2:$A$496,0),MATCH(I$2,'[5]Budget révisé'!$A$2:$AO$2,0))</f>
        <v>35</v>
      </c>
      <c r="J62" s="42"/>
      <c r="K62" s="14"/>
      <c r="L62" s="34">
        <f>SUMIFS([5]BV_Data_An_Cour!$O:$O,[5]BV_Data_An_Cour!$U:$U,$B62,[5]BV_Data_An_Cour!$V:$V,$C62,[5]BV_Data_An_Cour!$W:$W,L$2)</f>
        <v>0</v>
      </c>
      <c r="M62" s="42"/>
      <c r="N62" s="60">
        <f t="shared" si="28"/>
        <v>-35</v>
      </c>
      <c r="O62" s="42"/>
      <c r="P62" s="14"/>
      <c r="Q62" s="34">
        <f>SUMIFS([5]BV_Data_An_Prec!$O:$O,[5]BV_Data_An_Prec!$U:$U,$B62,[5]BV_Data_An_Prec!$V:$V,$C62,[5]BV_Data_An_Prec!$W:$W,Q$2)</f>
        <v>35</v>
      </c>
      <c r="R62" s="42"/>
      <c r="S62" s="86">
        <f t="shared" si="29"/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30" t="s">
        <v>59</v>
      </c>
      <c r="D63" s="82"/>
      <c r="E63" s="14"/>
      <c r="F63" s="31">
        <f>+INDEX('[5]Budget original'!$A$2:$AO$496,MATCH($A63,'[5]Budget original'!$A$2:$A$496,0),MATCH(F$2,'[5]Budget original'!$A$2:$AO$2,0))</f>
        <v>697.6</v>
      </c>
      <c r="G63" s="84"/>
      <c r="H63" s="14"/>
      <c r="I63" s="31">
        <f>+INDEX('[5]Budget révisé'!$A$2:$AO$496,MATCH($A63,'[5]Budget révisé'!$A$2:$A$496,0),MATCH(I$2,'[5]Budget révisé'!$A$2:$AO$2,0))</f>
        <v>697.6</v>
      </c>
      <c r="J63" s="42"/>
      <c r="K63" s="14"/>
      <c r="L63" s="33">
        <f>SUMIFS([5]BV_Data_An_Cour!$O:$O,[5]BV_Data_An_Cour!$U:$U,$B63,[5]BV_Data_An_Cour!$V:$V,$C63,[5]BV_Data_An_Cour!$W:$W,L$2)</f>
        <v>548.67999999999995</v>
      </c>
      <c r="M63" s="42"/>
      <c r="N63" s="60">
        <f t="shared" si="28"/>
        <v>-148.92000000000007</v>
      </c>
      <c r="O63" s="42"/>
      <c r="P63" s="14"/>
      <c r="Q63" s="33">
        <f>SUMIFS([5]BV_Data_An_Prec!$O:$O,[5]BV_Data_An_Prec!$U:$U,$B63,[5]BV_Data_An_Prec!$V:$V,$C63,[5]BV_Data_An_Prec!$W:$W,Q$2)</f>
        <v>592</v>
      </c>
      <c r="R63" s="42"/>
      <c r="S63" s="86">
        <f t="shared" si="29"/>
        <v>-43.32000000000005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30" t="s">
        <v>60</v>
      </c>
      <c r="D64" s="82"/>
      <c r="E64" s="14"/>
      <c r="F64" s="31">
        <f>+INDEX('[5]Budget original'!$A$2:$AO$496,MATCH($A64,'[5]Budget original'!$A$2:$A$496,0),MATCH(F$2,'[5]Budget original'!$A$2:$AO$2,0))</f>
        <v>589.91200000000003</v>
      </c>
      <c r="G64" s="84"/>
      <c r="H64" s="14"/>
      <c r="I64" s="31">
        <f>+INDEX('[5]Budget révisé'!$A$2:$AO$496,MATCH($A64,'[5]Budget révisé'!$A$2:$A$496,0),MATCH(I$2,'[5]Budget révisé'!$A$2:$AO$2,0))</f>
        <v>589.91200000000003</v>
      </c>
      <c r="J64" s="42"/>
      <c r="K64" s="14"/>
      <c r="L64" s="34">
        <f>SUMIFS([5]BV_Data_An_Cour!$O:$O,[5]BV_Data_An_Cour!$U:$U,$B64,[5]BV_Data_An_Cour!$V:$V,$C64,[5]BV_Data_An_Cour!$W:$W,L$2)</f>
        <v>130.22</v>
      </c>
      <c r="M64" s="42"/>
      <c r="N64" s="60">
        <f t="shared" si="28"/>
        <v>-459.69200000000001</v>
      </c>
      <c r="O64" s="42"/>
      <c r="P64" s="14"/>
      <c r="Q64" s="34">
        <f>SUMIFS([5]BV_Data_An_Prec!$O:$O,[5]BV_Data_An_Prec!$U:$U,$B64,[5]BV_Data_An_Prec!$V:$V,$C64,[5]BV_Data_An_Prec!$W:$W,Q$2)</f>
        <v>523.9</v>
      </c>
      <c r="R64" s="42"/>
      <c r="S64" s="86">
        <f t="shared" si="29"/>
        <v>-393.67999999999995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30" t="s">
        <v>61</v>
      </c>
      <c r="D65" s="82"/>
      <c r="E65" s="14"/>
      <c r="F65" s="31">
        <f>+INDEX('[5]Budget original'!$A$2:$AO$496,MATCH($A65,'[5]Budget original'!$A$2:$A$496,0),MATCH(F$2,'[5]Budget original'!$A$2:$AO$2,0))</f>
        <v>276.8</v>
      </c>
      <c r="G65" s="84"/>
      <c r="H65" s="14"/>
      <c r="I65" s="31">
        <f>+INDEX('[5]Budget révisé'!$A$2:$AO$496,MATCH($A65,'[5]Budget révisé'!$A$2:$A$496,0),MATCH(I$2,'[5]Budget révisé'!$A$2:$AO$2,0))</f>
        <v>276.8</v>
      </c>
      <c r="J65" s="42"/>
      <c r="K65" s="14"/>
      <c r="L65" s="34">
        <f>SUMIFS([5]BV_Data_An_Cour!$O:$O,[5]BV_Data_An_Cour!$U:$U,$B65,[5]BV_Data_An_Cour!$V:$V,$C65,[5]BV_Data_An_Cour!$W:$W,L$2)</f>
        <v>134.19</v>
      </c>
      <c r="M65" s="42"/>
      <c r="N65" s="60">
        <f t="shared" si="28"/>
        <v>-142.61000000000001</v>
      </c>
      <c r="O65" s="42"/>
      <c r="P65" s="14"/>
      <c r="Q65" s="34">
        <f>SUMIFS([5]BV_Data_An_Prec!$O:$O,[5]BV_Data_An_Prec!$U:$U,$B65,[5]BV_Data_An_Prec!$V:$V,$C65,[5]BV_Data_An_Prec!$W:$W,Q$2)</f>
        <v>178.87</v>
      </c>
      <c r="R65" s="42"/>
      <c r="S65" s="86">
        <f t="shared" si="29"/>
        <v>-44.680000000000007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30" t="s">
        <v>62</v>
      </c>
      <c r="D66" s="82"/>
      <c r="E66" s="14"/>
      <c r="F66" s="31">
        <f>+INDEX('[5]Budget original'!$A$2:$AO$496,MATCH($A66,'[5]Budget original'!$A$2:$A$496,0),MATCH(F$2,'[5]Budget original'!$A$2:$AO$2,0))</f>
        <v>1349.1200000000001</v>
      </c>
      <c r="G66" s="84"/>
      <c r="H66" s="14"/>
      <c r="I66" s="31">
        <f>+INDEX('[5]Budget révisé'!$A$2:$AO$496,MATCH($A66,'[5]Budget révisé'!$A$2:$A$496,0),MATCH(I$2,'[5]Budget révisé'!$A$2:$AO$2,0))</f>
        <v>1349.1200000000001</v>
      </c>
      <c r="J66" s="42"/>
      <c r="K66" s="14"/>
      <c r="L66" s="34">
        <f>SUMIFS([5]BV_Data_An_Cour!$O:$O,[5]BV_Data_An_Cour!$U:$U,$B66,[5]BV_Data_An_Cour!$V:$V,$C66,[5]BV_Data_An_Cour!$W:$W,L$2)</f>
        <v>264.06</v>
      </c>
      <c r="M66" s="42"/>
      <c r="N66" s="60">
        <f t="shared" si="28"/>
        <v>-1085.0600000000002</v>
      </c>
      <c r="O66" s="42"/>
      <c r="P66" s="14"/>
      <c r="Q66" s="34">
        <f>SUMIFS([5]BV_Data_An_Prec!$O:$O,[5]BV_Data_An_Prec!$U:$U,$B66,[5]BV_Data_An_Prec!$V:$V,$C66,[5]BV_Data_An_Prec!$W:$W,Q$2)</f>
        <v>1740.29</v>
      </c>
      <c r="R66" s="42"/>
      <c r="S66" s="86">
        <f t="shared" si="29"/>
        <v>-1476.23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30" t="s">
        <v>63</v>
      </c>
      <c r="D67" s="82"/>
      <c r="E67" s="14"/>
      <c r="F67" s="31">
        <f>+INDEX('[5]Budget original'!$A$2:$AO$496,MATCH($A67,'[5]Budget original'!$A$2:$A$496,0),MATCH(F$2,'[5]Budget original'!$A$2:$AO$2,0))</f>
        <v>1438.3466666666668</v>
      </c>
      <c r="G67" s="84"/>
      <c r="H67" s="14"/>
      <c r="I67" s="31">
        <f>+INDEX('[5]Budget révisé'!$A$2:$AO$496,MATCH($A67,'[5]Budget révisé'!$A$2:$A$496,0),MATCH(I$2,'[5]Budget révisé'!$A$2:$AO$2,0))</f>
        <v>1438.3466666666668</v>
      </c>
      <c r="J67" s="42"/>
      <c r="K67" s="14"/>
      <c r="L67" s="34">
        <f>SUMIFS([5]BV_Data_An_Cour!$O:$O,[5]BV_Data_An_Cour!$U:$U,$B67,[5]BV_Data_An_Cour!$V:$V,$C67,[5]BV_Data_An_Cour!$W:$W,L$2)</f>
        <v>523.33000000000004</v>
      </c>
      <c r="M67" s="42"/>
      <c r="N67" s="60">
        <f t="shared" si="28"/>
        <v>-915.01666666666677</v>
      </c>
      <c r="O67" s="42"/>
      <c r="P67" s="14"/>
      <c r="Q67" s="34">
        <f>SUMIFS([5]BV_Data_An_Prec!$O:$O,[5]BV_Data_An_Prec!$U:$U,$B67,[5]BV_Data_An_Prec!$V:$V,$C67,[5]BV_Data_An_Prec!$W:$W,Q$2)</f>
        <v>4555.83</v>
      </c>
      <c r="R67" s="42"/>
      <c r="S67" s="86">
        <f t="shared" si="29"/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30" t="s">
        <v>64</v>
      </c>
      <c r="D68" s="82"/>
      <c r="E68" s="14"/>
      <c r="F68" s="31">
        <f>+INDEX('[5]Budget original'!$A$2:$AO$496,MATCH($A68,'[5]Budget original'!$A$2:$A$496,0),MATCH(F$2,'[5]Budget original'!$A$2:$AO$2,0))</f>
        <v>4004.986042493329</v>
      </c>
      <c r="G68" s="84"/>
      <c r="H68" s="14"/>
      <c r="I68" s="31">
        <f>+INDEX('[5]Budget révisé'!$A$2:$AO$496,MATCH($A68,'[5]Budget révisé'!$A$2:$A$496,0),MATCH(I$2,'[5]Budget révisé'!$A$2:$AO$2,0))</f>
        <v>4004.986042493329</v>
      </c>
      <c r="J68" s="42"/>
      <c r="K68" s="14"/>
      <c r="L68" s="33">
        <f>AF447*W3</f>
        <v>4056.8849999999998</v>
      </c>
      <c r="M68" s="42"/>
      <c r="N68" s="60">
        <f t="shared" si="28"/>
        <v>51.89895750667074</v>
      </c>
      <c r="O68" s="42"/>
      <c r="P68" s="14"/>
      <c r="Q68" s="34">
        <f>AL447*W3</f>
        <v>5618.6549999999997</v>
      </c>
      <c r="R68" s="42"/>
      <c r="S68" s="86">
        <f t="shared" si="29"/>
        <v>-1561.77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30" t="s">
        <v>21</v>
      </c>
      <c r="D69" s="82"/>
      <c r="E69" s="14"/>
      <c r="F69" s="31">
        <f>+INDEX('[5]Budget original'!$A$2:$AO$496,MATCH($A69,'[5]Budget original'!$A$2:$A$496,0),MATCH(F$2,'[5]Budget original'!$A$2:$AO$2,0))</f>
        <v>0</v>
      </c>
      <c r="G69" s="84"/>
      <c r="H69" s="14"/>
      <c r="I69" s="31">
        <f>+INDEX('[5]Budget révisé'!$A$2:$AO$496,MATCH($A69,'[5]Budget révisé'!$A$2:$A$496,0),MATCH(I$2,'[5]Budget révisé'!$A$2:$AO$2,0))</f>
        <v>0</v>
      </c>
      <c r="J69" s="42"/>
      <c r="K69" s="14"/>
      <c r="L69" s="34"/>
      <c r="M69" s="42"/>
      <c r="N69" s="60">
        <f t="shared" si="28"/>
        <v>0</v>
      </c>
      <c r="O69" s="42"/>
      <c r="P69" s="14"/>
      <c r="Q69" s="34">
        <f>SUMIFS([5]BV_Data_An_Prec!$O:$O,[5]BV_Data_An_Prec!$U:$U,$B69,[5]BV_Data_An_Prec!$V:$V,$C69,[5]BV_Data_An_Prec!$W:$W,Q$2)</f>
        <v>0</v>
      </c>
      <c r="R69" s="42"/>
      <c r="S69" s="86">
        <f t="shared" si="29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30" t="s">
        <v>21</v>
      </c>
      <c r="D70" s="82"/>
      <c r="E70" s="14"/>
      <c r="F70" s="31">
        <f>+INDEX('[5]Budget original'!$A$2:$AO$496,MATCH($A70,'[5]Budget original'!$A$2:$A$496,0),MATCH(F$2,'[5]Budget original'!$A$2:$AO$2,0))</f>
        <v>0</v>
      </c>
      <c r="G70" s="84"/>
      <c r="H70" s="14"/>
      <c r="I70" s="31">
        <f>+INDEX('[5]Budget révisé'!$A$2:$AO$496,MATCH($A70,'[5]Budget révisé'!$A$2:$A$496,0),MATCH(I$2,'[5]Budget révisé'!$A$2:$AO$2,0))</f>
        <v>0</v>
      </c>
      <c r="J70" s="42"/>
      <c r="K70" s="14"/>
      <c r="L70" s="34">
        <f>SUMIFS([5]BV_Data_An_Cour!$O:$O,[5]BV_Data_An_Cour!$U:$U,$B70,[5]BV_Data_An_Cour!$V:$V,$C70,[5]BV_Data_An_Cour!$W:$W,L$2)</f>
        <v>0</v>
      </c>
      <c r="M70" s="42"/>
      <c r="N70" s="60">
        <f t="shared" si="28"/>
        <v>0</v>
      </c>
      <c r="O70" s="42"/>
      <c r="P70" s="14"/>
      <c r="Q70" s="34">
        <f>SUMIFS([5]BV_Data_An_Prec!$O:$O,[5]BV_Data_An_Prec!$U:$U,$B70,[5]BV_Data_An_Prec!$V:$V,$C70,[5]BV_Data_An_Prec!$W:$W,Q$2)</f>
        <v>0</v>
      </c>
      <c r="R70" s="42"/>
      <c r="S70" s="86">
        <f t="shared" si="29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30" t="s">
        <v>21</v>
      </c>
      <c r="D71" s="82"/>
      <c r="E71" s="14"/>
      <c r="F71" s="31">
        <f>+INDEX('[5]Budget original'!$A$2:$AO$496,MATCH($A71,'[5]Budget original'!$A$2:$A$496,0),MATCH(F$2,'[5]Budget original'!$A$2:$AO$2,0))</f>
        <v>0</v>
      </c>
      <c r="G71" s="84"/>
      <c r="H71" s="14"/>
      <c r="I71" s="31">
        <f>+INDEX('[5]Budget révisé'!$A$2:$AO$496,MATCH($A71,'[5]Budget révisé'!$A$2:$A$496,0),MATCH(I$2,'[5]Budget révisé'!$A$2:$AO$2,0))</f>
        <v>0</v>
      </c>
      <c r="J71" s="42"/>
      <c r="K71" s="14"/>
      <c r="L71" s="34">
        <f>SUMIFS([5]BV_Data_An_Cour!$O:$O,[5]BV_Data_An_Cour!$U:$U,$B71,[5]BV_Data_An_Cour!$V:$V,$C71,[5]BV_Data_An_Cour!$W:$W,L$2)*0.32</f>
        <v>0</v>
      </c>
      <c r="M71" s="42"/>
      <c r="N71" s="60">
        <f t="shared" si="28"/>
        <v>0</v>
      </c>
      <c r="O71" s="42"/>
      <c r="P71" s="14"/>
      <c r="Q71" s="34">
        <f>SUMIFS([5]BV_Data_An_Prec!$O:$O,[5]BV_Data_An_Prec!$U:$U,$B71,[5]BV_Data_An_Prec!$V:$V,$C71,[5]BV_Data_An_Prec!$W:$W,Q$2)*0.32</f>
        <v>0</v>
      </c>
      <c r="R71" s="42"/>
      <c r="S71" s="86">
        <f t="shared" si="29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9" t="s">
        <v>65</v>
      </c>
      <c r="D72" s="100" t="s">
        <v>40</v>
      </c>
      <c r="E72" s="101">
        <f>F72/F$27</f>
        <v>0.27039159689761394</v>
      </c>
      <c r="F72" s="102">
        <f>+SUM(F55:F71)</f>
        <v>35895.666213716679</v>
      </c>
      <c r="G72" s="103" t="s">
        <v>40</v>
      </c>
      <c r="H72" s="101">
        <f>I72/I$27</f>
        <v>0.22274409564930289</v>
      </c>
      <c r="I72" s="102">
        <f>+SUM(I55:I71)</f>
        <v>35895.666213716679</v>
      </c>
      <c r="J72" s="103" t="s">
        <v>40</v>
      </c>
      <c r="K72" s="101">
        <f>L72/L$27</f>
        <v>0.13435694296322714</v>
      </c>
      <c r="L72" s="102">
        <f>+SUM(L55:L71)</f>
        <v>24866.344999999998</v>
      </c>
      <c r="M72" s="106"/>
      <c r="N72" s="102">
        <f>+SUM(N55:N71)</f>
        <v>-11029.321213716674</v>
      </c>
      <c r="O72" s="103" t="s">
        <v>40</v>
      </c>
      <c r="P72" s="101">
        <f>Q72/Q$27</f>
        <v>0.30411544462734391</v>
      </c>
      <c r="Q72" s="102">
        <f>+SUM(Q55:Q71)</f>
        <v>39702.544999999998</v>
      </c>
      <c r="R72" s="106"/>
      <c r="S72" s="107">
        <f>+SUM(S55:S71)</f>
        <v>-14836.2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9" t="s">
        <v>66</v>
      </c>
      <c r="D74" s="100" t="s">
        <v>40</v>
      </c>
      <c r="E74" s="101">
        <f>F74/F$27</f>
        <v>1.4651600733537287</v>
      </c>
      <c r="F74" s="102">
        <f>F41+F54+F72</f>
        <v>194506.40310647243</v>
      </c>
      <c r="G74" s="103" t="s">
        <v>40</v>
      </c>
      <c r="H74" s="101">
        <f>I74/I$27</f>
        <v>1.2122698364612972</v>
      </c>
      <c r="I74" s="102">
        <f>I41+I54+I72</f>
        <v>195359.76154036302</v>
      </c>
      <c r="J74" s="103" t="s">
        <v>40</v>
      </c>
      <c r="K74" s="101">
        <f>L74/L$27</f>
        <v>1.0990818997568264</v>
      </c>
      <c r="L74" s="102">
        <f>L41+L54+L72</f>
        <v>203414.49500000002</v>
      </c>
      <c r="M74" s="106"/>
      <c r="N74" s="119">
        <f>L74-I74</f>
        <v>8054.7334596370056</v>
      </c>
      <c r="O74" s="103" t="s">
        <v>40</v>
      </c>
      <c r="P74" s="101">
        <f>Q74/Q$27</f>
        <v>1.5096758812080158</v>
      </c>
      <c r="Q74" s="102">
        <f>Q41+Q54+Q72</f>
        <v>197089.54499999998</v>
      </c>
      <c r="R74" s="106"/>
      <c r="S74" s="120">
        <f>L74-Q74</f>
        <v>6324.9500000000407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30" t="s">
        <v>200</v>
      </c>
      <c r="D75" s="82"/>
      <c r="E75" s="14"/>
      <c r="F75" s="31">
        <f>+INDEX('[5]Budget original'!$A$2:$AO$496,MATCH($A75,'[5]Budget original'!$A$2:$A$496,0),MATCH(F$2,'[5]Budget original'!$A$2:$AO$2,0))</f>
        <v>45357.637500000012</v>
      </c>
      <c r="G75" s="84"/>
      <c r="H75" s="14"/>
      <c r="I75" s="31">
        <f>+INDEX('[5]Budget révisé'!$A$2:$AO$496,MATCH($A75,'[5]Budget révisé'!$A$2:$A$496,0),MATCH(I$2,'[5]Budget révisé'!$A$2:$AO$2,0))</f>
        <v>7158.5199510629927</v>
      </c>
      <c r="J75" s="42"/>
      <c r="K75" s="14"/>
      <c r="L75" s="33">
        <f>-SUMIFS([5]BV_Data_An_Cour!$O:$O,[5]BV_Data_An_Cour!$U:$U,$B75,[5]BV_Data_An_Cour!$V:$V,$C75,[5]BV_Data_An_Cour!$W:$W,L$2)-L155</f>
        <v>0</v>
      </c>
      <c r="M75" s="42"/>
      <c r="N75" s="60">
        <f>L75-I75</f>
        <v>-7158.5199510629927</v>
      </c>
      <c r="O75" s="42"/>
      <c r="P75" s="14"/>
      <c r="Q75" s="33">
        <f>-SUMIFS([5]BV_Data_An_Prec!$O:$O,[5]BV_Data_An_Prec!$U:$U,$B75,[5]BV_Data_An_Prec!$V:$V,$C75,[5]BV_Data_An_Prec!$W:$W,Q$2)-Q155</f>
        <v>37398</v>
      </c>
      <c r="R75" s="42"/>
      <c r="S75" s="86"/>
      <c r="T75" s="14"/>
      <c r="U75" s="14"/>
      <c r="V75" s="12" t="s">
        <v>242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30" t="s">
        <v>197</v>
      </c>
      <c r="D76" s="82"/>
      <c r="E76" s="14"/>
      <c r="F76" s="31">
        <f>+INDEX('[5]Budget original'!$A$2:$AO$496,MATCH($A76,'[5]Budget original'!$A$2:$A$496,0),MATCH(F$2,'[5]Budget original'!$A$2:$AO$2,0))</f>
        <v>0</v>
      </c>
      <c r="G76" s="84"/>
      <c r="H76" s="14"/>
      <c r="I76" s="31">
        <f>+INDEX('[5]Budget révisé'!$A$2:$AO$496,MATCH($A76,'[5]Budget révisé'!$A$2:$A$496,0),MATCH(I$2,'[5]Budget révisé'!$A$2:$AO$2,0))</f>
        <v>0</v>
      </c>
      <c r="J76" s="42"/>
      <c r="K76" s="14"/>
      <c r="L76" s="33">
        <f>-SUMIFS([5]BV_Data_An_Cour!$O:$O,[5]BV_Data_An_Cour!$U:$U,$B76,[5]BV_Data_An_Cour!$V:$V,$C76,[5]BV_Data_An_Cour!$W:$W,L$2)</f>
        <v>0</v>
      </c>
      <c r="M76" s="42"/>
      <c r="N76" s="60">
        <f>L76-I76</f>
        <v>0</v>
      </c>
      <c r="O76" s="42"/>
      <c r="P76" s="14"/>
      <c r="Q76" s="33">
        <f>-SUMIFS([5]BV_Data_An_Prec!$O:$O,[5]BV_Data_An_Prec!$U:$U,$B76,[5]BV_Data_An_Prec!$V:$V,$C76,[5]BV_Data_An_Prec!$W:$W,Q$2)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30" t="s">
        <v>69</v>
      </c>
      <c r="D77" s="82"/>
      <c r="E77" s="14"/>
      <c r="F77" s="31">
        <f>+INDEX('[5]Budget original'!$A$2:$AO$496,MATCH($A77,'[5]Budget original'!$A$2:$A$496,0),MATCH(F$2,'[5]Budget original'!$A$2:$AO$2,0))</f>
        <v>0</v>
      </c>
      <c r="G77" s="84"/>
      <c r="H77" s="14"/>
      <c r="I77" s="31">
        <f>+INDEX('[5]Budget révisé'!$A$2:$AO$496,MATCH($A77,'[5]Budget révisé'!$A$2:$A$496,0),MATCH(I$2,'[5]Budget révisé'!$A$2:$AO$2,0))</f>
        <v>0</v>
      </c>
      <c r="J77" s="42"/>
      <c r="K77" s="14"/>
      <c r="L77" s="33">
        <f>-SUMIFS([5]BV_Data_An_Cour!$O:$O,[5]BV_Data_An_Cour!$U:$U,$B77,[5]BV_Data_An_Cour!$V:$V,$C77,[5]BV_Data_An_Cour!$W:$W,L$2)</f>
        <v>0</v>
      </c>
      <c r="M77" s="42"/>
      <c r="N77" s="60">
        <f t="shared" ref="N77:N82" si="30">L77-I77</f>
        <v>0</v>
      </c>
      <c r="O77" s="42"/>
      <c r="P77" s="14"/>
      <c r="Q77" s="33">
        <f>-SUMIFS([5]BV_Data_An_Prec!$O:$O,[5]BV_Data_An_Prec!$U:$U,$B77,[5]BV_Data_An_Prec!$V:$V,$C77,[5]BV_Data_An_Prec!$W:$W,Q$2)</f>
        <v>0</v>
      </c>
      <c r="R77" s="42"/>
      <c r="S77" s="86">
        <f t="shared" ref="S77:S82" si="31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30" t="s">
        <v>70</v>
      </c>
      <c r="D78" s="82"/>
      <c r="E78" s="14"/>
      <c r="F78" s="31">
        <f>+INDEX('[5]Budget original'!$A$2:$AO$496,MATCH($A78,'[5]Budget original'!$A$2:$A$496,0),MATCH(F$2,'[5]Budget original'!$A$2:$AO$2,0))</f>
        <v>72775.567500000005</v>
      </c>
      <c r="G78" s="84"/>
      <c r="H78" s="14"/>
      <c r="I78" s="31">
        <f>+INDEX('[5]Budget révisé'!$A$2:$AO$496,MATCH($A78,'[5]Budget révisé'!$A$2:$A$496,0),MATCH(I$2,'[5]Budget révisé'!$A$2:$AO$2,0))</f>
        <v>73926.169357707506</v>
      </c>
      <c r="J78" s="42"/>
      <c r="K78" s="14"/>
      <c r="L78" s="34">
        <f>-SUMIFS([5]BV_Data_An_Cour!$O:$O,[5]BV_Data_An_Cour!$U:$U,$B78,[5]BV_Data_An_Cour!$V:$V,$C78,[5]BV_Data_An_Cour!$W:$W,L$2)</f>
        <v>64999</v>
      </c>
      <c r="M78" s="42"/>
      <c r="N78" s="60">
        <f t="shared" si="30"/>
        <v>-8927.1693577075057</v>
      </c>
      <c r="O78" s="42"/>
      <c r="P78" s="14"/>
      <c r="Q78" s="33">
        <f>-SUMIFS([5]BV_Data_An_Prec!$O:$O,[5]BV_Data_An_Prec!$U:$U,$B78,[5]BV_Data_An_Prec!$V:$V,$C78,[5]BV_Data_An_Prec!$W:$W,Q$2)</f>
        <v>94042.75</v>
      </c>
      <c r="R78" s="42"/>
      <c r="S78" s="86">
        <f t="shared" si="31"/>
        <v>-29043.75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30" t="s">
        <v>21</v>
      </c>
      <c r="D79" s="82"/>
      <c r="E79" s="14"/>
      <c r="F79" s="31">
        <f>+INDEX('[5]Budget original'!$A$2:$AO$496,MATCH($A79,'[5]Budget original'!$A$2:$A$496,0),MATCH(F$2,'[5]Budget original'!$A$2:$AO$2,0))</f>
        <v>0</v>
      </c>
      <c r="G79" s="84"/>
      <c r="H79" s="14"/>
      <c r="I79" s="31">
        <f>+INDEX('[5]Budget révisé'!$A$2:$AO$496,MATCH($A79,'[5]Budget révisé'!$A$2:$A$496,0),MATCH(I$2,'[5]Budget révisé'!$A$2:$AO$2,0))</f>
        <v>0</v>
      </c>
      <c r="J79" s="42"/>
      <c r="K79" s="14"/>
      <c r="L79" s="34">
        <f>-SUMIFS([5]BV_Data_An_Cour!$O:$O,[5]BV_Data_An_Cour!$U:$U,$B79,[5]BV_Data_An_Cour!$V:$V,$C79,[5]BV_Data_An_Cour!$W:$W,L$2)</f>
        <v>0</v>
      </c>
      <c r="M79" s="42"/>
      <c r="N79" s="60">
        <f t="shared" si="30"/>
        <v>0</v>
      </c>
      <c r="O79" s="42"/>
      <c r="P79" s="14"/>
      <c r="Q79" s="33">
        <f>-SUMIFS([5]BV_Data_An_Prec!$O:$O,[5]BV_Data_An_Prec!$U:$U,$B79,[5]BV_Data_An_Prec!$V:$V,$C79,[5]BV_Data_An_Prec!$W:$W,Q$2)</f>
        <v>0</v>
      </c>
      <c r="R79" s="42"/>
      <c r="S79" s="86">
        <f t="shared" si="31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30" t="s">
        <v>21</v>
      </c>
      <c r="D80" s="82"/>
      <c r="E80" s="14"/>
      <c r="F80" s="31">
        <f>+INDEX('[5]Budget original'!$A$2:$AO$496,MATCH($A80,'[5]Budget original'!$A$2:$A$496,0),MATCH(F$2,'[5]Budget original'!$A$2:$AO$2,0))</f>
        <v>0</v>
      </c>
      <c r="G80" s="84"/>
      <c r="H80" s="14"/>
      <c r="I80" s="31">
        <f>+INDEX('[5]Budget révisé'!$A$2:$AO$496,MATCH($A80,'[5]Budget révisé'!$A$2:$A$496,0),MATCH(I$2,'[5]Budget révisé'!$A$2:$AO$2,0))</f>
        <v>0</v>
      </c>
      <c r="J80" s="42"/>
      <c r="K80" s="14"/>
      <c r="L80" s="34">
        <f>-SUMIFS([5]BV_Data_An_Cour!$O:$O,[5]BV_Data_An_Cour!$U:$U,$B80,[5]BV_Data_An_Cour!$V:$V,$C80,[5]BV_Data_An_Cour!$W:$W,L$2)</f>
        <v>0</v>
      </c>
      <c r="M80" s="42"/>
      <c r="N80" s="60">
        <f t="shared" si="30"/>
        <v>0</v>
      </c>
      <c r="O80" s="42"/>
      <c r="P80" s="14"/>
      <c r="Q80" s="33">
        <f>-SUMIFS([5]BV_Data_An_Prec!$O:$O,[5]BV_Data_An_Prec!$U:$U,$B80,[5]BV_Data_An_Prec!$V:$V,$C80,[5]BV_Data_An_Prec!$W:$W,Q$2)</f>
        <v>0</v>
      </c>
      <c r="R80" s="42"/>
      <c r="S80" s="86">
        <f t="shared" si="31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30" t="s">
        <v>21</v>
      </c>
      <c r="D81" s="82"/>
      <c r="E81" s="14"/>
      <c r="F81" s="31">
        <f>+INDEX('[5]Budget original'!$A$2:$AO$496,MATCH($A81,'[5]Budget original'!$A$2:$A$496,0),MATCH(F$2,'[5]Budget original'!$A$2:$AO$2,0))</f>
        <v>0</v>
      </c>
      <c r="G81" s="84"/>
      <c r="H81" s="14"/>
      <c r="I81" s="31">
        <f>+INDEX('[5]Budget révisé'!$A$2:$AO$496,MATCH($A81,'[5]Budget révisé'!$A$2:$A$496,0),MATCH(I$2,'[5]Budget révisé'!$A$2:$AO$2,0))</f>
        <v>0</v>
      </c>
      <c r="J81" s="42"/>
      <c r="K81" s="14"/>
      <c r="L81" s="34">
        <f>-SUMIFS([5]BV_Data_An_Cour!$O:$O,[5]BV_Data_An_Cour!$U:$U,$B81,[5]BV_Data_An_Cour!$V:$V,$C81,[5]BV_Data_An_Cour!$W:$W,L$2)</f>
        <v>0</v>
      </c>
      <c r="M81" s="42"/>
      <c r="N81" s="60">
        <f t="shared" si="30"/>
        <v>0</v>
      </c>
      <c r="O81" s="42"/>
      <c r="P81" s="14"/>
      <c r="Q81" s="33">
        <f>-SUMIFS([5]BV_Data_An_Prec!$O:$O,[5]BV_Data_An_Prec!$U:$U,$B81,[5]BV_Data_An_Prec!$V:$V,$C81,[5]BV_Data_An_Prec!$W:$W,Q$2)</f>
        <v>0</v>
      </c>
      <c r="R81" s="42"/>
      <c r="S81" s="86">
        <f t="shared" si="31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30" t="s">
        <v>71</v>
      </c>
      <c r="D82" s="82"/>
      <c r="E82" s="14"/>
      <c r="F82" s="31">
        <f>+INDEX('[5]Budget original'!$A$2:$AO$496,MATCH($A82,'[5]Budget original'!$A$2:$A$496,0),MATCH(F$2,'[5]Budget original'!$A$2:$AO$2,0))</f>
        <v>22241.128197813006</v>
      </c>
      <c r="G82" s="84"/>
      <c r="H82" s="14"/>
      <c r="I82" s="31">
        <f>+INDEX('[5]Budget révisé'!$A$2:$AO$496,MATCH($A82,'[5]Budget révisé'!$A$2:$A$496,0),MATCH(I$2,'[5]Budget révisé'!$A$2:$AO$2,0))</f>
        <v>22241.12819781301</v>
      </c>
      <c r="J82" s="42"/>
      <c r="K82" s="14"/>
      <c r="L82" s="33">
        <f>-SUMIFS([5]BV_Data_An_Cour!$O:$O,[5]BV_Data_An_Cour!$U:$U,$B82,[5]BV_Data_An_Cour!$V:$V,$C82,[5]BV_Data_An_Cour!$W:$W,L$2)-L158</f>
        <v>18363</v>
      </c>
      <c r="M82" s="42"/>
      <c r="N82" s="60">
        <f t="shared" si="30"/>
        <v>-3878.12819781301</v>
      </c>
      <c r="O82" s="42"/>
      <c r="P82" s="14"/>
      <c r="Q82" s="33">
        <f>-SUMIFS([5]BV_Data_An_Prec!$O:$O,[5]BV_Data_An_Prec!$U:$U,$B82,[5]BV_Data_An_Prec!$V:$V,$C82,[5]BV_Data_An_Prec!$W:$W,Q$2)-Q158</f>
        <v>17446</v>
      </c>
      <c r="R82" s="42"/>
      <c r="S82" s="86">
        <f t="shared" si="31"/>
        <v>917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9" t="s">
        <v>72</v>
      </c>
      <c r="D83" s="100"/>
      <c r="E83" s="101"/>
      <c r="F83" s="102">
        <f>+SUM(F75:F82)</f>
        <v>140374.33319781302</v>
      </c>
      <c r="G83" s="103"/>
      <c r="H83" s="101"/>
      <c r="I83" s="102">
        <f>+SUM(I75:I82)</f>
        <v>103325.81750658351</v>
      </c>
      <c r="J83" s="103"/>
      <c r="K83" s="101"/>
      <c r="L83" s="102">
        <f>+SUM(L75:L82)</f>
        <v>83362</v>
      </c>
      <c r="M83" s="106"/>
      <c r="N83" s="102">
        <f>+SUM(N75:N82)</f>
        <v>-19963.817506583509</v>
      </c>
      <c r="O83" s="103"/>
      <c r="P83" s="101"/>
      <c r="Q83" s="102">
        <f>+SUM(Q75:Q82)</f>
        <v>148886.75</v>
      </c>
      <c r="R83" s="106"/>
      <c r="S83" s="107">
        <f>+SUM(S75:S82)</f>
        <v>-28126.75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30" t="s">
        <v>73</v>
      </c>
      <c r="D85" s="131"/>
      <c r="E85" s="132"/>
      <c r="F85" s="133">
        <f>F27-F74+F83</f>
        <v>78622.300513986818</v>
      </c>
      <c r="G85" s="134"/>
      <c r="H85" s="132"/>
      <c r="I85" s="133">
        <f>I27-I74+I83</f>
        <v>69118.09956620993</v>
      </c>
      <c r="J85" s="134"/>
      <c r="K85" s="131"/>
      <c r="L85" s="133">
        <f>L27-L74+L83</f>
        <v>65024.244999999821</v>
      </c>
      <c r="M85" s="134"/>
      <c r="N85" s="133">
        <f>N27-N41-N54-N72+N83</f>
        <v>-4093.8545662100933</v>
      </c>
      <c r="O85" s="134"/>
      <c r="P85" s="131"/>
      <c r="Q85" s="133">
        <f>Q27-Q74+Q83</f>
        <v>82348.105000000302</v>
      </c>
      <c r="R85" s="134"/>
      <c r="S85" s="135">
        <f>S27-S41-S54-S72+S83</f>
        <v>20074.139999999563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8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Avril 2021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19" t="s">
        <v>5</v>
      </c>
      <c r="E91" s="520"/>
      <c r="F91" s="521"/>
      <c r="G91" s="522" t="s">
        <v>75</v>
      </c>
      <c r="H91" s="520"/>
      <c r="I91" s="521"/>
      <c r="J91" s="522" t="s">
        <v>7</v>
      </c>
      <c r="K91" s="520"/>
      <c r="L91" s="521"/>
      <c r="M91" s="522" t="s">
        <v>8</v>
      </c>
      <c r="N91" s="521"/>
      <c r="O91" s="519" t="s">
        <v>9</v>
      </c>
      <c r="P91" s="520"/>
      <c r="Q91" s="521"/>
      <c r="R91" s="522" t="s">
        <v>10</v>
      </c>
      <c r="S91" s="52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2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+INDEX('[5]Budget original'!$A$2:$AO$496,MATCH($A93,'[5]Budget original'!$A$2:$A$496,0),MATCH(F$2,'[5]Budget original'!$A$2:$AO$2,0))</f>
        <v>994929.55394000048</v>
      </c>
      <c r="G93" s="47"/>
      <c r="H93" s="26"/>
      <c r="I93" s="23">
        <f>+INDEX('[5]Budget révisé'!$A$2:$AO$496,MATCH($A93,'[5]Budget révisé'!$A$2:$A$496,0),MATCH(I$2,'[5]Budget révisé'!$A$2:$AO$2,0))</f>
        <v>994929.55394000048</v>
      </c>
      <c r="J93" s="24"/>
      <c r="K93" s="26"/>
      <c r="L93" s="23">
        <f>-SUMIFS([5]BV_Data_An_Cour!$O:$O,[5]BV_Data_An_Cour!$X:$X,"Oui",[5]BV_Data_An_Cour!$U:$U,$B93)</f>
        <v>1146628.6600000001</v>
      </c>
      <c r="M93" s="143"/>
      <c r="N93" s="144"/>
      <c r="O93" s="24"/>
      <c r="P93" s="26"/>
      <c r="Q93" s="23">
        <f>-SUMIFS([5]BV_Data_An_Prec!$O:$O,[5]BV_Data_An_Prec!$X:$X,"Oui",[5]BV_Data_An_Prec!$U:$U,$B93)</f>
        <v>820044.27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2"/>
        <v>Véhicules usagésCertifié</v>
      </c>
      <c r="B94" s="12" t="s">
        <v>74</v>
      </c>
      <c r="C94" s="30" t="s">
        <v>76</v>
      </c>
      <c r="D94" s="31">
        <f>+INDEX('[5]Budget original'!$A$2:$AO$496,MATCH($A94,'[5]Budget original'!$A$2:$A$496,0),MATCH(D$2,'[5]Budget original'!$A$2:$AO$2,0))</f>
        <v>29.860314520542744</v>
      </c>
      <c r="E94" s="31">
        <f>IF(D94=0,0,F94/D94)</f>
        <v>750</v>
      </c>
      <c r="F94" s="31">
        <f>+INDEX('[5]Budget original'!$A$2:$AO$496,MATCH($A94,'[5]Budget original'!$A$2:$A$496,0),MATCH(F$2,'[5]Budget original'!$A$2:$AO$2,0))</f>
        <v>22395.235890407057</v>
      </c>
      <c r="G94" s="32">
        <f>+INDEX('[5]Budget révisé'!$A$2:$AO$496,MATCH($A94,'[5]Budget révisé'!$A$2:$A$496,0),MATCH(G$2,'[5]Budget révisé'!$A$2:$AO$2,0))</f>
        <v>29.860314520542744</v>
      </c>
      <c r="H94" s="31">
        <f>IF(G94=0,0,I94/G94)</f>
        <v>750</v>
      </c>
      <c r="I94" s="31">
        <f>+INDEX('[5]Budget révisé'!$A$2:$AO$496,MATCH($A94,'[5]Budget révisé'!$A$2:$A$496,0),MATCH(I$2,'[5]Budget révisé'!$A$2:$AO$2,0))</f>
        <v>22395.235890407057</v>
      </c>
      <c r="J94" s="32">
        <f>-SUMIFS([5]BV_Data_An_Cour!$O:$O,[5]BV_Data_An_Cour!$U:$U,$B94,[5]BV_Data_An_Cour!$V:$V,$C94,[5]BV_Data_An_Cour!$W:$W,J$2)</f>
        <v>39</v>
      </c>
      <c r="K94" s="31">
        <f t="shared" ref="K94:K95" si="33">IF(J94=0,0,L94/J94)</f>
        <v>1018.0956410256416</v>
      </c>
      <c r="L94" s="34">
        <f>-SUMIFS([5]BV_Data_An_Cour!$O:$O,[5]BV_Data_An_Cour!$U:$U,$B94,[5]BV_Data_An_Cour!$V:$V,$C94,[5]BV_Data_An_Cour!$W:$W,$L2)</f>
        <v>39705.730000000025</v>
      </c>
      <c r="M94" s="32">
        <f>J94-G94</f>
        <v>9.1396854794572562</v>
      </c>
      <c r="N94" s="34">
        <f>L94-I94</f>
        <v>17310.494109592968</v>
      </c>
      <c r="O94" s="32">
        <f>-SUMIFS([5]BV_Data_An_Prec!$O:$O,[5]BV_Data_An_Prec!$U:$U,$B94,[5]BV_Data_An_Prec!$V:$V,$C94,[5]BV_Data_An_Prec!$W:$W,O$2)</f>
        <v>0</v>
      </c>
      <c r="P94" s="31">
        <f t="shared" ref="P94:P95" si="34">IF(O94=0,0,Q94/O94)</f>
        <v>0</v>
      </c>
      <c r="Q94" s="34">
        <f>-SUMIFS([5]BV_Data_An_Prec!$O:$O,[5]BV_Data_An_Prec!$U:$U,$B94,[5]BV_Data_An_Prec!$V:$V,$C94,[5]BV_Data_An_Prec!$W:$W,$L2)</f>
        <v>0</v>
      </c>
      <c r="R94" s="32">
        <f t="shared" ref="R94:R95" si="35">J94-O94</f>
        <v>39</v>
      </c>
      <c r="S94" s="35">
        <f t="shared" ref="S94:S95" si="36">L94-Q94</f>
        <v>39705.730000000025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2"/>
        <v>Véhicules usagésNon Certifié</v>
      </c>
      <c r="B95" s="12" t="s">
        <v>74</v>
      </c>
      <c r="C95" s="30" t="s">
        <v>77</v>
      </c>
      <c r="D95" s="31">
        <f>+INDEX('[5]Budget original'!$A$2:$AO$496,MATCH($A95,'[5]Budget original'!$A$2:$A$496,0),MATCH(D$2,'[5]Budget original'!$A$2:$AO$2,0))</f>
        <v>1.7030597635290536</v>
      </c>
      <c r="E95" s="26">
        <f t="shared" ref="E95:E104" si="37">IF(D95=0,0,F95/D95)</f>
        <v>750</v>
      </c>
      <c r="F95" s="31">
        <f>+INDEX('[5]Budget original'!$A$2:$AO$496,MATCH($A95,'[5]Budget original'!$A$2:$A$496,0),MATCH(F$2,'[5]Budget original'!$A$2:$AO$2,0))</f>
        <v>1277.2948226467902</v>
      </c>
      <c r="G95" s="32">
        <f>+INDEX('[5]Budget révisé'!$A$2:$AO$496,MATCH($A95,'[5]Budget révisé'!$A$2:$A$496,0),MATCH(G$2,'[5]Budget révisé'!$A$2:$AO$2,0))</f>
        <v>1.7030597635290536</v>
      </c>
      <c r="H95" s="31">
        <f t="shared" ref="H95:H97" si="38">IF(G95=0,0,I95/G95)</f>
        <v>750</v>
      </c>
      <c r="I95" s="31">
        <f>+INDEX('[5]Budget révisé'!$A$2:$AO$496,MATCH($A95,'[5]Budget révisé'!$A$2:$A$496,0),MATCH(I$2,'[5]Budget révisé'!$A$2:$AO$2,0))</f>
        <v>1277.2948226467902</v>
      </c>
      <c r="J95" s="32">
        <f>-SUMIFS([5]BV_Data_An_Cour!$O:$O,[5]BV_Data_An_Cour!$U:$U,$B95,[5]BV_Data_An_Cour!$V:$V,$C95,[5]BV_Data_An_Cour!$W:$W,J$2)</f>
        <v>2</v>
      </c>
      <c r="K95" s="31">
        <f t="shared" si="33"/>
        <v>755.54500000000087</v>
      </c>
      <c r="L95" s="33">
        <f>-SUMIFS([5]BV_Data_An_Cour!$O:$O,[5]BV_Data_An_Cour!$U:$U,$B95,[5]BV_Data_An_Cour!$V:$V,$C95,[5]BV_Data_An_Cour!$W:$W,$L2)</f>
        <v>1511.0900000000017</v>
      </c>
      <c r="M95" s="32"/>
      <c r="N95" s="34"/>
      <c r="O95" s="32">
        <f>-SUMIFS([5]BV_Data_An_Prec!$O:$O,[5]BV_Data_An_Prec!$U:$U,$B95,[5]BV_Data_An_Prec!$V:$V,$C95,[5]BV_Data_An_Prec!$W:$W,O$2)</f>
        <v>39</v>
      </c>
      <c r="P95" s="31">
        <f t="shared" si="34"/>
        <v>579.61717948717967</v>
      </c>
      <c r="Q95" s="33">
        <f>-SUMIFS([5]BV_Data_An_Prec!$O:$O,[5]BV_Data_An_Prec!$U:$U,$B95,[5]BV_Data_An_Prec!$V:$V,$C95,[5]BV_Data_An_Prec!$W:$W,$L2)</f>
        <v>22605.070000000007</v>
      </c>
      <c r="R95" s="32">
        <f t="shared" si="35"/>
        <v>-37</v>
      </c>
      <c r="S95" s="35">
        <f t="shared" si="36"/>
        <v>-21093.980000000007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2"/>
        <v>Véhicules usagésTotal Usagés</v>
      </c>
      <c r="B96" s="12" t="s">
        <v>74</v>
      </c>
      <c r="C96" s="36" t="s">
        <v>78</v>
      </c>
      <c r="D96" s="37">
        <f>+D95+D94</f>
        <v>31.563374284071799</v>
      </c>
      <c r="E96" s="31">
        <f t="shared" si="37"/>
        <v>749.99999999999989</v>
      </c>
      <c r="F96" s="38">
        <f t="shared" ref="F96" si="39">+F94+F95</f>
        <v>23672.530713053846</v>
      </c>
      <c r="G96" s="39">
        <f>+G95+G94</f>
        <v>31.563374284071799</v>
      </c>
      <c r="H96" s="37">
        <f t="shared" si="38"/>
        <v>749.99999999999989</v>
      </c>
      <c r="I96" s="38">
        <f t="shared" ref="I96:J96" si="40">+I94+I95</f>
        <v>23672.530713053846</v>
      </c>
      <c r="J96" s="39">
        <f t="shared" si="40"/>
        <v>41</v>
      </c>
      <c r="K96" s="37">
        <f>IF(J96&lt;=0,0,L96/J96)</f>
        <v>1005.2882926829275</v>
      </c>
      <c r="L96" s="38">
        <f>+L94+L95</f>
        <v>41216.820000000029</v>
      </c>
      <c r="M96" s="39">
        <f>J96-G96</f>
        <v>9.4366257159282014</v>
      </c>
      <c r="N96" s="38">
        <f>L96-I96</f>
        <v>17544.289286946183</v>
      </c>
      <c r="O96" s="39">
        <f t="shared" ref="O96" si="41">+O94+O95</f>
        <v>39</v>
      </c>
      <c r="P96" s="37">
        <f>IF(O96&lt;=0,0,Q96/O96)</f>
        <v>579.61717948717967</v>
      </c>
      <c r="Q96" s="38">
        <f>+Q94+Q95</f>
        <v>22605.070000000007</v>
      </c>
      <c r="R96" s="39">
        <f t="shared" ref="R96:S96" si="42">R94+R95</f>
        <v>2</v>
      </c>
      <c r="S96" s="40">
        <f t="shared" si="42"/>
        <v>18611.750000000018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2"/>
        <v>Véhicules usagés</v>
      </c>
      <c r="B97" s="12" t="s">
        <v>74</v>
      </c>
      <c r="C97" s="30"/>
      <c r="D97" s="14"/>
      <c r="E97" s="31">
        <f t="shared" si="37"/>
        <v>0</v>
      </c>
      <c r="F97" s="41"/>
      <c r="G97" s="42"/>
      <c r="H97" s="14">
        <f t="shared" si="38"/>
        <v>0</v>
      </c>
      <c r="I97" s="41"/>
      <c r="J97" s="42"/>
      <c r="K97" s="14"/>
      <c r="L97" s="41"/>
      <c r="M97" s="43">
        <f>M96/G96</f>
        <v>0.29897391929640166</v>
      </c>
      <c r="N97" s="44">
        <f>N96/I96</f>
        <v>0.74112436475884091</v>
      </c>
      <c r="O97" s="42"/>
      <c r="P97" s="14"/>
      <c r="Q97" s="41"/>
      <c r="R97" s="43">
        <f>R96/O96</f>
        <v>5.128205128205128E-2</v>
      </c>
      <c r="S97" s="45">
        <f>IF(Q96=0,0,(S96/Q96))</f>
        <v>0.82334405511683939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2"/>
        <v>Véhicules usagésUS</v>
      </c>
      <c r="B98" s="12" t="s">
        <v>74</v>
      </c>
      <c r="C98" s="30" t="s">
        <v>196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2"/>
        <v>Véhicules usagésVentes au Gros</v>
      </c>
      <c r="B99" s="12" t="s">
        <v>74</v>
      </c>
      <c r="C99" s="30" t="s">
        <v>79</v>
      </c>
      <c r="D99" s="31">
        <f>+INDEX('[5]Budget original'!$A$2:$AO$496,MATCH($A99,'[5]Budget original'!$A$2:$A$496,0),MATCH(D$2,'[5]Budget original'!$A$2:$AO$2,0))</f>
        <v>26.745806630187154</v>
      </c>
      <c r="E99" s="31">
        <f t="shared" si="37"/>
        <v>120</v>
      </c>
      <c r="F99" s="31">
        <f>+INDEX('[5]Budget original'!$A$2:$AO$496,MATCH($A99,'[5]Budget original'!$A$2:$A$496,0),MATCH(F$2,'[5]Budget original'!$A$2:$AO$2,0))</f>
        <v>3209.4967956224586</v>
      </c>
      <c r="G99" s="42">
        <f>+INDEX('[5]Budget révisé'!$A$2:$AO$496,MATCH($A99,'[5]Budget révisé'!$A$2:$A$496,0),MATCH(G$2,'[5]Budget révisé'!$A$2:$AO$2,0))</f>
        <v>26.745806630187154</v>
      </c>
      <c r="H99" s="31">
        <f t="shared" ref="H99:H104" si="43">IF(G99=0,0,I99/G99)</f>
        <v>120</v>
      </c>
      <c r="I99" s="31">
        <f>+INDEX('[5]Budget révisé'!$A$2:$AO$496,MATCH($A99,'[5]Budget révisé'!$A$2:$A$496,0),MATCH(I$2,'[5]Budget révisé'!$A$2:$AO$2,0))</f>
        <v>3209.4967956224586</v>
      </c>
      <c r="J99" s="32">
        <f>-SUMIFS([5]BV_Data_An_Cour!$O:$O,[5]BV_Data_An_Cour!$U:$U,$B99,[5]BV_Data_An_Cour!$V:$V,$C99,[5]BV_Data_An_Cour!$W:$W,J$2)</f>
        <v>25</v>
      </c>
      <c r="K99" s="31">
        <f t="shared" ref="K99" si="44">IF(J99=0,0,L99/J99)</f>
        <v>340.51159999999913</v>
      </c>
      <c r="L99" s="34">
        <f>-SUMIFS([5]BV_Data_An_Cour!$O:$O,[5]BV_Data_An_Cour!$U:$U,$B99,[5]BV_Data_An_Cour!$V:$V,$C99,[5]BV_Data_An_Cour!$W:$W,L$2)</f>
        <v>8512.789999999979</v>
      </c>
      <c r="M99" s="32">
        <f t="shared" ref="M99" si="45">J99-G99</f>
        <v>-1.745806630187154</v>
      </c>
      <c r="N99" s="34">
        <f t="shared" ref="N99" si="46">L99-I99</f>
        <v>5303.2932043775199</v>
      </c>
      <c r="O99" s="32">
        <f>-SUMIFS([5]BV_Data_An_Prec!$O:$O,[5]BV_Data_An_Prec!$U:$U,$B99,[5]BV_Data_An_Prec!$V:$V,$C99,[5]BV_Data_An_Prec!$W:$W,O$2)</f>
        <v>22</v>
      </c>
      <c r="P99" s="31">
        <f t="shared" ref="P99" si="47">IF(O99=0,0,Q99/O99)</f>
        <v>332.49272727272711</v>
      </c>
      <c r="Q99" s="34">
        <f>-SUMIFS([5]BV_Data_An_Prec!$O:$O,[5]BV_Data_An_Prec!$U:$U,$B99,[5]BV_Data_An_Prec!$V:$V,$C99,[5]BV_Data_An_Prec!$W:$W,Q$2)</f>
        <v>7314.8399999999965</v>
      </c>
      <c r="R99" s="32">
        <f t="shared" ref="R99" si="48">J99-O99</f>
        <v>3</v>
      </c>
      <c r="S99" s="35">
        <f t="shared" ref="S99" si="49">L99-Q99</f>
        <v>1197.9499999999825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2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2"/>
        <v>Véhicules usagésRev. Finances</v>
      </c>
      <c r="B101" s="12" t="s">
        <v>74</v>
      </c>
      <c r="C101" s="30" t="s">
        <v>26</v>
      </c>
      <c r="D101" s="31">
        <f>+INDEX('[5]Budget original'!$A$2:$AO$496,MATCH($A101,'[5]Budget original'!$A$2:$A$496,0),MATCH(D$2,'[5]Budget original'!$A$2:$AO$2,0))</f>
        <v>0</v>
      </c>
      <c r="E101" s="31">
        <f t="shared" si="37"/>
        <v>0</v>
      </c>
      <c r="F101" s="34">
        <f>+INDEX('[5]Budget original'!$A$2:$AO$496,MATCH($A101,'[5]Budget original'!$A$2:$A$496,0),MATCH(F$2,'[5]Budget original'!$A$2:$AO$2,0))</f>
        <v>25379.906222572354</v>
      </c>
      <c r="G101" s="32">
        <f>+INDEX('[5]Budget révisé'!$A$2:$AO$496,MATCH($A101,'[5]Budget révisé'!$A$2:$A$496,0),MATCH(G$2,'[5]Budget révisé'!$A$2:$AO$2,0))</f>
        <v>0</v>
      </c>
      <c r="H101" s="31">
        <f t="shared" si="43"/>
        <v>0</v>
      </c>
      <c r="I101" s="31">
        <f>+INDEX('[5]Budget révisé'!$A$2:$AO$496,MATCH($A101,'[5]Budget révisé'!$A$2:$A$496,0),MATCH(I$2,'[5]Budget révisé'!$A$2:$AO$2,0))</f>
        <v>25379.906222572354</v>
      </c>
      <c r="J101" s="32"/>
      <c r="K101" s="31">
        <f>IF(J96=0,0,L101/J96)</f>
        <v>522.44707317073176</v>
      </c>
      <c r="L101" s="34">
        <f>-SUMIFS([5]BV_Data_An_Cour!$O:$O,[5]BV_Data_An_Cour!$U:$U,$B101,[5]BV_Data_An_Cour!$V:$V,$C101,[5]BV_Data_An_Cour!$W:$W,$L2)</f>
        <v>21420.33</v>
      </c>
      <c r="M101" s="32"/>
      <c r="N101" s="34">
        <f t="shared" ref="N101:N104" si="50">L101-I101</f>
        <v>-3959.576222572352</v>
      </c>
      <c r="O101" s="32"/>
      <c r="P101" s="31">
        <f>IF(O96=0,0,Q101/O96)</f>
        <v>414.40641025641025</v>
      </c>
      <c r="Q101" s="34">
        <f>-SUMIFS([5]BV_Data_An_Prec!$O:$O,[5]BV_Data_An_Prec!$U:$U,$B101,[5]BV_Data_An_Prec!$V:$V,$C101,[5]BV_Data_An_Prec!$W:$W,$L2)</f>
        <v>16161.85</v>
      </c>
      <c r="R101" s="32">
        <f t="shared" ref="R101:R103" si="51">O101-K101</f>
        <v>-522.44707317073176</v>
      </c>
      <c r="S101" s="35">
        <f t="shared" ref="S101:S104" si="52">L101-Q101</f>
        <v>5258.4800000000014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2"/>
        <v>Véhicules usagésRev. Protections</v>
      </c>
      <c r="B102" s="12" t="s">
        <v>74</v>
      </c>
      <c r="C102" s="30" t="s">
        <v>27</v>
      </c>
      <c r="D102" s="31">
        <f>+INDEX('[5]Budget original'!$A$2:$AO$496,MATCH($A102,'[5]Budget original'!$A$2:$A$496,0),MATCH(D$2,'[5]Budget original'!$A$2:$AO$2,0))</f>
        <v>0</v>
      </c>
      <c r="E102" s="31">
        <f t="shared" si="37"/>
        <v>0</v>
      </c>
      <c r="F102" s="34">
        <f>+INDEX('[5]Budget original'!$A$2:$AO$496,MATCH($A102,'[5]Budget original'!$A$2:$A$496,0),MATCH(F$2,'[5]Budget original'!$A$2:$AO$2,0))</f>
        <v>28763.893718915333</v>
      </c>
      <c r="G102" s="32">
        <f>+INDEX('[5]Budget révisé'!$A$2:$AO$496,MATCH($A102,'[5]Budget révisé'!$A$2:$A$496,0),MATCH(G$2,'[5]Budget révisé'!$A$2:$AO$2,0))</f>
        <v>0</v>
      </c>
      <c r="H102" s="31">
        <f t="shared" si="43"/>
        <v>0</v>
      </c>
      <c r="I102" s="31">
        <f>+INDEX('[5]Budget révisé'!$A$2:$AO$496,MATCH($A102,'[5]Budget révisé'!$A$2:$A$496,0),MATCH(I$2,'[5]Budget révisé'!$A$2:$AO$2,0))</f>
        <v>28763.893718915333</v>
      </c>
      <c r="J102" s="32"/>
      <c r="K102" s="31">
        <f>IF(J96=0,0,L102/J96)</f>
        <v>981.94195121951213</v>
      </c>
      <c r="L102" s="34">
        <f>-SUMIFS([5]BV_Data_An_Cour!$O:$O,[5]BV_Data_An_Cour!$U:$U,$B102,[5]BV_Data_An_Cour!$V:$V,$C102,[5]BV_Data_An_Cour!$W:$W,$L2)</f>
        <v>40259.619999999995</v>
      </c>
      <c r="M102" s="32"/>
      <c r="N102" s="34">
        <f t="shared" si="50"/>
        <v>11495.726281084662</v>
      </c>
      <c r="O102" s="32"/>
      <c r="P102" s="31">
        <f>IF(O96=0,0,Q102/O96)</f>
        <v>612.08974358974353</v>
      </c>
      <c r="Q102" s="34">
        <f>-SUMIFS([5]BV_Data_An_Prec!$O:$O,[5]BV_Data_An_Prec!$U:$U,$B102,[5]BV_Data_An_Prec!$V:$V,$C102,[5]BV_Data_An_Prec!$W:$W,$L2)</f>
        <v>23871.5</v>
      </c>
      <c r="R102" s="32">
        <f t="shared" si="51"/>
        <v>-981.94195121951213</v>
      </c>
      <c r="S102" s="35">
        <f t="shared" si="52"/>
        <v>16388.119999999995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2"/>
        <v>Véhicules usagésRev. Autres</v>
      </c>
      <c r="B103" s="12" t="s">
        <v>74</v>
      </c>
      <c r="C103" s="30" t="s">
        <v>28</v>
      </c>
      <c r="D103" s="31">
        <f>+INDEX('[5]Budget original'!$A$2:$AO$496,MATCH($A103,'[5]Budget original'!$A$2:$A$496,0),MATCH(D$2,'[5]Budget original'!$A$2:$AO$2,0))</f>
        <v>0</v>
      </c>
      <c r="E103" s="26">
        <f t="shared" si="37"/>
        <v>0</v>
      </c>
      <c r="F103" s="34">
        <f>+INDEX('[5]Budget original'!$A$2:$AO$496,MATCH($A103,'[5]Budget original'!$A$2:$A$496,0),MATCH(F$2,'[5]Budget original'!$A$2:$AO$2,0))</f>
        <v>0</v>
      </c>
      <c r="G103" s="32">
        <f>+INDEX('[5]Budget révisé'!$A$2:$AO$496,MATCH($A103,'[5]Budget révisé'!$A$2:$A$496,0),MATCH(G$2,'[5]Budget révisé'!$A$2:$AO$2,0))</f>
        <v>0</v>
      </c>
      <c r="H103" s="48">
        <f t="shared" si="43"/>
        <v>0</v>
      </c>
      <c r="I103" s="31">
        <f>+INDEX('[5]Budget révisé'!$A$2:$AO$496,MATCH($A103,'[5]Budget révisé'!$A$2:$A$496,0),MATCH(I$2,'[5]Budget révisé'!$A$2:$AO$2,0))</f>
        <v>0</v>
      </c>
      <c r="J103" s="32"/>
      <c r="K103" s="48">
        <f>IF(J96=0,0,L103/J96)</f>
        <v>4.9360975609756093</v>
      </c>
      <c r="L103" s="34">
        <f>-SUMIFS([5]BV_Data_An_Cour!$O:$O,[5]BV_Data_An_Cour!$U:$U,$B103,[5]BV_Data_An_Cour!$V:$V,$C103,[5]BV_Data_An_Cour!$W:$W,$L$2)</f>
        <v>202.38</v>
      </c>
      <c r="M103" s="52"/>
      <c r="N103" s="34">
        <f t="shared" si="50"/>
        <v>202.38</v>
      </c>
      <c r="O103" s="32"/>
      <c r="P103" s="48">
        <f>IF(O96=0,0,Q103/O96)</f>
        <v>87.66153846153847</v>
      </c>
      <c r="Q103" s="34">
        <f>-SUMIFS([5]BV_Data_An_Prec!$O:$O,[5]BV_Data_An_Prec!$U:$U,$B103,[5]BV_Data_An_Prec!$V:$V,$C103,[5]BV_Data_An_Prec!$W:$W,$L$2)</f>
        <v>3418.8</v>
      </c>
      <c r="R103" s="32">
        <f t="shared" si="51"/>
        <v>-4.9360975609756093</v>
      </c>
      <c r="S103" s="35">
        <f t="shared" si="52"/>
        <v>-3216.42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2"/>
        <v>Véhicules usagésTotal F&amp;I</v>
      </c>
      <c r="B104" s="12" t="s">
        <v>74</v>
      </c>
      <c r="C104" s="36" t="s">
        <v>29</v>
      </c>
      <c r="D104" s="37">
        <f>D96</f>
        <v>31.563374284071799</v>
      </c>
      <c r="E104" s="31">
        <f t="shared" si="37"/>
        <v>1715.3996101364521</v>
      </c>
      <c r="F104" s="38">
        <f>F101+F102+F103</f>
        <v>54143.799941487683</v>
      </c>
      <c r="G104" s="39">
        <f>G96</f>
        <v>31.563374284071799</v>
      </c>
      <c r="H104" s="37">
        <f t="shared" si="43"/>
        <v>1715.3996101364521</v>
      </c>
      <c r="I104" s="38">
        <f>I101+I102+I103</f>
        <v>54143.799941487683</v>
      </c>
      <c r="J104" s="39">
        <f>J96</f>
        <v>41</v>
      </c>
      <c r="K104" s="37">
        <f>IF(J104&lt;=0,0,L104/J104)</f>
        <v>1509.3251219512194</v>
      </c>
      <c r="L104" s="38">
        <f>L101+L102+L103</f>
        <v>61882.329999999994</v>
      </c>
      <c r="M104" s="32">
        <f>J104-G104</f>
        <v>9.4366257159282014</v>
      </c>
      <c r="N104" s="38">
        <f t="shared" si="50"/>
        <v>7738.5300585123114</v>
      </c>
      <c r="O104" s="39">
        <f>O96</f>
        <v>39</v>
      </c>
      <c r="P104" s="37">
        <f>IF(O104&lt;=0,0,Q104/O104)</f>
        <v>1114.1576923076923</v>
      </c>
      <c r="Q104" s="38">
        <f>Q101+Q102+Q103</f>
        <v>43452.15</v>
      </c>
      <c r="R104" s="57"/>
      <c r="S104" s="40">
        <f t="shared" si="52"/>
        <v>18430.179999999993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2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0.14292550701788967</v>
      </c>
      <c r="O105" s="42"/>
      <c r="P105" s="14"/>
      <c r="Q105" s="60"/>
      <c r="R105" s="61"/>
      <c r="S105" s="45">
        <f>IF(Q104=0,0,(S104/Q104))</f>
        <v>0.42414886259943391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2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tr">
        <f t="shared" si="32"/>
        <v>Véhicules usagésTotal Dépt. Usagés</v>
      </c>
      <c r="B107" s="12" t="s">
        <v>74</v>
      </c>
      <c r="C107" s="63" t="s">
        <v>80</v>
      </c>
      <c r="D107" s="64">
        <f>D96+D99</f>
        <v>58.309180914258953</v>
      </c>
      <c r="E107" s="68">
        <f>IF(D107&lt;=0,0,F107/D107)</f>
        <v>1389.5895325524955</v>
      </c>
      <c r="F107" s="66">
        <f>F96+F104+F99</f>
        <v>81025.827450163983</v>
      </c>
      <c r="G107" s="67">
        <f>G96+G99</f>
        <v>58.309180914258953</v>
      </c>
      <c r="H107" s="68">
        <f>IF(G107&lt;=0,0,I107/G107)</f>
        <v>1389.5895325524955</v>
      </c>
      <c r="I107" s="66">
        <f>I96+I104+I99</f>
        <v>81025.827450163983</v>
      </c>
      <c r="J107" s="67">
        <f>J96+J99</f>
        <v>66</v>
      </c>
      <c r="K107" s="68">
        <f>IF(J107&lt;=0,0,L107/J107)</f>
        <v>1691.0900000000001</v>
      </c>
      <c r="L107" s="66">
        <f>L96+L104+L99</f>
        <v>111611.94</v>
      </c>
      <c r="M107" s="67">
        <f>J107-G107</f>
        <v>7.6908190857410474</v>
      </c>
      <c r="N107" s="66">
        <f>L107-I107</f>
        <v>30586.11254983602</v>
      </c>
      <c r="O107" s="67">
        <f>O96+O99</f>
        <v>61</v>
      </c>
      <c r="P107" s="68">
        <f>IF(O107&lt;=0,0,Q107/O107)</f>
        <v>1202.8206557377048</v>
      </c>
      <c r="Q107" s="66">
        <f>Q96+Q104+Q99</f>
        <v>73372.06</v>
      </c>
      <c r="R107" s="67">
        <f>J107-O107</f>
        <v>5</v>
      </c>
      <c r="S107" s="69">
        <f>L107-Q107</f>
        <v>38239.880000000005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2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0.13189722381883659</v>
      </c>
      <c r="N108" s="75">
        <f>N107/I107</f>
        <v>0.37748596357930952</v>
      </c>
      <c r="O108" s="73"/>
      <c r="P108" s="71"/>
      <c r="Q108" s="72"/>
      <c r="R108" s="74">
        <f>O107/R107</f>
        <v>12.2</v>
      </c>
      <c r="S108" s="151">
        <f>IF(Q107=0,0,(S107/Q107))</f>
        <v>0.52117767989613495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2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2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2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3">F111/D$96</f>
        <v>438.0947448356996</v>
      </c>
      <c r="F111" s="31">
        <f>+INDEX('[5]Budget original'!$A$2:$AO$496,MATCH($A111,'[5]Budget original'!$A$2:$A$496,0),MATCH(F$2,'[5]Budget original'!$A$2:$AO$2,0))</f>
        <v>13827.748403134117</v>
      </c>
      <c r="G111" s="152">
        <f>I111/I96</f>
        <v>0.58412632644759954</v>
      </c>
      <c r="H111" s="83">
        <f t="shared" ref="H111:H119" si="54">I111/G$96</f>
        <v>438.0947448356996</v>
      </c>
      <c r="I111" s="31">
        <f>+INDEX('[5]Budget révisé'!$A$2:$AO$496,MATCH($A111,'[5]Budget révisé'!$A$2:$A$496,0),MATCH(I$2,'[5]Budget révisé'!$A$2:$AO$2,0))</f>
        <v>13827.748403134117</v>
      </c>
      <c r="J111" s="152">
        <f>L111/L96</f>
        <v>0.42891931012630247</v>
      </c>
      <c r="K111" s="83">
        <f t="shared" ref="K111:K119" si="55">IF($J$96=0,0,L111/(J$94+J$95))</f>
        <v>431.1875609756097</v>
      </c>
      <c r="L111" s="34">
        <f>SUMIFS([5]BV_Data_An_Cour!$O:$O,[5]BV_Data_An_Cour!$U:$U,$B111,[5]BV_Data_An_Cour!$V:$V,$C111,[5]BV_Data_An_Cour!$W:$W,$L$2)</f>
        <v>17678.689999999999</v>
      </c>
      <c r="M111" s="42"/>
      <c r="N111" s="60">
        <f t="shared" ref="N111:N152" si="56">L111-I111</f>
        <v>3850.9415968658814</v>
      </c>
      <c r="O111" s="42"/>
      <c r="P111" s="83">
        <f t="shared" ref="P111:P119" si="57">IF($J$96=0,0,Q111/(O$94+O$95))</f>
        <v>245.37179487179486</v>
      </c>
      <c r="Q111" s="34">
        <f>SUMIFS([5]BV_Data_An_Prec!$O:$O,[5]BV_Data_An_Prec!$U:$U,$B111,[5]BV_Data_An_Prec!$V:$V,$C111,[5]BV_Data_An_Prec!$W:$W,$L$2)</f>
        <v>9569.5</v>
      </c>
      <c r="R111" s="42"/>
      <c r="S111" s="86">
        <f t="shared" ref="S111:S152" si="58">L111-Q111</f>
        <v>8109.1899999999987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2"/>
        <v>Véhicules usagésComm. F&amp;I</v>
      </c>
      <c r="B112" s="12" t="s">
        <v>74</v>
      </c>
      <c r="C112" s="88" t="s">
        <v>33</v>
      </c>
      <c r="D112" s="89"/>
      <c r="E112" s="90">
        <f t="shared" si="53"/>
        <v>514.61988304093563</v>
      </c>
      <c r="F112" s="23">
        <f>+INDEX('[5]Budget original'!$A$2:$AO$496,MATCH($A112,'[5]Budget original'!$A$2:$A$496,0),MATCH(F$2,'[5]Budget original'!$A$2:$AO$2,0))</f>
        <v>16243.139982446304</v>
      </c>
      <c r="G112" s="93">
        <f>I112/I104</f>
        <v>0.3</v>
      </c>
      <c r="H112" s="90">
        <f t="shared" si="54"/>
        <v>514.61988304093563</v>
      </c>
      <c r="I112" s="23">
        <f>+INDEX('[5]Budget révisé'!$A$2:$AO$496,MATCH($A112,'[5]Budget révisé'!$A$2:$A$496,0),MATCH(I$2,'[5]Budget révisé'!$A$2:$AO$2,0))</f>
        <v>16243.139982446304</v>
      </c>
      <c r="J112" s="93">
        <f>L112/L104</f>
        <v>0.32801657597572687</v>
      </c>
      <c r="K112" s="90">
        <f t="shared" si="55"/>
        <v>495.08365853658535</v>
      </c>
      <c r="L112" s="34">
        <f>SUMIFS([5]BV_Data_An_Cour!$O:$O,[5]BV_Data_An_Cour!$U:$U,$B112,[5]BV_Data_An_Cour!$V:$V,$C112,[5]BV_Data_An_Cour!$W:$W,$L$2)</f>
        <v>20298.43</v>
      </c>
      <c r="M112" s="24"/>
      <c r="N112" s="94">
        <f t="shared" si="56"/>
        <v>4055.2900175536961</v>
      </c>
      <c r="O112" s="24"/>
      <c r="P112" s="90">
        <f t="shared" si="57"/>
        <v>270.16307692307691</v>
      </c>
      <c r="Q112" s="34">
        <f>SUMIFS([5]BV_Data_An_Prec!$O:$O,[5]BV_Data_An_Prec!$U:$U,$B112,[5]BV_Data_An_Prec!$V:$V,$C112,[5]BV_Data_An_Prec!$W:$W,$L$2)</f>
        <v>10536.36</v>
      </c>
      <c r="R112" s="24"/>
      <c r="S112" s="95">
        <f t="shared" si="58"/>
        <v>9762.07</v>
      </c>
      <c r="T112" s="14"/>
      <c r="U112" s="14"/>
      <c r="V112" s="14"/>
      <c r="W112" s="14">
        <f>L104*0.3</f>
        <v>18564.698999999997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2"/>
        <v>Véhicules usagésFrais de livraison</v>
      </c>
      <c r="B113" s="12" t="s">
        <v>74</v>
      </c>
      <c r="C113" s="30" t="s">
        <v>34</v>
      </c>
      <c r="D113" s="82"/>
      <c r="E113" s="83">
        <f t="shared" si="53"/>
        <v>54</v>
      </c>
      <c r="F113" s="31">
        <f>+INDEX('[5]Budget original'!$A$2:$AO$496,MATCH($A113,'[5]Budget original'!$A$2:$A$496,0),MATCH(F$2,'[5]Budget original'!$A$2:$AO$2,0))</f>
        <v>1704.4222113398771</v>
      </c>
      <c r="G113" s="84"/>
      <c r="H113" s="83">
        <f t="shared" si="54"/>
        <v>54</v>
      </c>
      <c r="I113" s="31">
        <f>+INDEX('[5]Budget révisé'!$A$2:$AO$496,MATCH($A113,'[5]Budget révisé'!$A$2:$A$496,0),MATCH(I$2,'[5]Budget révisé'!$A$2:$AO$2,0))</f>
        <v>1704.4222113398771</v>
      </c>
      <c r="J113" s="42"/>
      <c r="K113" s="83">
        <f t="shared" si="55"/>
        <v>98.626097560975609</v>
      </c>
      <c r="L113" s="114">
        <f>SUMIFS([5]BV_Data_An_Cour!$O:$O,[5]BV_Data_An_Cour!$U:$U,$B113,[5]BV_Data_An_Cour!$V:$V,$C113,[5]BV_Data_An_Cour!$W:$W,$L$2)</f>
        <v>4043.67</v>
      </c>
      <c r="M113" s="42"/>
      <c r="N113" s="60">
        <f t="shared" si="56"/>
        <v>2339.2477886601228</v>
      </c>
      <c r="O113" s="42"/>
      <c r="P113" s="83">
        <f t="shared" si="57"/>
        <v>22.773076923076921</v>
      </c>
      <c r="Q113" s="114">
        <f>SUMIFS([5]BV_Data_An_Prec!$O:$O,[5]BV_Data_An_Prec!$U:$U,$B113,[5]BV_Data_An_Prec!$V:$V,$C113,[5]BV_Data_An_Prec!$W:$W,$L$2)</f>
        <v>888.15</v>
      </c>
      <c r="R113" s="42"/>
      <c r="S113" s="86">
        <f t="shared" si="58"/>
        <v>3155.52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2"/>
        <v>Véhicules usagésService gratuit 1</v>
      </c>
      <c r="B114" s="12" t="s">
        <v>74</v>
      </c>
      <c r="C114" s="30" t="s">
        <v>35</v>
      </c>
      <c r="D114" s="82"/>
      <c r="E114" s="83">
        <f t="shared" si="53"/>
        <v>105</v>
      </c>
      <c r="F114" s="31">
        <f>+INDEX('[5]Budget original'!$A$2:$AO$496,MATCH($A114,'[5]Budget original'!$A$2:$A$496,0),MATCH(F$2,'[5]Budget original'!$A$2:$AO$2,0))</f>
        <v>3314.154299827539</v>
      </c>
      <c r="G114" s="84"/>
      <c r="H114" s="83">
        <f t="shared" si="54"/>
        <v>105</v>
      </c>
      <c r="I114" s="31">
        <f>+INDEX('[5]Budget révisé'!$A$2:$AO$496,MATCH($A114,'[5]Budget révisé'!$A$2:$A$496,0),MATCH(I$2,'[5]Budget révisé'!$A$2:$AO$2,0))</f>
        <v>3314.154299827539</v>
      </c>
      <c r="J114" s="42"/>
      <c r="K114" s="83">
        <f t="shared" si="55"/>
        <v>-30.741219512195123</v>
      </c>
      <c r="L114" s="34">
        <f>SUMIFS([5]BV_Data_An_Cour!$O:$O,[5]BV_Data_An_Cour!$U:$U,$B114,[5]BV_Data_An_Cour!$V:$V,$C114,[5]BV_Data_An_Cour!$W:$W,$L$2)</f>
        <v>-1260.3900000000001</v>
      </c>
      <c r="M114" s="42"/>
      <c r="N114" s="60">
        <f t="shared" si="56"/>
        <v>-4574.5442998275394</v>
      </c>
      <c r="O114" s="42"/>
      <c r="P114" s="83">
        <f t="shared" si="57"/>
        <v>155.86871794871794</v>
      </c>
      <c r="Q114" s="34">
        <f>SUMIFS([5]BV_Data_An_Prec!$O:$O,[5]BV_Data_An_Prec!$U:$U,$B114,[5]BV_Data_An_Prec!$V:$V,$C114,[5]BV_Data_An_Prec!$W:$W,$L$2)</f>
        <v>6078.88</v>
      </c>
      <c r="R114" s="42"/>
      <c r="S114" s="86">
        <f t="shared" si="58"/>
        <v>-7339.27</v>
      </c>
      <c r="T114" s="14"/>
      <c r="U114" s="14"/>
      <c r="V114" s="14"/>
      <c r="W114" s="31">
        <f>L112-W112</f>
        <v>1733.7310000000034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2"/>
        <v>Véhicules usagésEntretien stock</v>
      </c>
      <c r="B115" s="12" t="s">
        <v>74</v>
      </c>
      <c r="C115" s="88" t="s">
        <v>36</v>
      </c>
      <c r="D115" s="89"/>
      <c r="E115" s="90">
        <f t="shared" si="53"/>
        <v>61</v>
      </c>
      <c r="F115" s="23">
        <f>+INDEX('[5]Budget original'!$A$2:$AO$496,MATCH($A115,'[5]Budget original'!$A$2:$A$496,0),MATCH(F$2,'[5]Budget original'!$A$2:$AO$2,0))</f>
        <v>1925.3658313283797</v>
      </c>
      <c r="G115" s="91"/>
      <c r="H115" s="90">
        <f t="shared" si="54"/>
        <v>61</v>
      </c>
      <c r="I115" s="23">
        <f>+INDEX('[5]Budget révisé'!$A$2:$AO$496,MATCH($A115,'[5]Budget révisé'!$A$2:$A$496,0),MATCH(I$2,'[5]Budget révisé'!$A$2:$AO$2,0))</f>
        <v>1925.3658313283797</v>
      </c>
      <c r="J115" s="24"/>
      <c r="K115" s="90">
        <f t="shared" si="55"/>
        <v>141.68390243902439</v>
      </c>
      <c r="L115" s="49">
        <f>SUMIFS([5]BV_Data_An_Cour!$O:$O,[5]BV_Data_An_Cour!$U:$U,$B115,[5]BV_Data_An_Cour!$V:$V,$C115,[5]BV_Data_An_Cour!$W:$W,$L$2)</f>
        <v>5809.04</v>
      </c>
      <c r="M115" s="24"/>
      <c r="N115" s="94">
        <f t="shared" si="56"/>
        <v>3883.6741686716205</v>
      </c>
      <c r="O115" s="24"/>
      <c r="P115" s="90">
        <f t="shared" si="57"/>
        <v>56.166666666666664</v>
      </c>
      <c r="Q115" s="49">
        <f>SUMIFS([5]BV_Data_An_Prec!$O:$O,[5]BV_Data_An_Prec!$U:$U,$B115,[5]BV_Data_An_Prec!$V:$V,$C115,[5]BV_Data_An_Prec!$W:$W,$L$2)</f>
        <v>2190.5</v>
      </c>
      <c r="R115" s="24"/>
      <c r="S115" s="95">
        <f t="shared" si="58"/>
        <v>3618.54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tr">
        <f t="shared" si="32"/>
        <v>Véhicules usagésPublicité 1</v>
      </c>
      <c r="B116" s="12" t="s">
        <v>74</v>
      </c>
      <c r="C116" s="30" t="s">
        <v>37</v>
      </c>
      <c r="D116" s="82"/>
      <c r="E116" s="83">
        <f t="shared" si="53"/>
        <v>27.410526315789454</v>
      </c>
      <c r="F116" s="31">
        <f>+INDEX('[5]Budget original'!$A$2:$AO$496,MATCH($A116,'[5]Budget original'!$A$2:$A$496,0),MATCH(F$2,'[5]Budget original'!$A$2:$AO$2,0))</f>
        <v>865.16870142866219</v>
      </c>
      <c r="G116" s="84"/>
      <c r="H116" s="83">
        <f t="shared" si="54"/>
        <v>27.410526315789454</v>
      </c>
      <c r="I116" s="31">
        <f>+INDEX('[5]Budget révisé'!$A$2:$AO$496,MATCH($A116,'[5]Budget révisé'!$A$2:$A$496,0),MATCH(I$2,'[5]Budget révisé'!$A$2:$AO$2,0))</f>
        <v>865.16870142866219</v>
      </c>
      <c r="J116" s="42"/>
      <c r="K116" s="83">
        <f t="shared" si="55"/>
        <v>108.45731707317073</v>
      </c>
      <c r="L116" s="34">
        <f>SUMIFS([5]BV_Data_An_Cour!$O:$O,[5]BV_Data_An_Cour!$U:$U,$B116,[5]BV_Data_An_Cour!$V:$V,$C116,[5]BV_Data_An_Cour!$W:$W,$L$2)</f>
        <v>4446.75</v>
      </c>
      <c r="M116" s="42"/>
      <c r="N116" s="60">
        <f t="shared" si="56"/>
        <v>3581.5812985713378</v>
      </c>
      <c r="O116" s="42"/>
      <c r="P116" s="83">
        <f t="shared" si="57"/>
        <v>156.41025641025641</v>
      </c>
      <c r="Q116" s="34">
        <f>SUMIFS([5]BV_Data_An_Prec!$O:$O,[5]BV_Data_An_Prec!$U:$U,$B116,[5]BV_Data_An_Prec!$V:$V,$C116,[5]BV_Data_An_Prec!$W:$W,$L$2)</f>
        <v>6100</v>
      </c>
      <c r="R116" s="42"/>
      <c r="S116" s="86">
        <f t="shared" si="58"/>
        <v>-1653.25</v>
      </c>
      <c r="T116" s="14"/>
      <c r="U116" s="14"/>
      <c r="V116" s="14"/>
      <c r="W116" s="12" t="s">
        <v>243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2"/>
        <v>Véhicules usagésIntérêt de gros</v>
      </c>
      <c r="B117" s="12" t="s">
        <v>74</v>
      </c>
      <c r="C117" s="30" t="s">
        <v>38</v>
      </c>
      <c r="D117" s="82"/>
      <c r="E117" s="83">
        <f t="shared" si="53"/>
        <v>42.343491517432383</v>
      </c>
      <c r="F117" s="31">
        <f>+INDEX('[5]Budget original'!$A$2:$AO$496,MATCH($A117,'[5]Budget original'!$A$2:$A$496,0),MATCH(F$2,'[5]Budget original'!$A$2:$AO$2,0))</f>
        <v>1336.5034712591375</v>
      </c>
      <c r="G117" s="84"/>
      <c r="H117" s="83">
        <f t="shared" si="54"/>
        <v>42.343491517432383</v>
      </c>
      <c r="I117" s="31">
        <f>+INDEX('[5]Budget révisé'!$A$2:$AO$496,MATCH($A117,'[5]Budget révisé'!$A$2:$A$496,0),MATCH(I$2,'[5]Budget révisé'!$A$2:$AO$2,0))</f>
        <v>1336.5034712591375</v>
      </c>
      <c r="J117" s="42"/>
      <c r="K117" s="83">
        <f t="shared" si="55"/>
        <v>13.928048780487805</v>
      </c>
      <c r="L117" s="34">
        <f>SUMIFS([5]BV_Data_An_Cour!$O:$O,[5]BV_Data_An_Cour!$U:$U,$B117,[5]BV_Data_An_Cour!$V:$V,$C117,[5]BV_Data_An_Cour!$W:$W,$L$2)</f>
        <v>571.04999999999995</v>
      </c>
      <c r="M117" s="42"/>
      <c r="N117" s="60">
        <f t="shared" si="56"/>
        <v>-765.45347125913759</v>
      </c>
      <c r="O117" s="42"/>
      <c r="P117" s="83">
        <f t="shared" si="57"/>
        <v>15.952564102564102</v>
      </c>
      <c r="Q117" s="34">
        <f>SUMIFS([5]BV_Data_An_Prec!$O:$O,[5]BV_Data_An_Prec!$U:$U,$B117,[5]BV_Data_An_Prec!$V:$V,$C117,[5]BV_Data_An_Prec!$W:$W,$L$2)</f>
        <v>622.15</v>
      </c>
      <c r="R117" s="42"/>
      <c r="S117" s="86">
        <f t="shared" si="58"/>
        <v>-51.100000000000023</v>
      </c>
      <c r="T117" s="14"/>
      <c r="U117" s="14"/>
      <c r="V117" s="14"/>
      <c r="W117" s="31">
        <f>W114+W35</f>
        <v>2878.6040000000066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2"/>
        <v>Véhicules usagés[...]</v>
      </c>
      <c r="B118" s="12" t="s">
        <v>74</v>
      </c>
      <c r="C118" s="30" t="s">
        <v>21</v>
      </c>
      <c r="D118" s="82"/>
      <c r="E118" s="83">
        <f t="shared" si="53"/>
        <v>0</v>
      </c>
      <c r="F118" s="31">
        <f>+INDEX('[5]Budget original'!$A$2:$AO$496,MATCH($A118,'[5]Budget original'!$A$2:$A$496,0),MATCH(F$2,'[5]Budget original'!$A$2:$AO$2,0))</f>
        <v>0</v>
      </c>
      <c r="G118" s="84"/>
      <c r="H118" s="83">
        <f t="shared" si="54"/>
        <v>0</v>
      </c>
      <c r="I118" s="31">
        <f>+INDEX('[5]Budget révisé'!$A$2:$AO$496,MATCH($A118,'[5]Budget révisé'!$A$2:$A$496,0),MATCH(I$2,'[5]Budget révisé'!$A$2:$AO$2,0))</f>
        <v>0</v>
      </c>
      <c r="J118" s="42"/>
      <c r="K118" s="83">
        <f t="shared" si="55"/>
        <v>0</v>
      </c>
      <c r="L118" s="34">
        <f>SUMIFS([5]BV_Data_An_Cour!$O:$O,[5]BV_Data_An_Cour!$U:$U,$B118,[5]BV_Data_An_Cour!$V:$V,$C118,[5]BV_Data_An_Cour!$W:$W,$L$2)</f>
        <v>0</v>
      </c>
      <c r="M118" s="42"/>
      <c r="N118" s="60">
        <f t="shared" si="56"/>
        <v>0</v>
      </c>
      <c r="O118" s="42"/>
      <c r="P118" s="83">
        <f t="shared" si="57"/>
        <v>0</v>
      </c>
      <c r="Q118" s="34">
        <f>SUMIFS([5]BV_Data_An_Prec!$O:$O,[5]BV_Data_An_Prec!$U:$U,$B118,[5]BV_Data_An_Prec!$V:$V,$C118,[5]BV_Data_An_Prec!$W:$W,$L$2)</f>
        <v>0</v>
      </c>
      <c r="R118" s="42"/>
      <c r="S118" s="86">
        <f t="shared" si="58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2"/>
        <v>Véhicules usagés[...]</v>
      </c>
      <c r="B119" s="12" t="s">
        <v>74</v>
      </c>
      <c r="C119" s="30" t="s">
        <v>21</v>
      </c>
      <c r="D119" s="82"/>
      <c r="E119" s="83">
        <f t="shared" si="53"/>
        <v>0</v>
      </c>
      <c r="F119" s="31">
        <f>+INDEX('[5]Budget original'!$A$2:$AO$496,MATCH($A119,'[5]Budget original'!$A$2:$A$496,0),MATCH(F$2,'[5]Budget original'!$A$2:$AO$2,0))</f>
        <v>0</v>
      </c>
      <c r="G119" s="84"/>
      <c r="H119" s="83">
        <f t="shared" si="54"/>
        <v>0</v>
      </c>
      <c r="I119" s="31">
        <f>+INDEX('[5]Budget révisé'!$A$2:$AO$496,MATCH($A119,'[5]Budget révisé'!$A$2:$A$496,0),MATCH(I$2,'[5]Budget révisé'!$A$2:$AO$2,0))</f>
        <v>0</v>
      </c>
      <c r="J119" s="42"/>
      <c r="K119" s="83">
        <f t="shared" si="55"/>
        <v>0</v>
      </c>
      <c r="L119" s="34">
        <f>SUMIFS([5]BV_Data_An_Cour!$O:$O,[5]BV_Data_An_Cour!$U:$U,$B119,[5]BV_Data_An_Cour!$V:$V,$C119,[5]BV_Data_An_Cour!$W:$W,$L$2)</f>
        <v>0</v>
      </c>
      <c r="M119" s="42"/>
      <c r="N119" s="60">
        <f t="shared" si="56"/>
        <v>0</v>
      </c>
      <c r="O119" s="42"/>
      <c r="P119" s="83">
        <f t="shared" si="57"/>
        <v>0</v>
      </c>
      <c r="Q119" s="34">
        <f>SUMIFS([5]BV_Data_An_Prec!$O:$O,[5]BV_Data_An_Prec!$U:$U,$B119,[5]BV_Data_An_Prec!$V:$V,$C119,[5]BV_Data_An_Prec!$W:$W,$L$2)</f>
        <v>0</v>
      </c>
      <c r="R119" s="42"/>
      <c r="S119" s="86">
        <f t="shared" si="58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2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+INDEX('[5]Budget original'!$A$2:$AO$496,MATCH($A120,'[5]Budget original'!$A$2:$A$496,0),MATCH(F$2,'[5]Budget original'!$A$2:$AO$2,0))</f>
        <v>0</v>
      </c>
      <c r="G120" s="84"/>
      <c r="H120" s="83">
        <f>I120/G$96</f>
        <v>0</v>
      </c>
      <c r="I120" s="31">
        <f>+INDEX('[5]Budget révisé'!$A$2:$AO$496,MATCH($A120,'[5]Budget révisé'!$A$2:$A$496,0),MATCH(I$2,'[5]Budget révisé'!$A$2:$AO$2,0))</f>
        <v>0</v>
      </c>
      <c r="J120" s="42"/>
      <c r="K120" s="83">
        <f>IF($J$96=0,0,L120/(J$94+J$95))</f>
        <v>0</v>
      </c>
      <c r="L120" s="34">
        <f>SUMIFS([5]BV_Data_An_Cour!$O:$O,[5]BV_Data_An_Cour!$U:$U,$B120,[5]BV_Data_An_Cour!$V:$V,$C120,[5]BV_Data_An_Cour!$W:$W,$L$2)</f>
        <v>0</v>
      </c>
      <c r="M120" s="42"/>
      <c r="N120" s="60">
        <f t="shared" si="56"/>
        <v>0</v>
      </c>
      <c r="O120" s="42"/>
      <c r="P120" s="83">
        <f>IF($J$96=0,0,Q120/(O$94+O$95))</f>
        <v>0</v>
      </c>
      <c r="Q120" s="34">
        <f>SUMIFS([5]BV_Data_An_Prec!$O:$O,[5]BV_Data_An_Prec!$U:$U,$B120,[5]BV_Data_An_Prec!$V:$V,$C120,[5]BV_Data_An_Prec!$W:$W,$L$2)</f>
        <v>0</v>
      </c>
      <c r="R120" s="42"/>
      <c r="S120" s="86">
        <f t="shared" si="58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2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0.48400002980388757</v>
      </c>
      <c r="F121" s="102">
        <f>SUM(F111:F120)</f>
        <v>39216.502900764019</v>
      </c>
      <c r="G121" s="103" t="s">
        <v>40</v>
      </c>
      <c r="H121" s="101">
        <f>I121/I$107</f>
        <v>0.48400002980388757</v>
      </c>
      <c r="I121" s="102">
        <f>SUM(I111:I120)</f>
        <v>39216.502900764019</v>
      </c>
      <c r="J121" s="103" t="s">
        <v>40</v>
      </c>
      <c r="K121" s="101">
        <f>L121/L$107</f>
        <v>0.46220180385718584</v>
      </c>
      <c r="L121" s="102">
        <f>SUM(L111:L120)</f>
        <v>51587.24</v>
      </c>
      <c r="M121" s="106"/>
      <c r="N121" s="102">
        <f t="shared" si="56"/>
        <v>12370.737099235979</v>
      </c>
      <c r="O121" s="103" t="s">
        <v>40</v>
      </c>
      <c r="P121" s="101">
        <f>Q121/Q$107</f>
        <v>0.49045290537024588</v>
      </c>
      <c r="Q121" s="102">
        <f>SUM(Q111:Q120)</f>
        <v>35985.54</v>
      </c>
      <c r="R121" s="106"/>
      <c r="S121" s="107">
        <f t="shared" si="58"/>
        <v>15601.699999999997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tr">
        <f t="shared" si="32"/>
        <v>Véhicules usagésSalaires cadres</v>
      </c>
      <c r="B122" s="12" t="s">
        <v>74</v>
      </c>
      <c r="C122" s="108" t="s">
        <v>42</v>
      </c>
      <c r="D122" s="14"/>
      <c r="E122" s="14"/>
      <c r="F122" s="31">
        <f>+INDEX('[5]Budget original'!$A$2:$AO$496,MATCH($A122,'[5]Budget original'!$A$2:$A$496,0),MATCH(F$2,'[5]Budget original'!$A$2:$AO$2,0))</f>
        <v>6355.5385057471267</v>
      </c>
      <c r="G122" s="42"/>
      <c r="H122" s="14"/>
      <c r="I122" s="31">
        <f>+INDEX('[5]Budget révisé'!$A$2:$AO$496,MATCH($A122,'[5]Budget révisé'!$A$2:$A$496,0),MATCH(I$2,'[5]Budget révisé'!$A$2:$AO$2,0))</f>
        <v>6355.5385057471267</v>
      </c>
      <c r="J122" s="42"/>
      <c r="K122" s="14"/>
      <c r="L122" s="34">
        <f>SUMIFS([5]BV_Data_An_Cour!$O:$O,[5]BV_Data_An_Cour!$U:$U,$B122,[5]BV_Data_An_Cour!$V:$V,$C122,[5]BV_Data_An_Cour!$W:$W,$L$2)</f>
        <v>9456.66</v>
      </c>
      <c r="M122" s="42"/>
      <c r="N122" s="60">
        <f t="shared" si="56"/>
        <v>3101.1214942528732</v>
      </c>
      <c r="O122" s="42"/>
      <c r="P122" s="14"/>
      <c r="Q122" s="34">
        <f>SUMIFS([5]BV_Data_An_Prec!$O:$O,[5]BV_Data_An_Prec!$U:$U,$B122,[5]BV_Data_An_Prec!$V:$V,$C122,[5]BV_Data_An_Prec!$W:$W,$L$2)</f>
        <v>5611.34</v>
      </c>
      <c r="R122" s="42"/>
      <c r="S122" s="86">
        <f t="shared" si="58"/>
        <v>3845.3199999999997</v>
      </c>
      <c r="T122" s="14"/>
      <c r="U122" s="14"/>
      <c r="V122" s="14" t="s">
        <v>244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tr">
        <f t="shared" si="32"/>
        <v>Véhicules usagésSalaires commis</v>
      </c>
      <c r="B123" s="12" t="s">
        <v>74</v>
      </c>
      <c r="C123" s="109" t="s">
        <v>43</v>
      </c>
      <c r="D123" s="82"/>
      <c r="E123" s="14"/>
      <c r="F123" s="23">
        <f>+INDEX('[5]Budget original'!$A$2:$AO$496,MATCH($A123,'[5]Budget original'!$A$2:$A$496,0),MATCH(F$2,'[5]Budget original'!$A$2:$AO$2,0))</f>
        <v>2127.4401145747129</v>
      </c>
      <c r="G123" s="84"/>
      <c r="H123" s="14"/>
      <c r="I123" s="23">
        <f>+INDEX('[5]Budget révisé'!$A$2:$AO$496,MATCH($A123,'[5]Budget révisé'!$A$2:$A$496,0),MATCH(I$2,'[5]Budget révisé'!$A$2:$AO$2,0))</f>
        <v>2127.4401145747129</v>
      </c>
      <c r="J123" s="42"/>
      <c r="K123" s="14"/>
      <c r="L123" s="23">
        <f>SUMIFS([5]BV_Data_An_Cour!$O:$O,[5]BV_Data_An_Cour!$U:$U,$B123,[5]BV_Data_An_Cour!$V:$V,$C123,[5]BV_Data_An_Cour!$W:$W,$L$2)</f>
        <v>2107.2600000000002</v>
      </c>
      <c r="M123" s="42"/>
      <c r="N123" s="60">
        <f t="shared" si="56"/>
        <v>-20.180114574712661</v>
      </c>
      <c r="O123" s="42"/>
      <c r="P123" s="14"/>
      <c r="Q123" s="23">
        <f>SUMIFS([5]BV_Data_An_Prec!$O:$O,[5]BV_Data_An_Prec!$U:$U,$B123,[5]BV_Data_An_Prec!$V:$V,$C123,[5]BV_Data_An_Prec!$W:$W,$L$2)</f>
        <v>3202.38</v>
      </c>
      <c r="R123" s="42"/>
      <c r="S123" s="86">
        <f t="shared" si="58"/>
        <v>-1095.1199999999999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tr">
        <f t="shared" si="32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+INDEX('[5]Budget original'!$A$2:$AO$496,MATCH($A124,'[5]Budget original'!$A$2:$A$496,0),MATCH(F$2,'[5]Budget original'!$A$2:$AO$2,0))</f>
        <v>6708.1630258758623</v>
      </c>
      <c r="G124" s="112"/>
      <c r="H124" s="111"/>
      <c r="I124" s="31">
        <f>+INDEX('[5]Budget révisé'!$A$2:$AO$496,MATCH($A124,'[5]Budget révisé'!$A$2:$A$496,0),MATCH(I$2,'[5]Budget révisé'!$A$2:$AO$2,0))</f>
        <v>6708.1630258758623</v>
      </c>
      <c r="J124" s="113"/>
      <c r="K124" s="111"/>
      <c r="L124" s="34">
        <f>SUMIFS([5]BV_Data_An_Cour!$O:$O,[5]BV_Data_An_Cour!$U:$U,$B124,[5]BV_Data_An_Cour!$V:$V,$C124,[5]BV_Data_An_Cour!$W:$W,$L$2)</f>
        <v>7267.67</v>
      </c>
      <c r="M124" s="113"/>
      <c r="N124" s="115">
        <f t="shared" si="56"/>
        <v>559.50697412413774</v>
      </c>
      <c r="O124" s="113"/>
      <c r="P124" s="111"/>
      <c r="Q124" s="34">
        <f>SUMIFS([5]BV_Data_An_Prec!$O:$O,[5]BV_Data_An_Prec!$U:$U,$B124,[5]BV_Data_An_Prec!$V:$V,$C124,[5]BV_Data_An_Prec!$W:$W,$L$2)</f>
        <v>10423.06</v>
      </c>
      <c r="R124" s="113"/>
      <c r="S124" s="116">
        <f t="shared" si="58"/>
        <v>-3155.3899999999994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2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+INDEX('[5]Budget original'!$A$2:$AO$496,MATCH($A125,'[5]Budget original'!$A$2:$A$496,0),MATCH(F$2,'[5]Budget original'!$A$2:$AO$2,0))</f>
        <v>0</v>
      </c>
      <c r="G125" s="84"/>
      <c r="H125" s="14"/>
      <c r="I125" s="31">
        <f>+INDEX('[5]Budget révisé'!$A$2:$AO$496,MATCH($A125,'[5]Budget révisé'!$A$2:$A$496,0),MATCH(I$2,'[5]Budget révisé'!$A$2:$AO$2,0))</f>
        <v>0</v>
      </c>
      <c r="J125" s="42"/>
      <c r="K125" s="14"/>
      <c r="L125" s="34">
        <f>SUMIFS([5]BV_Data_An_Cour!$O:$O,[5]BV_Data_An_Cour!$U:$U,$B125,[5]BV_Data_An_Cour!$V:$V,$C125,[5]BV_Data_An_Cour!$W:$W,$L$2)</f>
        <v>0</v>
      </c>
      <c r="M125" s="42"/>
      <c r="N125" s="60">
        <f t="shared" si="56"/>
        <v>0</v>
      </c>
      <c r="O125" s="42"/>
      <c r="P125" s="14"/>
      <c r="Q125" s="34">
        <f>SUMIFS([5]BV_Data_An_Prec!$O:$O,[5]BV_Data_An_Prec!$U:$U,$B125,[5]BV_Data_An_Prec!$V:$V,$C125,[5]BV_Data_An_Prec!$W:$W,$L$2)</f>
        <v>0</v>
      </c>
      <c r="R125" s="42"/>
      <c r="S125" s="86">
        <f t="shared" si="58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2"/>
        <v>Véhicules usagés[...]</v>
      </c>
      <c r="B126" s="12" t="s">
        <v>74</v>
      </c>
      <c r="C126" s="108" t="s">
        <v>21</v>
      </c>
      <c r="D126" s="82"/>
      <c r="E126" s="14"/>
      <c r="F126" s="31">
        <f>+INDEX('[5]Budget original'!$A$2:$AO$496,MATCH($A126,'[5]Budget original'!$A$2:$A$496,0),MATCH(F$2,'[5]Budget original'!$A$2:$AO$2,0))</f>
        <v>0</v>
      </c>
      <c r="G126" s="84"/>
      <c r="H126" s="14"/>
      <c r="I126" s="31">
        <f>+INDEX('[5]Budget révisé'!$A$2:$AO$496,MATCH($A126,'[5]Budget révisé'!$A$2:$A$496,0),MATCH(I$2,'[5]Budget révisé'!$A$2:$AO$2,0))</f>
        <v>0</v>
      </c>
      <c r="J126" s="42"/>
      <c r="K126" s="14"/>
      <c r="L126" s="34">
        <f>SUMIFS([5]BV_Data_An_Cour!$O:$O,[5]BV_Data_An_Cour!$U:$U,$B126,[5]BV_Data_An_Cour!$V:$V,$C126,[5]BV_Data_An_Cour!$W:$W,$L$2)</f>
        <v>0</v>
      </c>
      <c r="M126" s="42"/>
      <c r="N126" s="60">
        <f t="shared" si="56"/>
        <v>0</v>
      </c>
      <c r="O126" s="42"/>
      <c r="P126" s="14"/>
      <c r="Q126" s="34">
        <f>SUMIFS([5]BV_Data_An_Prec!$O:$O,[5]BV_Data_An_Prec!$U:$U,$B126,[5]BV_Data_An_Prec!$V:$V,$C126,[5]BV_Data_An_Prec!$W:$W,$L$2)</f>
        <v>0</v>
      </c>
      <c r="R126" s="42"/>
      <c r="S126" s="86">
        <f t="shared" si="58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2"/>
        <v>Véhicules usagés[...]</v>
      </c>
      <c r="B127" s="12" t="s">
        <v>74</v>
      </c>
      <c r="C127" s="108" t="s">
        <v>21</v>
      </c>
      <c r="D127" s="82"/>
      <c r="E127" s="14"/>
      <c r="F127" s="31">
        <f>+INDEX('[5]Budget original'!$A$2:$AO$496,MATCH($A127,'[5]Budget original'!$A$2:$A$496,0),MATCH(F$2,'[5]Budget original'!$A$2:$AO$2,0))</f>
        <v>0</v>
      </c>
      <c r="G127" s="84"/>
      <c r="H127" s="14"/>
      <c r="I127" s="31">
        <f>+INDEX('[5]Budget révisé'!$A$2:$AO$496,MATCH($A127,'[5]Budget révisé'!$A$2:$A$496,0),MATCH(I$2,'[5]Budget révisé'!$A$2:$AO$2,0))</f>
        <v>0</v>
      </c>
      <c r="J127" s="42"/>
      <c r="K127" s="14"/>
      <c r="L127" s="34">
        <f>SUMIFS([5]BV_Data_An_Cour!$O:$O,[5]BV_Data_An_Cour!$U:$U,$B127,[5]BV_Data_An_Cour!$V:$V,$C127,[5]BV_Data_An_Cour!$W:$W,$L$2)</f>
        <v>0</v>
      </c>
      <c r="M127" s="42"/>
      <c r="N127" s="60">
        <f t="shared" si="56"/>
        <v>0</v>
      </c>
      <c r="O127" s="42"/>
      <c r="P127" s="14"/>
      <c r="Q127" s="34">
        <f>SUMIFS([5]BV_Data_An_Prec!$O:$O,[5]BV_Data_An_Prec!$U:$U,$B127,[5]BV_Data_An_Prec!$V:$V,$C127,[5]BV_Data_An_Prec!$W:$W,$L$2)</f>
        <v>0</v>
      </c>
      <c r="R127" s="42"/>
      <c r="S127" s="86">
        <f t="shared" si="58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2"/>
        <v>Véhicules usagés[...]</v>
      </c>
      <c r="B128" s="12" t="s">
        <v>74</v>
      </c>
      <c r="C128" s="108" t="s">
        <v>21</v>
      </c>
      <c r="D128" s="82"/>
      <c r="E128" s="14"/>
      <c r="F128" s="31">
        <f>+INDEX('[5]Budget original'!$A$2:$AO$496,MATCH($A128,'[5]Budget original'!$A$2:$A$496,0),MATCH(F$2,'[5]Budget original'!$A$2:$AO$2,0))</f>
        <v>0</v>
      </c>
      <c r="G128" s="84"/>
      <c r="H128" s="14"/>
      <c r="I128" s="31">
        <f>+INDEX('[5]Budget révisé'!$A$2:$AO$496,MATCH($A128,'[5]Budget révisé'!$A$2:$A$496,0),MATCH(I$2,'[5]Budget révisé'!$A$2:$AO$2,0))</f>
        <v>0</v>
      </c>
      <c r="J128" s="42"/>
      <c r="K128" s="14"/>
      <c r="L128" s="34">
        <f>SUMIFS([5]BV_Data_An_Cour!$O:$O,[5]BV_Data_An_Cour!$U:$U,$B128,[5]BV_Data_An_Cour!$V:$V,$C128,[5]BV_Data_An_Cour!$W:$W,$L$2)</f>
        <v>0</v>
      </c>
      <c r="M128" s="42"/>
      <c r="N128" s="60">
        <f t="shared" si="56"/>
        <v>0</v>
      </c>
      <c r="O128" s="42"/>
      <c r="P128" s="14"/>
      <c r="Q128" s="34">
        <f>SUMIFS([5]BV_Data_An_Prec!$O:$O,[5]BV_Data_An_Prec!$U:$U,$B128,[5]BV_Data_An_Prec!$V:$V,$C128,[5]BV_Data_An_Prec!$W:$W,$L$2)</f>
        <v>0</v>
      </c>
      <c r="R128" s="42"/>
      <c r="S128" s="86">
        <f t="shared" si="58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2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+INDEX('[5]Budget original'!$A$2:$AO$496,MATCH($A129,'[5]Budget original'!$A$2:$A$496,0),MATCH(F$2,'[5]Budget original'!$A$2:$AO$2,0))</f>
        <v>5431.4436038133745</v>
      </c>
      <c r="G129" s="84"/>
      <c r="H129" s="14"/>
      <c r="I129" s="31">
        <f>+INDEX('[5]Budget révisé'!$A$2:$AO$496,MATCH($A129,'[5]Budget révisé'!$A$2:$A$496,0),MATCH(I$2,'[5]Budget révisé'!$A$2:$AO$2,0))</f>
        <v>5431.4436038133745</v>
      </c>
      <c r="J129" s="42"/>
      <c r="K129" s="14"/>
      <c r="L129" s="34">
        <f>SUMIFS([5]BV_Data_An_Cour!$O:$O,[5]BV_Data_An_Cour!$U:$U,$B129,[5]BV_Data_An_Cour!$V:$V,$C129,[5]BV_Data_An_Cour!$W:$W,$L$2)</f>
        <v>2021.69</v>
      </c>
      <c r="M129" s="42"/>
      <c r="N129" s="60">
        <f t="shared" si="56"/>
        <v>-3409.7536038133744</v>
      </c>
      <c r="O129" s="42"/>
      <c r="P129" s="14"/>
      <c r="Q129" s="34">
        <f>SUMIFS([5]BV_Data_An_Prec!$O:$O,[5]BV_Data_An_Prec!$U:$U,$B129,[5]BV_Data_An_Prec!$V:$V,$C129,[5]BV_Data_An_Prec!$W:$W,$L$2)</f>
        <v>5457.32</v>
      </c>
      <c r="R129" s="42"/>
      <c r="S129" s="86">
        <f t="shared" si="58"/>
        <v>-3435.6299999999997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2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+INDEX('[5]Budget original'!$A$2:$AO$496,MATCH($A130,'[5]Budget original'!$A$2:$A$496,0),MATCH(F$2,'[5]Budget original'!$A$2:$AO$2,0))</f>
        <v>5431.4436038133745</v>
      </c>
      <c r="G130" s="112"/>
      <c r="H130" s="111"/>
      <c r="I130" s="55">
        <f>+INDEX('[5]Budget révisé'!$A$2:$AO$496,MATCH($A130,'[5]Budget révisé'!$A$2:$A$496,0),MATCH(I$2,'[5]Budget révisé'!$A$2:$AO$2,0))</f>
        <v>5431.4436038133745</v>
      </c>
      <c r="J130" s="113"/>
      <c r="K130" s="111"/>
      <c r="L130" s="56">
        <f>SUMIFS([5]BV_Data_An_Cour!$O:$O,[5]BV_Data_An_Cour!$U:$U,$B130,[5]BV_Data_An_Cour!$V:$V,$C130,[5]BV_Data_An_Cour!$W:$W,$L$2)</f>
        <v>5854.93</v>
      </c>
      <c r="M130" s="113"/>
      <c r="N130" s="115">
        <f t="shared" si="56"/>
        <v>423.48639618662583</v>
      </c>
      <c r="O130" s="113"/>
      <c r="P130" s="111"/>
      <c r="Q130" s="56">
        <f>SUMIFS([5]BV_Data_An_Prec!$O:$O,[5]BV_Data_An_Prec!$U:$U,$B130,[5]BV_Data_An_Prec!$V:$V,$C130,[5]BV_Data_An_Prec!$W:$W,$L$2)</f>
        <v>5619.33</v>
      </c>
      <c r="R130" s="113"/>
      <c r="S130" s="116">
        <f t="shared" si="58"/>
        <v>235.60000000000036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2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+INDEX('[5]Budget original'!$A$2:$AO$496,MATCH($A131,'[5]Budget original'!$A$2:$A$496,0),MATCH(F$2,'[5]Budget original'!$A$2:$AO$2,0))</f>
        <v>3892.5345827329184</v>
      </c>
      <c r="G131" s="84"/>
      <c r="H131" s="14"/>
      <c r="I131" s="31">
        <f>+INDEX('[5]Budget révisé'!$A$2:$AO$496,MATCH($A131,'[5]Budget révisé'!$A$2:$A$496,0),MATCH(I$2,'[5]Budget révisé'!$A$2:$AO$2,0))</f>
        <v>3892.5345827329184</v>
      </c>
      <c r="J131" s="42"/>
      <c r="K131" s="14"/>
      <c r="L131" s="34">
        <f>SUMIFS([5]BV_Data_An_Cour!$O:$O,[5]BV_Data_An_Cour!$U:$U,$B131,[5]BV_Data_An_Cour!$V:$V,$C131,[5]BV_Data_An_Cour!$W:$W,$L$2)</f>
        <v>4196.03</v>
      </c>
      <c r="M131" s="42"/>
      <c r="N131" s="60">
        <f t="shared" si="56"/>
        <v>303.49541726708139</v>
      </c>
      <c r="O131" s="42"/>
      <c r="P131" s="14"/>
      <c r="Q131" s="34">
        <f>SUMIFS([5]BV_Data_An_Prec!$O:$O,[5]BV_Data_An_Prec!$U:$U,$B131,[5]BV_Data_An_Prec!$V:$V,$C131,[5]BV_Data_An_Prec!$W:$W,$L$2)</f>
        <v>3560.81</v>
      </c>
      <c r="R131" s="42"/>
      <c r="S131" s="86">
        <f t="shared" si="58"/>
        <v>635.2199999999998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2"/>
        <v>Véhicules usagésCsst</v>
      </c>
      <c r="B132" s="12" t="s">
        <v>74</v>
      </c>
      <c r="C132" s="108" t="s">
        <v>49</v>
      </c>
      <c r="D132" s="82"/>
      <c r="E132" s="14"/>
      <c r="F132" s="31">
        <f>+INDEX('[5]Budget original'!$A$2:$AO$496,MATCH($A132,'[5]Budget original'!$A$2:$A$496,0),MATCH(F$2,'[5]Budget original'!$A$2:$AO$2,0))</f>
        <v>905.24060063556249</v>
      </c>
      <c r="G132" s="84"/>
      <c r="H132" s="14"/>
      <c r="I132" s="31">
        <f>+INDEX('[5]Budget révisé'!$A$2:$AO$496,MATCH($A132,'[5]Budget révisé'!$A$2:$A$496,0),MATCH(I$2,'[5]Budget révisé'!$A$2:$AO$2,0))</f>
        <v>905.24060063556249</v>
      </c>
      <c r="J132" s="42"/>
      <c r="K132" s="14"/>
      <c r="L132" s="34">
        <f>SUMIFS([5]BV_Data_An_Cour!$O:$O,[5]BV_Data_An_Cour!$U:$U,$B132,[5]BV_Data_An_Cour!$V:$V,$C132,[5]BV_Data_An_Cour!$W:$W,$L$2)</f>
        <v>975.82</v>
      </c>
      <c r="M132" s="42"/>
      <c r="N132" s="60">
        <f t="shared" si="56"/>
        <v>70.579399364437563</v>
      </c>
      <c r="O132" s="42"/>
      <c r="P132" s="14"/>
      <c r="Q132" s="34">
        <f>SUMIFS([5]BV_Data_An_Prec!$O:$O,[5]BV_Data_An_Prec!$U:$U,$B132,[5]BV_Data_An_Prec!$V:$V,$C132,[5]BV_Data_An_Prec!$W:$W,$L$2)</f>
        <v>1308.01</v>
      </c>
      <c r="R132" s="42"/>
      <c r="S132" s="86">
        <f t="shared" si="58"/>
        <v>-332.18999999999994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2"/>
        <v>Véhicules usagés[...]</v>
      </c>
      <c r="B133" s="12" t="s">
        <v>74</v>
      </c>
      <c r="C133" s="30" t="s">
        <v>21</v>
      </c>
      <c r="D133" s="89"/>
      <c r="E133" s="117"/>
      <c r="F133" s="31">
        <f>+INDEX('[5]Budget original'!$A$2:$AO$496,MATCH($A133,'[5]Budget original'!$A$2:$A$496,0),MATCH(F$2,'[5]Budget original'!$A$2:$AO$2,0))</f>
        <v>0</v>
      </c>
      <c r="G133" s="91"/>
      <c r="H133" s="117"/>
      <c r="I133" s="31">
        <f>+INDEX('[5]Budget révisé'!$A$2:$AO$496,MATCH($A133,'[5]Budget révisé'!$A$2:$A$496,0),MATCH(I$2,'[5]Budget révisé'!$A$2:$AO$2,0))</f>
        <v>0</v>
      </c>
      <c r="J133" s="24"/>
      <c r="K133" s="117"/>
      <c r="L133" s="34">
        <f>SUMIFS([5]BV_Data_An_Cour!$O:$O,[5]BV_Data_An_Cour!$U:$U,$B133,[5]BV_Data_An_Cour!$V:$V,$C133,[5]BV_Data_An_Cour!$W:$W,$L$2)</f>
        <v>0</v>
      </c>
      <c r="M133" s="24"/>
      <c r="N133" s="153">
        <f t="shared" si="56"/>
        <v>0</v>
      </c>
      <c r="O133" s="24"/>
      <c r="P133" s="117"/>
      <c r="Q133" s="34">
        <f>SUMIFS([5]BV_Data_An_Prec!$O:$O,[5]BV_Data_An_Prec!$U:$U,$B133,[5]BV_Data_An_Prec!$V:$V,$C133,[5]BV_Data_An_Prec!$W:$W,$L$2)</f>
        <v>0</v>
      </c>
      <c r="R133" s="24"/>
      <c r="S133" s="95">
        <f t="shared" si="58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2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0.38076505983439352</v>
      </c>
      <c r="F134" s="102">
        <f>+SUM(F122:F133)</f>
        <v>30851.804037192935</v>
      </c>
      <c r="G134" s="103" t="s">
        <v>40</v>
      </c>
      <c r="H134" s="101">
        <f>I134/I$107</f>
        <v>0.38076505983439352</v>
      </c>
      <c r="I134" s="102">
        <f>+SUM(I122:I133)</f>
        <v>30851.804037192935</v>
      </c>
      <c r="J134" s="103" t="s">
        <v>40</v>
      </c>
      <c r="K134" s="101">
        <f>L134/L$107</f>
        <v>0.28563306040554443</v>
      </c>
      <c r="L134" s="102">
        <f>SUM(L122:L133)</f>
        <v>31880.059999999998</v>
      </c>
      <c r="M134" s="154"/>
      <c r="N134" s="119">
        <f t="shared" si="56"/>
        <v>1028.255962807063</v>
      </c>
      <c r="O134" s="103" t="s">
        <v>40</v>
      </c>
      <c r="P134" s="101">
        <f>Q134/Q$107</f>
        <v>0.47950473245537878</v>
      </c>
      <c r="Q134" s="102">
        <f>SUM(Q122:Q133)</f>
        <v>35182.25</v>
      </c>
      <c r="R134" s="154"/>
      <c r="S134" s="120">
        <f t="shared" si="58"/>
        <v>-3302.1900000000023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2"/>
        <v>Véhicules usagésPublicité 2</v>
      </c>
      <c r="B135" s="12" t="s">
        <v>74</v>
      </c>
      <c r="C135" s="30" t="s">
        <v>51</v>
      </c>
      <c r="D135" s="82"/>
      <c r="E135" s="14"/>
      <c r="F135" s="31">
        <f>+INDEX('[5]Budget original'!$A$2:$AO$496,MATCH($A135,'[5]Budget original'!$A$2:$A$496,0),MATCH(F$2,'[5]Budget original'!$A$2:$AO$2,0))</f>
        <v>0</v>
      </c>
      <c r="G135" s="84"/>
      <c r="H135" s="14"/>
      <c r="I135" s="31">
        <f>+INDEX('[5]Budget révisé'!$A$2:$AO$496,MATCH($A135,'[5]Budget révisé'!$A$2:$A$496,0),MATCH(I$2,'[5]Budget révisé'!$A$2:$AO$2,0))</f>
        <v>0</v>
      </c>
      <c r="J135" s="42"/>
      <c r="K135" s="14"/>
      <c r="L135" s="34">
        <f>SUMIFS([5]BV_Data_An_Cour!$O:$O,[5]BV_Data_An_Cour!$U:$U,$B135,[5]BV_Data_An_Cour!$V:$V,$C135,[5]BV_Data_An_Cour!$W:$W,$L$2)</f>
        <v>0</v>
      </c>
      <c r="M135" s="42"/>
      <c r="N135" s="60">
        <f t="shared" si="56"/>
        <v>0</v>
      </c>
      <c r="O135" s="42"/>
      <c r="P135" s="14"/>
      <c r="Q135" s="34">
        <f>SUMIFS([5]BV_Data_An_Prec!$O:$O,[5]BV_Data_An_Prec!$U:$U,$B135,[5]BV_Data_An_Prec!$V:$V,$C135,[5]BV_Data_An_Prec!$W:$W,$L$2)</f>
        <v>0</v>
      </c>
      <c r="R135" s="42"/>
      <c r="S135" s="86">
        <f t="shared" si="58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2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+INDEX('[5]Budget original'!$A$2:$AO$496,MATCH($A136,'[5]Budget original'!$A$2:$A$496,0),MATCH(F$2,'[5]Budget original'!$A$2:$AO$2,0))</f>
        <v>0</v>
      </c>
      <c r="G136" s="84"/>
      <c r="H136" s="14"/>
      <c r="I136" s="31">
        <f>+INDEX('[5]Budget révisé'!$A$2:$AO$496,MATCH($A136,'[5]Budget révisé'!$A$2:$A$496,0),MATCH(I$2,'[5]Budget révisé'!$A$2:$AO$2,0))</f>
        <v>0</v>
      </c>
      <c r="J136" s="42"/>
      <c r="K136" s="14"/>
      <c r="L136" s="34">
        <f>SUMIFS([5]BV_Data_An_Cour!$O:$O,[5]BV_Data_An_Cour!$U:$U,$B136,[5]BV_Data_An_Cour!$V:$V,$C136,[5]BV_Data_An_Cour!$W:$W,$L$2)</f>
        <v>0</v>
      </c>
      <c r="M136" s="42"/>
      <c r="N136" s="60">
        <f t="shared" si="56"/>
        <v>0</v>
      </c>
      <c r="O136" s="42"/>
      <c r="P136" s="14"/>
      <c r="Q136" s="34">
        <f>SUMIFS([5]BV_Data_An_Prec!$O:$O,[5]BV_Data_An_Prec!$U:$U,$B136,[5]BV_Data_An_Prec!$V:$V,$C136,[5]BV_Data_An_Prec!$W:$W,$L$2)</f>
        <v>0</v>
      </c>
      <c r="R136" s="42"/>
      <c r="S136" s="86">
        <f t="shared" si="58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2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+INDEX('[5]Budget original'!$A$2:$AO$496,MATCH($A137,'[5]Budget original'!$A$2:$A$496,0),MATCH(F$2,'[5]Budget original'!$A$2:$AO$2,0))</f>
        <v>215.04</v>
      </c>
      <c r="G137" s="91"/>
      <c r="H137" s="117"/>
      <c r="I137" s="23">
        <f>+INDEX('[5]Budget révisé'!$A$2:$AO$496,MATCH($A137,'[5]Budget révisé'!$A$2:$A$496,0),MATCH(I$2,'[5]Budget révisé'!$A$2:$AO$2,0))</f>
        <v>215.04</v>
      </c>
      <c r="J137" s="24"/>
      <c r="K137" s="117"/>
      <c r="L137" s="23">
        <f>SUMIFS([5]BV_Data_An_Cour!$O:$O,[5]BV_Data_An_Cour!$U:$U,$B137,[5]BV_Data_An_Cour!$V:$V,$C137,[5]BV_Data_An_Cour!$W:$W,$L$2)</f>
        <v>-369.12</v>
      </c>
      <c r="M137" s="24"/>
      <c r="N137" s="94">
        <f t="shared" si="56"/>
        <v>-584.16</v>
      </c>
      <c r="O137" s="24"/>
      <c r="P137" s="117"/>
      <c r="Q137" s="23">
        <f>SUMIFS([5]BV_Data_An_Prec!$O:$O,[5]BV_Data_An_Prec!$U:$U,$B137,[5]BV_Data_An_Prec!$V:$V,$C137,[5]BV_Data_An_Prec!$W:$W,$L$2)</f>
        <v>452.76</v>
      </c>
      <c r="R137" s="24"/>
      <c r="S137" s="95">
        <f t="shared" si="58"/>
        <v>-821.88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2"/>
        <v>Véhicules usagésInformatique</v>
      </c>
      <c r="B138" s="12" t="s">
        <v>74</v>
      </c>
      <c r="C138" s="30" t="s">
        <v>54</v>
      </c>
      <c r="D138" s="82"/>
      <c r="E138" s="14"/>
      <c r="F138" s="31">
        <f>+INDEX('[5]Budget original'!$A$2:$AO$496,MATCH($A138,'[5]Budget original'!$A$2:$A$496,0),MATCH(F$2,'[5]Budget original'!$A$2:$AO$2,0))</f>
        <v>2662.7736</v>
      </c>
      <c r="G138" s="84"/>
      <c r="H138" s="14"/>
      <c r="I138" s="31">
        <f>+INDEX('[5]Budget révisé'!$A$2:$AO$496,MATCH($A138,'[5]Budget révisé'!$A$2:$A$496,0),MATCH(I$2,'[5]Budget révisé'!$A$2:$AO$2,0))</f>
        <v>2662.7736</v>
      </c>
      <c r="J138" s="42"/>
      <c r="K138" s="14"/>
      <c r="L138" s="34">
        <f>SUMIFS([5]BV_Data_An_Cour!$O:$O,[5]BV_Data_An_Cour!$U:$U,$B138,[5]BV_Data_An_Cour!$V:$V,$C138,[5]BV_Data_An_Cour!$W:$W,$L$2)</f>
        <v>1493</v>
      </c>
      <c r="M138" s="42"/>
      <c r="N138" s="60">
        <f t="shared" si="56"/>
        <v>-1169.7736</v>
      </c>
      <c r="O138" s="42"/>
      <c r="P138" s="14"/>
      <c r="Q138" s="34">
        <f>SUMIFS([5]BV_Data_An_Prec!$O:$O,[5]BV_Data_An_Prec!$U:$U,$B138,[5]BV_Data_An_Prec!$V:$V,$C138,[5]BV_Data_An_Prec!$W:$W,$L$2)</f>
        <v>2580.31</v>
      </c>
      <c r="R138" s="42"/>
      <c r="S138" s="86">
        <f t="shared" si="58"/>
        <v>-1087.31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2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+INDEX('[5]Budget original'!$A$2:$AO$496,MATCH($A139,'[5]Budget original'!$A$2:$A$496,0),MATCH(F$2,'[5]Budget original'!$A$2:$AO$2,0))</f>
        <v>598.68629999999996</v>
      </c>
      <c r="G139" s="84"/>
      <c r="H139" s="14"/>
      <c r="I139" s="31">
        <f>+INDEX('[5]Budget révisé'!$A$2:$AO$496,MATCH($A139,'[5]Budget révisé'!$A$2:$A$496,0),MATCH(I$2,'[5]Budget révisé'!$A$2:$AO$2,0))</f>
        <v>598.68629999999996</v>
      </c>
      <c r="J139" s="42"/>
      <c r="K139" s="14"/>
      <c r="L139" s="34">
        <f>SUMIFS([5]BV_Data_An_Cour!$O:$O,[5]BV_Data_An_Cour!$U:$U,$B139,[5]BV_Data_An_Cour!$V:$V,$C139,[5]BV_Data_An_Cour!$W:$W,$L$2)</f>
        <v>78.69</v>
      </c>
      <c r="M139" s="42"/>
      <c r="N139" s="60">
        <f t="shared" si="56"/>
        <v>-519.99630000000002</v>
      </c>
      <c r="O139" s="42"/>
      <c r="P139" s="14"/>
      <c r="Q139" s="34">
        <f>SUMIFS([5]BV_Data_An_Prec!$O:$O,[5]BV_Data_An_Prec!$U:$U,$B139,[5]BV_Data_An_Prec!$V:$V,$C139,[5]BV_Data_An_Prec!$W:$W,$L$2)</f>
        <v>729.24</v>
      </c>
      <c r="R139" s="42"/>
      <c r="S139" s="86">
        <f t="shared" si="58"/>
        <v>-650.54999999999995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2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+INDEX('[5]Budget original'!$A$2:$AO$496,MATCH($A140,'[5]Budget original'!$A$2:$A$496,0),MATCH(F$2,'[5]Budget original'!$A$2:$AO$2,0))</f>
        <v>2934.5604999999996</v>
      </c>
      <c r="G140" s="91"/>
      <c r="H140" s="117"/>
      <c r="I140" s="23">
        <f>+INDEX('[5]Budget révisé'!$A$2:$AO$496,MATCH($A140,'[5]Budget révisé'!$A$2:$A$496,0),MATCH(I$2,'[5]Budget révisé'!$A$2:$AO$2,0))</f>
        <v>2934.5604999999996</v>
      </c>
      <c r="J140" s="24"/>
      <c r="K140" s="117"/>
      <c r="L140" s="23">
        <f>SUMIFS([5]BV_Data_An_Cour!$O:$O,[5]BV_Data_An_Cour!$U:$U,$B140,[5]BV_Data_An_Cour!$V:$V,$C140,[5]BV_Data_An_Cour!$W:$W,$L$2)</f>
        <v>1698.7</v>
      </c>
      <c r="M140" s="24"/>
      <c r="N140" s="94">
        <f t="shared" si="56"/>
        <v>-1235.8604999999995</v>
      </c>
      <c r="O140" s="24"/>
      <c r="P140" s="117"/>
      <c r="Q140" s="23">
        <f>SUMIFS([5]BV_Data_An_Prec!$O:$O,[5]BV_Data_An_Prec!$U:$U,$B140,[5]BV_Data_An_Prec!$V:$V,$C140,[5]BV_Data_An_Prec!$W:$W,$L$2)</f>
        <v>1357.77</v>
      </c>
      <c r="R140" s="24"/>
      <c r="S140" s="95">
        <f t="shared" si="58"/>
        <v>340.93000000000006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2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+INDEX('[5]Budget original'!$A$2:$AO$496,MATCH($A141,'[5]Budget original'!$A$2:$A$496,0),MATCH(F$2,'[5]Budget original'!$A$2:$AO$2,0))</f>
        <v>126.25349713628719</v>
      </c>
      <c r="G141" s="84"/>
      <c r="H141" s="14"/>
      <c r="I141" s="31">
        <f>+INDEX('[5]Budget révisé'!$A$2:$AO$496,MATCH($A141,'[5]Budget révisé'!$A$2:$A$496,0),MATCH(I$2,'[5]Budget révisé'!$A$2:$AO$2,0))</f>
        <v>126.25349713628719</v>
      </c>
      <c r="J141" s="42"/>
      <c r="K141" s="14"/>
      <c r="L141" s="34">
        <f>SUMIFS([5]BV_Data_An_Cour!$O:$O,[5]BV_Data_An_Cour!$U:$U,$B141,[5]BV_Data_An_Cour!$V:$V,$C141,[5]BV_Data_An_Cour!$W:$W,$L$2)</f>
        <v>413.76</v>
      </c>
      <c r="M141" s="42"/>
      <c r="N141" s="60">
        <f t="shared" si="56"/>
        <v>287.5065028637128</v>
      </c>
      <c r="O141" s="42"/>
      <c r="P141" s="14"/>
      <c r="Q141" s="34">
        <f>SUMIFS([5]BV_Data_An_Prec!$O:$O,[5]BV_Data_An_Prec!$U:$U,$B141,[5]BV_Data_An_Prec!$V:$V,$C141,[5]BV_Data_An_Prec!$W:$W,$L$2)</f>
        <v>120</v>
      </c>
      <c r="R141" s="42"/>
      <c r="S141" s="86">
        <f t="shared" si="58"/>
        <v>293.76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2"/>
        <v>Véhicules usagésUniformes</v>
      </c>
      <c r="B142" s="12" t="s">
        <v>74</v>
      </c>
      <c r="C142" s="30" t="s">
        <v>58</v>
      </c>
      <c r="D142" s="82"/>
      <c r="E142" s="14"/>
      <c r="F142" s="31">
        <f>+INDEX('[5]Budget original'!$A$2:$AO$496,MATCH($A142,'[5]Budget original'!$A$2:$A$496,0),MATCH(F$2,'[5]Budget original'!$A$2:$AO$2,0))</f>
        <v>10</v>
      </c>
      <c r="G142" s="84"/>
      <c r="H142" s="14"/>
      <c r="I142" s="31">
        <f>+INDEX('[5]Budget révisé'!$A$2:$AO$496,MATCH($A142,'[5]Budget révisé'!$A$2:$A$496,0),MATCH(I$2,'[5]Budget révisé'!$A$2:$AO$2,0))</f>
        <v>10</v>
      </c>
      <c r="J142" s="42"/>
      <c r="K142" s="14"/>
      <c r="L142" s="34">
        <f>SUMIFS([5]BV_Data_An_Cour!$O:$O,[5]BV_Data_An_Cour!$U:$U,$B142,[5]BV_Data_An_Cour!$V:$V,$C142,[5]BV_Data_An_Cour!$W:$W,$L$2)</f>
        <v>0</v>
      </c>
      <c r="M142" s="42"/>
      <c r="N142" s="60">
        <f t="shared" si="56"/>
        <v>-10</v>
      </c>
      <c r="O142" s="42"/>
      <c r="P142" s="14"/>
      <c r="Q142" s="34">
        <f>SUMIFS([5]BV_Data_An_Prec!$O:$O,[5]BV_Data_An_Prec!$U:$U,$B142,[5]BV_Data_An_Prec!$V:$V,$C142,[5]BV_Data_An_Prec!$W:$W,$L$2)</f>
        <v>10</v>
      </c>
      <c r="R142" s="42"/>
      <c r="S142" s="86">
        <f t="shared" si="58"/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2"/>
        <v>Véhicules usagésPapeterie</v>
      </c>
      <c r="B143" s="12" t="s">
        <v>74</v>
      </c>
      <c r="C143" s="30" t="s">
        <v>59</v>
      </c>
      <c r="D143" s="82"/>
      <c r="E143" s="14"/>
      <c r="F143" s="31">
        <f>+INDEX('[5]Budget original'!$A$2:$AO$496,MATCH($A143,'[5]Budget original'!$A$2:$A$496,0),MATCH(F$2,'[5]Budget original'!$A$2:$AO$2,0))</f>
        <v>261.59999999999997</v>
      </c>
      <c r="G143" s="84"/>
      <c r="H143" s="14"/>
      <c r="I143" s="31">
        <f>+INDEX('[5]Budget révisé'!$A$2:$AO$496,MATCH($A143,'[5]Budget révisé'!$A$2:$A$496,0),MATCH(I$2,'[5]Budget révisé'!$A$2:$AO$2,0))</f>
        <v>261.59999999999997</v>
      </c>
      <c r="J143" s="42"/>
      <c r="K143" s="14"/>
      <c r="L143" s="33">
        <f>SUMIFS([5]BV_Data_An_Cour!$O:$O,[5]BV_Data_An_Cour!$U:$U,$B143,[5]BV_Data_An_Cour!$V:$V,$C143,[5]BV_Data_An_Cour!$W:$W,$L$2)</f>
        <v>597.44000000000005</v>
      </c>
      <c r="M143" s="42"/>
      <c r="N143" s="60">
        <f t="shared" si="56"/>
        <v>335.84000000000009</v>
      </c>
      <c r="O143" s="42"/>
      <c r="P143" s="14"/>
      <c r="Q143" s="33">
        <f>SUMIFS([5]BV_Data_An_Prec!$O:$O,[5]BV_Data_An_Prec!$U:$U,$B143,[5]BV_Data_An_Prec!$V:$V,$C143,[5]BV_Data_An_Prec!$W:$W,$L$2)</f>
        <v>222</v>
      </c>
      <c r="R143" s="42"/>
      <c r="S143" s="86">
        <f t="shared" si="58"/>
        <v>375.44000000000005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2"/>
        <v>Véhicules usagésTéléphone</v>
      </c>
      <c r="B144" s="12" t="s">
        <v>74</v>
      </c>
      <c r="C144" s="30" t="s">
        <v>60</v>
      </c>
      <c r="D144" s="82"/>
      <c r="E144" s="14"/>
      <c r="F144" s="31">
        <f>+INDEX('[5]Budget original'!$A$2:$AO$496,MATCH($A144,'[5]Budget original'!$A$2:$A$496,0),MATCH(F$2,'[5]Budget original'!$A$2:$AO$2,0))</f>
        <v>268.09199999999998</v>
      </c>
      <c r="G144" s="84"/>
      <c r="H144" s="14"/>
      <c r="I144" s="31">
        <f>+INDEX('[5]Budget révisé'!$A$2:$AO$496,MATCH($A144,'[5]Budget révisé'!$A$2:$A$496,0),MATCH(I$2,'[5]Budget révisé'!$A$2:$AO$2,0))</f>
        <v>268.09199999999998</v>
      </c>
      <c r="J144" s="42"/>
      <c r="K144" s="14"/>
      <c r="L144" s="34">
        <f>SUMIFS([5]BV_Data_An_Cour!$O:$O,[5]BV_Data_An_Cour!$U:$U,$B144,[5]BV_Data_An_Cour!$V:$V,$C144,[5]BV_Data_An_Cour!$W:$W,$L$2)</f>
        <v>48.83</v>
      </c>
      <c r="M144" s="42"/>
      <c r="N144" s="60">
        <f t="shared" si="56"/>
        <v>-219.262</v>
      </c>
      <c r="O144" s="42"/>
      <c r="P144" s="14"/>
      <c r="Q144" s="34">
        <f>SUMIFS([5]BV_Data_An_Prec!$O:$O,[5]BV_Data_An_Prec!$U:$U,$B144,[5]BV_Data_An_Prec!$V:$V,$C144,[5]BV_Data_An_Prec!$W:$W,$L$2)</f>
        <v>136.68</v>
      </c>
      <c r="R144" s="42"/>
      <c r="S144" s="86">
        <f t="shared" si="58"/>
        <v>-87.850000000000009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2"/>
        <v>Véhicules usagésFrais postaux</v>
      </c>
      <c r="B145" s="12" t="s">
        <v>74</v>
      </c>
      <c r="C145" s="30" t="s">
        <v>61</v>
      </c>
      <c r="D145" s="82"/>
      <c r="E145" s="14"/>
      <c r="F145" s="31">
        <f>+INDEX('[5]Budget original'!$A$2:$AO$496,MATCH($A145,'[5]Budget original'!$A$2:$A$496,0),MATCH(F$2,'[5]Budget original'!$A$2:$AO$2,0))</f>
        <v>103.8</v>
      </c>
      <c r="G145" s="84"/>
      <c r="H145" s="14"/>
      <c r="I145" s="31">
        <f>+INDEX('[5]Budget révisé'!$A$2:$AO$496,MATCH($A145,'[5]Budget révisé'!$A$2:$A$496,0),MATCH(I$2,'[5]Budget révisé'!$A$2:$AO$2,0))</f>
        <v>103.8</v>
      </c>
      <c r="J145" s="42"/>
      <c r="K145" s="14"/>
      <c r="L145" s="34">
        <f>SUMIFS([5]BV_Data_An_Cour!$O:$O,[5]BV_Data_An_Cour!$U:$U,$B145,[5]BV_Data_An_Cour!$V:$V,$C145,[5]BV_Data_An_Cour!$W:$W,$L$2)</f>
        <v>79.42</v>
      </c>
      <c r="M145" s="42"/>
      <c r="N145" s="60">
        <f t="shared" si="56"/>
        <v>-24.379999999999995</v>
      </c>
      <c r="O145" s="42"/>
      <c r="P145" s="14"/>
      <c r="Q145" s="34">
        <f>SUMIFS([5]BV_Data_An_Prec!$O:$O,[5]BV_Data_An_Prec!$U:$U,$B145,[5]BV_Data_An_Prec!$V:$V,$C145,[5]BV_Data_An_Prec!$W:$W,$L$2)</f>
        <v>66.94</v>
      </c>
      <c r="R145" s="42"/>
      <c r="S145" s="86">
        <f t="shared" si="58"/>
        <v>12.480000000000004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2"/>
        <v>Véhicules usagésDivers</v>
      </c>
      <c r="B146" s="12" t="s">
        <v>74</v>
      </c>
      <c r="C146" s="30" t="s">
        <v>62</v>
      </c>
      <c r="D146" s="82"/>
      <c r="E146" s="14"/>
      <c r="F146" s="31">
        <f>+INDEX('[5]Budget original'!$A$2:$AO$496,MATCH($A146,'[5]Budget original'!$A$2:$A$496,0),MATCH(F$2,'[5]Budget original'!$A$2:$AO$2,0))</f>
        <v>430.91999999999996</v>
      </c>
      <c r="G146" s="84"/>
      <c r="H146" s="14"/>
      <c r="I146" s="31">
        <f>+INDEX('[5]Budget révisé'!$A$2:$AO$496,MATCH($A146,'[5]Budget révisé'!$A$2:$A$496,0),MATCH(I$2,'[5]Budget révisé'!$A$2:$AO$2,0))</f>
        <v>430.91999999999996</v>
      </c>
      <c r="J146" s="42"/>
      <c r="K146" s="14"/>
      <c r="L146" s="34">
        <f>SUMIFS([5]BV_Data_An_Cour!$O:$O,[5]BV_Data_An_Cour!$U:$U,$B146,[5]BV_Data_An_Cour!$V:$V,$C146,[5]BV_Data_An_Cour!$W:$W,$L$2)</f>
        <v>99.03</v>
      </c>
      <c r="M146" s="42"/>
      <c r="N146" s="60">
        <f t="shared" si="56"/>
        <v>-331.89</v>
      </c>
      <c r="O146" s="42"/>
      <c r="P146" s="14"/>
      <c r="Q146" s="34">
        <f>SUMIFS([5]BV_Data_An_Prec!$O:$O,[5]BV_Data_An_Prec!$U:$U,$B146,[5]BV_Data_An_Prec!$V:$V,$C146,[5]BV_Data_An_Prec!$W:$W,$L$2)</f>
        <v>688.31</v>
      </c>
      <c r="R146" s="42"/>
      <c r="S146" s="86">
        <f t="shared" si="58"/>
        <v>-589.28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2"/>
        <v>Véhicules usagésFormation</v>
      </c>
      <c r="B147" s="12" t="s">
        <v>74</v>
      </c>
      <c r="C147" s="30" t="s">
        <v>63</v>
      </c>
      <c r="D147" s="82"/>
      <c r="E147" s="14"/>
      <c r="F147" s="31">
        <f>+INDEX('[5]Budget original'!$A$2:$AO$496,MATCH($A147,'[5]Budget original'!$A$2:$A$496,0),MATCH(F$2,'[5]Budget original'!$A$2:$AO$2,0))</f>
        <v>70.63</v>
      </c>
      <c r="G147" s="84"/>
      <c r="H147" s="14"/>
      <c r="I147" s="31">
        <f>+INDEX('[5]Budget révisé'!$A$2:$AO$496,MATCH($A147,'[5]Budget révisé'!$A$2:$A$496,0),MATCH(I$2,'[5]Budget révisé'!$A$2:$AO$2,0))</f>
        <v>70.63</v>
      </c>
      <c r="J147" s="42"/>
      <c r="K147" s="14"/>
      <c r="L147" s="34">
        <f>SUMIFS([5]BV_Data_An_Cour!$O:$O,[5]BV_Data_An_Cour!$U:$U,$B147,[5]BV_Data_An_Cour!$V:$V,$C147,[5]BV_Data_An_Cour!$W:$W,$L$2)</f>
        <v>10.62</v>
      </c>
      <c r="M147" s="42"/>
      <c r="N147" s="60">
        <f t="shared" si="56"/>
        <v>-60.01</v>
      </c>
      <c r="O147" s="42"/>
      <c r="P147" s="14"/>
      <c r="Q147" s="34">
        <f>SUMIFS([5]BV_Data_An_Prec!$O:$O,[5]BV_Data_An_Prec!$U:$U,$B147,[5]BV_Data_An_Prec!$V:$V,$C147,[5]BV_Data_An_Prec!$W:$W,$L$2)</f>
        <v>60</v>
      </c>
      <c r="R147" s="42"/>
      <c r="S147" s="86">
        <f t="shared" si="58"/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2"/>
        <v>Véhicules usagésFrais bancaires</v>
      </c>
      <c r="B148" s="12" t="s">
        <v>74</v>
      </c>
      <c r="C148" s="30" t="s">
        <v>64</v>
      </c>
      <c r="D148" s="82"/>
      <c r="E148" s="14"/>
      <c r="F148" s="31">
        <f>+INDEX('[5]Budget original'!$A$2:$AO$496,MATCH($A148,'[5]Budget original'!$A$2:$A$496,0),MATCH(F$2,'[5]Budget original'!$A$2:$AO$2,0))</f>
        <v>1501.8697659349984</v>
      </c>
      <c r="G148" s="84"/>
      <c r="H148" s="14"/>
      <c r="I148" s="31">
        <f>+INDEX('[5]Budget révisé'!$A$2:$AO$496,MATCH($A148,'[5]Budget révisé'!$A$2:$A$496,0),MATCH(I$2,'[5]Budget révisé'!$A$2:$AO$2,0))</f>
        <v>1501.8697659349984</v>
      </c>
      <c r="J148" s="42"/>
      <c r="K148" s="14"/>
      <c r="L148" s="34">
        <f>AF447*W4</f>
        <v>901.53</v>
      </c>
      <c r="M148" s="42"/>
      <c r="N148" s="60">
        <f t="shared" si="56"/>
        <v>-600.33976593499847</v>
      </c>
      <c r="O148" s="42"/>
      <c r="P148" s="14"/>
      <c r="Q148" s="34">
        <f>AL447*W4</f>
        <v>1248.5900000000001</v>
      </c>
      <c r="R148" s="42"/>
      <c r="S148" s="86">
        <f t="shared" si="58"/>
        <v>-347.06000000000017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2"/>
        <v>Véhicules usagés[...]</v>
      </c>
      <c r="B149" s="12" t="s">
        <v>74</v>
      </c>
      <c r="C149" s="30" t="s">
        <v>21</v>
      </c>
      <c r="D149" s="82"/>
      <c r="E149" s="14"/>
      <c r="F149" s="31">
        <f>+INDEX('[5]Budget original'!$A$2:$AO$496,MATCH($A149,'[5]Budget original'!$A$2:$A$496,0),MATCH(F$2,'[5]Budget original'!$A$2:$AO$2,0))</f>
        <v>0</v>
      </c>
      <c r="G149" s="84"/>
      <c r="H149" s="14"/>
      <c r="I149" s="31">
        <f>+INDEX('[5]Budget révisé'!$A$2:$AO$496,MATCH($A149,'[5]Budget révisé'!$A$2:$A$496,0),MATCH(I$2,'[5]Budget révisé'!$A$2:$AO$2,0))</f>
        <v>0</v>
      </c>
      <c r="J149" s="42"/>
      <c r="K149" s="14"/>
      <c r="L149" s="34">
        <f>SUMIFS([5]BV_Data_An_Cour!$O:$O,[5]BV_Data_An_Cour!$U:$U,$B149,[5]BV_Data_An_Cour!$V:$V,$C149,[5]BV_Data_An_Cour!$W:$W,$L$2)</f>
        <v>0</v>
      </c>
      <c r="M149" s="42"/>
      <c r="N149" s="60">
        <f t="shared" si="56"/>
        <v>0</v>
      </c>
      <c r="O149" s="42"/>
      <c r="P149" s="14"/>
      <c r="Q149" s="34">
        <f>SUMIFS([5]BV_Data_An_Prec!$O:$O,[5]BV_Data_An_Prec!$U:$U,$B149,[5]BV_Data_An_Prec!$V:$V,$C149,[5]BV_Data_An_Prec!$W:$W,$L$2)</f>
        <v>0</v>
      </c>
      <c r="R149" s="42"/>
      <c r="S149" s="86">
        <f t="shared" si="58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2"/>
        <v>Véhicules usagés[...]</v>
      </c>
      <c r="B150" s="12" t="s">
        <v>74</v>
      </c>
      <c r="C150" s="30" t="s">
        <v>21</v>
      </c>
      <c r="D150" s="82"/>
      <c r="E150" s="14"/>
      <c r="F150" s="31">
        <f>+INDEX('[5]Budget original'!$A$2:$AO$496,MATCH($A150,'[5]Budget original'!$A$2:$A$496,0),MATCH(F$2,'[5]Budget original'!$A$2:$AO$2,0))</f>
        <v>0</v>
      </c>
      <c r="G150" s="84"/>
      <c r="H150" s="14"/>
      <c r="I150" s="31">
        <f>+INDEX('[5]Budget révisé'!$A$2:$AO$496,MATCH($A150,'[5]Budget révisé'!$A$2:$A$496,0),MATCH(I$2,'[5]Budget révisé'!$A$2:$AO$2,0))</f>
        <v>0</v>
      </c>
      <c r="J150" s="42"/>
      <c r="K150" s="14"/>
      <c r="L150" s="34">
        <f>SUMIFS([5]BV_Data_An_Cour!$O:$O,[5]BV_Data_An_Cour!$U:$U,$B150,[5]BV_Data_An_Cour!$V:$V,$C150,[5]BV_Data_An_Cour!$W:$W,$L$2)</f>
        <v>0</v>
      </c>
      <c r="M150" s="42"/>
      <c r="N150" s="60">
        <f t="shared" si="56"/>
        <v>0</v>
      </c>
      <c r="O150" s="42"/>
      <c r="P150" s="14"/>
      <c r="Q150" s="34">
        <f>SUMIFS([5]BV_Data_An_Prec!$O:$O,[5]BV_Data_An_Prec!$U:$U,$B150,[5]BV_Data_An_Prec!$V:$V,$C150,[5]BV_Data_An_Prec!$W:$W,$L$2)</f>
        <v>0</v>
      </c>
      <c r="R150" s="42"/>
      <c r="S150" s="86">
        <f t="shared" si="58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2"/>
        <v>Véhicules usagés[...]</v>
      </c>
      <c r="B151" s="12" t="s">
        <v>74</v>
      </c>
      <c r="C151" s="30" t="s">
        <v>21</v>
      </c>
      <c r="D151" s="82"/>
      <c r="E151" s="14"/>
      <c r="F151" s="31">
        <f>+INDEX('[5]Budget original'!$A$2:$AO$496,MATCH($A151,'[5]Budget original'!$A$2:$A$496,0),MATCH(F$2,'[5]Budget original'!$A$2:$AO$2,0))</f>
        <v>0</v>
      </c>
      <c r="G151" s="84"/>
      <c r="H151" s="14"/>
      <c r="I151" s="31">
        <f>+INDEX('[5]Budget révisé'!$A$2:$AO$496,MATCH($A151,'[5]Budget révisé'!$A$2:$A$496,0),MATCH(I$2,'[5]Budget révisé'!$A$2:$AO$2,0))</f>
        <v>0</v>
      </c>
      <c r="J151" s="42"/>
      <c r="K151" s="14"/>
      <c r="L151" s="34">
        <f>SUMIFS([5]BV_Data_An_Cour!$O:$O,[5]BV_Data_An_Cour!$U:$U,$B151,[5]BV_Data_An_Cour!$V:$V,$C151,[5]BV_Data_An_Cour!$W:$W,$L$2)</f>
        <v>0</v>
      </c>
      <c r="M151" s="42"/>
      <c r="N151" s="60">
        <f t="shared" si="56"/>
        <v>0</v>
      </c>
      <c r="O151" s="42"/>
      <c r="P151" s="14"/>
      <c r="Q151" s="34">
        <f>SUMIFS([5]BV_Data_An_Prec!$O:$O,[5]BV_Data_An_Prec!$U:$U,$B151,[5]BV_Data_An_Prec!$V:$V,$C151,[5]BV_Data_An_Prec!$W:$W,$L$2)</f>
        <v>0</v>
      </c>
      <c r="R151" s="42"/>
      <c r="S151" s="86">
        <f t="shared" si="58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2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0.11334935973002147</v>
      </c>
      <c r="F152" s="102">
        <f>+SUM(F135:F151)</f>
        <v>9184.2256630712855</v>
      </c>
      <c r="G152" s="103" t="s">
        <v>40</v>
      </c>
      <c r="H152" s="101">
        <f>I152/I$107</f>
        <v>0.11334935973002147</v>
      </c>
      <c r="I152" s="102">
        <f>+SUM(I135:I151)</f>
        <v>9184.2256630712855</v>
      </c>
      <c r="J152" s="103" t="s">
        <v>40</v>
      </c>
      <c r="K152" s="101">
        <f>L152/L$107</f>
        <v>4.5263078484255363E-2</v>
      </c>
      <c r="L152" s="102">
        <f>+SUM(L135:L151)</f>
        <v>5051.9000000000005</v>
      </c>
      <c r="M152" s="106"/>
      <c r="N152" s="102">
        <f t="shared" si="56"/>
        <v>-4132.3256630712849</v>
      </c>
      <c r="O152" s="103" t="s">
        <v>40</v>
      </c>
      <c r="P152" s="101">
        <f>Q152/Q$107</f>
        <v>0.10457114056767659</v>
      </c>
      <c r="Q152" s="102">
        <f>+SUM(Q135:Q151)</f>
        <v>7672.6</v>
      </c>
      <c r="R152" s="106"/>
      <c r="S152" s="107">
        <f t="shared" si="58"/>
        <v>-2620.6999999999998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2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2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0.9781144493683025</v>
      </c>
      <c r="F154" s="102">
        <f>F121+F134+F152</f>
        <v>79252.53260102823</v>
      </c>
      <c r="G154" s="103" t="s">
        <v>40</v>
      </c>
      <c r="H154" s="101">
        <f>I154/I$107</f>
        <v>0.9781144493683025</v>
      </c>
      <c r="I154" s="102">
        <f>I121+I134+I152</f>
        <v>79252.53260102823</v>
      </c>
      <c r="J154" s="103" t="s">
        <v>40</v>
      </c>
      <c r="K154" s="101">
        <f>L154/L$107</f>
        <v>0.79309794274698553</v>
      </c>
      <c r="L154" s="102">
        <f>L121+L134+L152</f>
        <v>88519.199999999983</v>
      </c>
      <c r="M154" s="106"/>
      <c r="N154" s="119">
        <f>L154-I154</f>
        <v>9266.6673989717528</v>
      </c>
      <c r="O154" s="103" t="s">
        <v>40</v>
      </c>
      <c r="P154" s="101">
        <f>Q154/Q$107</f>
        <v>1.0745287783933015</v>
      </c>
      <c r="Q154" s="102">
        <f>Q121+Q134+Q152</f>
        <v>78840.390000000014</v>
      </c>
      <c r="R154" s="106"/>
      <c r="S154" s="120">
        <f>L154-Q154</f>
        <v>9678.8099999999686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2"/>
        <v>Véhicules usagésProgramme used 1</v>
      </c>
      <c r="B155" s="494" t="s">
        <v>74</v>
      </c>
      <c r="C155" s="30" t="s">
        <v>216</v>
      </c>
      <c r="D155" s="156"/>
      <c r="E155" s="157"/>
      <c r="F155" s="31">
        <f>+INDEX('[5]Budget original'!$A$2:$AO$496,MATCH($A155,'[5]Budget original'!$A$2:$A$496,0),MATCH(F$2,'[5]Budget original'!$A$2:$AO$2,0))</f>
        <v>0</v>
      </c>
      <c r="G155" s="158"/>
      <c r="H155" s="157"/>
      <c r="I155" s="31">
        <f>+INDEX('[5]Budget révisé'!$A$2:$AO$496,MATCH($A155,'[5]Budget révisé'!$A$2:$A$496,0),MATCH(I$2,'[5]Budget révisé'!$A$2:$AO$2,0))</f>
        <v>0</v>
      </c>
      <c r="J155" s="158"/>
      <c r="K155" s="157"/>
      <c r="L155" s="33">
        <v>0</v>
      </c>
      <c r="M155" s="42"/>
      <c r="N155" s="60">
        <f t="shared" ref="N155:N161" si="59">L155-I155</f>
        <v>0</v>
      </c>
      <c r="O155" s="158"/>
      <c r="P155" s="157"/>
      <c r="Q155" s="34">
        <f>-SUMIFS([5]BV_Data_An_Prec!$O:$O,[5]BV_Data_An_Prec!$U:$U,$B155,[5]BV_Data_An_Prec!$V:$V,$C155,[5]BV_Data_An_Prec!$W:$W,$L$2)</f>
        <v>0</v>
      </c>
      <c r="R155" s="42"/>
      <c r="S155" s="86">
        <f t="shared" ref="S155:S161" si="60">L155-Q155</f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2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+INDEX('[5]Budget original'!$A$2:$AO$496,MATCH($A156,'[5]Budget original'!$A$2:$A$496,0),MATCH(F$2,'[5]Budget original'!$A$2:$AO$2,0))</f>
        <v>0</v>
      </c>
      <c r="G156" s="158"/>
      <c r="H156" s="157"/>
      <c r="I156" s="31">
        <f>+INDEX('[5]Budget révisé'!$A$2:$AO$496,MATCH($A156,'[5]Budget révisé'!$A$2:$A$496,0),MATCH(I$2,'[5]Budget révisé'!$A$2:$AO$2,0))</f>
        <v>0</v>
      </c>
      <c r="J156" s="158"/>
      <c r="K156" s="157"/>
      <c r="L156" s="34">
        <f>-SUMIFS([5]BV_Data_An_Cour!$O:$O,[5]BV_Data_An_Cour!$U:$U,$B156,[5]BV_Data_An_Cour!$V:$V,$C156,[5]BV_Data_An_Cour!$W:$W,$L$2)</f>
        <v>0</v>
      </c>
      <c r="M156" s="42"/>
      <c r="N156" s="60">
        <f t="shared" si="59"/>
        <v>0</v>
      </c>
      <c r="O156" s="158"/>
      <c r="P156" s="157"/>
      <c r="Q156" s="34">
        <f>-SUMIFS([5]BV_Data_An_Prec!$O:$O,[5]BV_Data_An_Prec!$U:$U,$B156,[5]BV_Data_An_Prec!$V:$V,$C156,[5]BV_Data_An_Prec!$W:$W,$L$2)</f>
        <v>0</v>
      </c>
      <c r="R156" s="42"/>
      <c r="S156" s="86">
        <f t="shared" si="60"/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2"/>
        <v>Véhicules usagésProgramme used 3</v>
      </c>
      <c r="B157" s="12" t="s">
        <v>74</v>
      </c>
      <c r="C157" s="30" t="s">
        <v>83</v>
      </c>
      <c r="D157" s="82"/>
      <c r="E157" s="14"/>
      <c r="F157" s="31">
        <f>+INDEX('[5]Budget original'!$A$2:$AO$496,MATCH($A157,'[5]Budget original'!$A$2:$A$496,0),MATCH(F$2,'[5]Budget original'!$A$2:$AO$2,0))</f>
        <v>0</v>
      </c>
      <c r="G157" s="84"/>
      <c r="H157" s="14"/>
      <c r="I157" s="31">
        <f>+INDEX('[5]Budget révisé'!$A$2:$AO$496,MATCH($A157,'[5]Budget révisé'!$A$2:$A$496,0),MATCH(I$2,'[5]Budget révisé'!$A$2:$AO$2,0))</f>
        <v>0</v>
      </c>
      <c r="J157" s="42"/>
      <c r="K157" s="14"/>
      <c r="L157" s="34">
        <f>-SUMIFS([5]BV_Data_An_Cour!$O:$O,[5]BV_Data_An_Cour!$U:$U,$B157,[5]BV_Data_An_Cour!$V:$V,$C157,[5]BV_Data_An_Cour!$W:$W,$L$2)</f>
        <v>0</v>
      </c>
      <c r="M157" s="42"/>
      <c r="N157" s="60">
        <f t="shared" si="59"/>
        <v>0</v>
      </c>
      <c r="O157" s="42"/>
      <c r="P157" s="14"/>
      <c r="Q157" s="34">
        <f>-SUMIFS([5]BV_Data_An_Prec!$O:$O,[5]BV_Data_An_Prec!$U:$U,$B157,[5]BV_Data_An_Prec!$V:$V,$C157,[5]BV_Data_An_Prec!$W:$W,$L$2)</f>
        <v>0</v>
      </c>
      <c r="R157" s="42"/>
      <c r="S157" s="86">
        <f t="shared" si="60"/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1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+INDEX('[5]Budget original'!$A$2:$AO$496,MATCH($A158,'[5]Budget original'!$A$2:$A$496,0),MATCH(F$2,'[5]Budget original'!$A$2:$AO$2,0))</f>
        <v>9914.0558626269521</v>
      </c>
      <c r="G158" s="84"/>
      <c r="H158" s="14"/>
      <c r="I158" s="31">
        <f>+INDEX('[5]Budget révisé'!$A$2:$AO$496,MATCH($A158,'[5]Budget révisé'!$A$2:$A$496,0),MATCH(I$2,'[5]Budget révisé'!$A$2:$AO$2,0))</f>
        <v>9914.0558626269521</v>
      </c>
      <c r="J158" s="42"/>
      <c r="K158" s="14"/>
      <c r="L158" s="33">
        <f>349*J96</f>
        <v>14309</v>
      </c>
      <c r="M158" s="42"/>
      <c r="N158" s="60">
        <f t="shared" si="59"/>
        <v>4394.9441373730479</v>
      </c>
      <c r="O158" s="42"/>
      <c r="P158" s="14"/>
      <c r="Q158" s="34">
        <f>349*O96</f>
        <v>13611</v>
      </c>
      <c r="R158" s="42"/>
      <c r="S158" s="86">
        <f t="shared" si="60"/>
        <v>698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1"/>
        <v>Véhicules usagés[...]</v>
      </c>
      <c r="B159" s="12" t="s">
        <v>74</v>
      </c>
      <c r="C159" s="30" t="s">
        <v>21</v>
      </c>
      <c r="D159" s="82"/>
      <c r="E159" s="14"/>
      <c r="F159" s="31">
        <f>+INDEX('[5]Budget original'!$A$2:$AO$496,MATCH($A159,'[5]Budget original'!$A$2:$A$496,0),MATCH(F$2,'[5]Budget original'!$A$2:$AO$2,0))</f>
        <v>0</v>
      </c>
      <c r="G159" s="84"/>
      <c r="H159" s="14"/>
      <c r="I159" s="31">
        <f>+INDEX('[5]Budget révisé'!$A$2:$AO$496,MATCH($A159,'[5]Budget révisé'!$A$2:$A$496,0),MATCH(I$2,'[5]Budget révisé'!$A$2:$AO$2,0))</f>
        <v>0</v>
      </c>
      <c r="J159" s="42"/>
      <c r="K159" s="14"/>
      <c r="L159" s="33">
        <f>-SUMIFS([5]BV_Data_An_Cour!$O:$O,[5]BV_Data_An_Cour!$U:$U,$B159,[5]BV_Data_An_Cour!$V:$V,$C159,[5]BV_Data_An_Cour!$W:$W,$L$2)</f>
        <v>0</v>
      </c>
      <c r="M159" s="42"/>
      <c r="N159" s="60">
        <f t="shared" si="59"/>
        <v>0</v>
      </c>
      <c r="O159" s="42"/>
      <c r="P159" s="14"/>
      <c r="Q159" s="34">
        <f>-SUMIFS([5]BV_Data_An_Prec!$O:$O,[5]BV_Data_An_Prec!$U:$U,$B159,[5]BV_Data_An_Prec!$V:$V,$C159,[5]BV_Data_An_Prec!$W:$W,$L$2)</f>
        <v>0</v>
      </c>
      <c r="R159" s="42"/>
      <c r="S159" s="86">
        <f t="shared" si="60"/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1"/>
        <v>Véhicules usagés[...]</v>
      </c>
      <c r="B160" s="12" t="s">
        <v>74</v>
      </c>
      <c r="C160" s="30" t="s">
        <v>21</v>
      </c>
      <c r="D160" s="82"/>
      <c r="E160" s="14"/>
      <c r="F160" s="31">
        <f>+INDEX('[5]Budget original'!$A$2:$AO$496,MATCH($A160,'[5]Budget original'!$A$2:$A$496,0),MATCH(F$2,'[5]Budget original'!$A$2:$AO$2,0))</f>
        <v>0</v>
      </c>
      <c r="G160" s="84"/>
      <c r="H160" s="14"/>
      <c r="I160" s="31">
        <f>+INDEX('[5]Budget révisé'!$A$2:$AO$496,MATCH($A160,'[5]Budget révisé'!$A$2:$A$496,0),MATCH(I$2,'[5]Budget révisé'!$A$2:$AO$2,0))</f>
        <v>0</v>
      </c>
      <c r="J160" s="42"/>
      <c r="K160" s="14"/>
      <c r="L160" s="33">
        <f>-SUMIFS([5]BV_Data_An_Cour!$O:$O,[5]BV_Data_An_Cour!$U:$U,$B160,[5]BV_Data_An_Cour!$V:$V,$C160,[5]BV_Data_An_Cour!$W:$W,$L$2)</f>
        <v>0</v>
      </c>
      <c r="M160" s="42"/>
      <c r="N160" s="60">
        <f t="shared" si="59"/>
        <v>0</v>
      </c>
      <c r="O160" s="42"/>
      <c r="P160" s="14"/>
      <c r="Q160" s="34">
        <f>-SUMIFS([5]BV_Data_An_Prec!$O:$O,[5]BV_Data_An_Prec!$U:$U,$B160,[5]BV_Data_An_Prec!$V:$V,$C160,[5]BV_Data_An_Prec!$W:$W,$L$2)</f>
        <v>0</v>
      </c>
      <c r="R160" s="42"/>
      <c r="S160" s="86">
        <f t="shared" si="60"/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1"/>
        <v>Véhicules usagés[...]</v>
      </c>
      <c r="B161" s="12" t="s">
        <v>74</v>
      </c>
      <c r="C161" s="88" t="s">
        <v>21</v>
      </c>
      <c r="D161" s="89"/>
      <c r="E161" s="117"/>
      <c r="F161" s="31">
        <f>+INDEX('[5]Budget original'!$A$2:$AO$496,MATCH($A161,'[5]Budget original'!$A$2:$A$496,0),MATCH(F$2,'[5]Budget original'!$A$2:$AO$2,0))</f>
        <v>0</v>
      </c>
      <c r="G161" s="84"/>
      <c r="H161" s="14"/>
      <c r="I161" s="31">
        <f>+INDEX('[5]Budget révisé'!$A$2:$AO$496,MATCH($A161,'[5]Budget révisé'!$A$2:$A$496,0),MATCH(I$2,'[5]Budget révisé'!$A$2:$AO$2,0))</f>
        <v>0</v>
      </c>
      <c r="J161" s="42"/>
      <c r="K161" s="14"/>
      <c r="L161" s="33">
        <f>-SUMIFS([5]BV_Data_An_Cour!$O:$O,[5]BV_Data_An_Cour!$U:$U,$B161,[5]BV_Data_An_Cour!$V:$V,$C161,[5]BV_Data_An_Cour!$W:$W,$L$2)</f>
        <v>0</v>
      </c>
      <c r="M161" s="42"/>
      <c r="N161" s="60">
        <f t="shared" si="59"/>
        <v>0</v>
      </c>
      <c r="O161" s="42"/>
      <c r="P161" s="14"/>
      <c r="Q161" s="34">
        <f>-SUMIFS([5]BV_Data_An_Prec!$O:$O,[5]BV_Data_An_Prec!$U:$U,$B161,[5]BV_Data_An_Prec!$V:$V,$C161,[5]BV_Data_An_Prec!$W:$W,$L$2)</f>
        <v>0</v>
      </c>
      <c r="R161" s="42"/>
      <c r="S161" s="86">
        <f t="shared" si="60"/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9914.0558626269521</v>
      </c>
      <c r="G162" s="103"/>
      <c r="H162" s="101"/>
      <c r="I162" s="102">
        <f>+SUM(I155:I161)</f>
        <v>9914.0558626269521</v>
      </c>
      <c r="J162" s="103"/>
      <c r="K162" s="101"/>
      <c r="L162" s="102">
        <f>+SUM(L155:L161)</f>
        <v>14309</v>
      </c>
      <c r="M162" s="106"/>
      <c r="N162" s="102">
        <f>SUM(N157:N157)</f>
        <v>0</v>
      </c>
      <c r="O162" s="103"/>
      <c r="P162" s="101"/>
      <c r="Q162" s="102">
        <f>+SUM(Q155:Q161)</f>
        <v>13611</v>
      </c>
      <c r="R162" s="106"/>
      <c r="S162" s="107">
        <f>+SUM(S155:S161)</f>
        <v>698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11687.350711762705</v>
      </c>
      <c r="G164" s="160"/>
      <c r="H164" s="131"/>
      <c r="I164" s="133">
        <f>I107-I154+I162</f>
        <v>11687.350711762705</v>
      </c>
      <c r="J164" s="161"/>
      <c r="K164" s="132"/>
      <c r="L164" s="133">
        <f>L107-L154+L162</f>
        <v>37401.74000000002</v>
      </c>
      <c r="M164" s="161"/>
      <c r="N164" s="133">
        <f>L164-I164</f>
        <v>25714.389288237315</v>
      </c>
      <c r="O164" s="161"/>
      <c r="P164" s="132"/>
      <c r="Q164" s="133">
        <f>Q107-Q154+Q162</f>
        <v>8142.6699999999837</v>
      </c>
      <c r="R164" s="161"/>
      <c r="S164" s="135">
        <f>L164-Q164</f>
        <v>29259.070000000036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Avril 2021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19" t="s">
        <v>5</v>
      </c>
      <c r="E169" s="520"/>
      <c r="F169" s="521"/>
      <c r="G169" s="522" t="s">
        <v>75</v>
      </c>
      <c r="H169" s="520"/>
      <c r="I169" s="521"/>
      <c r="J169" s="522" t="s">
        <v>7</v>
      </c>
      <c r="K169" s="520"/>
      <c r="L169" s="521"/>
      <c r="M169" s="522" t="s">
        <v>8</v>
      </c>
      <c r="N169" s="521"/>
      <c r="O169" s="519" t="s">
        <v>9</v>
      </c>
      <c r="P169" s="520"/>
      <c r="Q169" s="521"/>
      <c r="R169" s="522" t="s">
        <v>10</v>
      </c>
      <c r="S169" s="523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2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2"/>
        <v>ServiceM/O Client</v>
      </c>
      <c r="B171" s="12" t="s">
        <v>84</v>
      </c>
      <c r="C171" s="30" t="s">
        <v>87</v>
      </c>
      <c r="D171" s="14">
        <f>+INDEX('[5]Budget original'!$A$2:$AO$496,MATCH($A171,'[5]Budget original'!$A$2:$A$496,0),MATCH(D$2,'[5]Budget original'!$A$2:$AO$2,0))</f>
        <v>724.39540650343611</v>
      </c>
      <c r="E171" s="83">
        <f>+INDEX('[5]Budget original'!$A$2:$AO$496,MATCH($A171,'[5]Budget original'!$A$2:$A$496,0),MATCH(E$2,'[5]Budget original'!$A$2:$AO$2,0))</f>
        <v>177794.51169587806</v>
      </c>
      <c r="F171" s="83">
        <f>+INDEX('[5]Budget original'!$A$2:$AO$496,MATCH($A171,'[5]Budget original'!$A$2:$A$496,0),MATCH(F$2,'[5]Budget original'!$A$2:$AO$2,0))</f>
        <v>133435.83594025267</v>
      </c>
      <c r="G171" s="163">
        <f>+INDEX('[5]Budget révisé'!$A$2:$AO$496,MATCH($A171,'[5]Budget révisé'!$A$2:$A$496,0),MATCH(G$2,'[5]Budget révisé'!$A$2:$AO$2,0))</f>
        <v>724.39540650343611</v>
      </c>
      <c r="H171" s="83">
        <f>+INDEX('[5]Budget révisé'!$A$2:$AO$496,MATCH($A171,'[5]Budget révisé'!$A$2:$A$496,0),MATCH(H$2,'[5]Budget révisé'!$A$2:$AO$2,0))</f>
        <v>177794.51169587806</v>
      </c>
      <c r="I171" s="83">
        <f>+INDEX('[5]Budget révisé'!$A$2:$AO$496,MATCH($A171,'[5]Budget révisé'!$A$2:$A$496,0),MATCH(I$2,'[5]Budget révisé'!$A$2:$AO$2,0))</f>
        <v>133435.83594025267</v>
      </c>
      <c r="J171" s="61">
        <f>-SUMIFS([5]BV_Data_An_Cour!$O:$O,[5]BV_Data_An_Cour!$U:$U,$B171,[5]BV_Data_An_Cour!$V:$V,$C171,[5]BV_Data_An_Cour!$W:$W,J$2)</f>
        <v>820</v>
      </c>
      <c r="K171" s="31">
        <f>-SUMIFS([5]BV_Data_An_Cour!$O:$O,[5]BV_Data_An_Cour!$X:$X,"Oui",[5]BV_Data_An_Cour!$U:$U,$B171,[5]BV_Data_An_Cour!$V:$V,$C171)</f>
        <v>173627.53</v>
      </c>
      <c r="L171" s="34">
        <f>-SUMIFS([5]BV_Data_An_Cour!$O:$O,[5]BV_Data_An_Cour!$U:$U,$B171,[5]BV_Data_An_Cour!$V:$V,$C171,[5]BV_Data_An_Cour!$W:$W,$L$2)</f>
        <v>128966.68999999999</v>
      </c>
      <c r="M171" s="164">
        <f>(K171-H171)/H171</f>
        <v>-2.3437065948389811E-2</v>
      </c>
      <c r="N171" s="60">
        <f>L171-I171</f>
        <v>-4469.1459402526816</v>
      </c>
      <c r="O171" s="61">
        <f>-SUMIFS([5]BV_Data_An_Prec!$O:$O,[5]BV_Data_An_Prec!$U:$U,$B171,[5]BV_Data_An_Prec!$V:$V,$C171,[5]BV_Data_An_Prec!$W:$W,O$2)</f>
        <v>761</v>
      </c>
      <c r="P171" s="31">
        <f>-SUMIFS([5]BV_Data_An_Prec!$O:$O,[5]BV_Data_An_Prec!$X:$X,"Oui",[5]BV_Data_An_Prec!$U:$U,$B171,[5]BV_Data_An_Prec!$V:$V,$C171)</f>
        <v>171222.02</v>
      </c>
      <c r="Q171" s="34">
        <f>-SUMIFS([5]BV_Data_An_Prec!$O:$O,[5]BV_Data_An_Prec!$U:$U,$B171,[5]BV_Data_An_Prec!$V:$V,$C171,[5]BV_Data_An_Prec!$W:$W,$L$2)</f>
        <v>131187.46</v>
      </c>
      <c r="R171" s="164">
        <f>IF(O171=0,0,J171/O171)</f>
        <v>1.0775295663600526</v>
      </c>
      <c r="S171" s="86">
        <f>L171-Q171</f>
        <v>-2220.7700000000041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2"/>
        <v>Service% profit / ventes</v>
      </c>
      <c r="B172" s="12" t="s">
        <v>84</v>
      </c>
      <c r="C172" s="30" t="s">
        <v>88</v>
      </c>
      <c r="D172" s="14"/>
      <c r="E172" s="150"/>
      <c r="F172" s="165">
        <f>F171/E171</f>
        <v>0.75050593332429738</v>
      </c>
      <c r="G172" s="42"/>
      <c r="H172" s="150"/>
      <c r="I172" s="165">
        <f>I171/H171</f>
        <v>0.75050593332429738</v>
      </c>
      <c r="J172" s="61"/>
      <c r="K172" s="14"/>
      <c r="L172" s="165">
        <f>IF(L171=0,0,L171/K171)</f>
        <v>0.74277788781537113</v>
      </c>
      <c r="M172" s="164"/>
      <c r="N172" s="60"/>
      <c r="O172" s="61"/>
      <c r="P172" s="14"/>
      <c r="Q172" s="165">
        <f>IF(Q171=0,0,Q171/P171)</f>
        <v>0.76618334487585182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2"/>
        <v>Service</v>
      </c>
      <c r="B173" s="12" t="s">
        <v>84</v>
      </c>
      <c r="C173" s="88"/>
      <c r="D173" s="117"/>
      <c r="E173" s="166">
        <f t="shared" ref="E173" si="63">IFERROR(E171/D171,0)</f>
        <v>245.43848580441642</v>
      </c>
      <c r="F173" s="167"/>
      <c r="G173" s="24"/>
      <c r="H173" s="166">
        <f t="shared" ref="H173" si="64">IFERROR(H171/G171,0)</f>
        <v>245.43848580441642</v>
      </c>
      <c r="I173" s="167"/>
      <c r="J173" s="168"/>
      <c r="K173" s="169">
        <f t="shared" ref="K173" si="65">IFERROR(K171/J171,0)</f>
        <v>211.74089024390244</v>
      </c>
      <c r="L173" s="167"/>
      <c r="M173" s="170"/>
      <c r="N173" s="94"/>
      <c r="O173" s="168"/>
      <c r="P173" s="169">
        <f t="shared" ref="P173" si="66">IFERROR(P171/O171,0)</f>
        <v>224.99608409986857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2"/>
        <v>ServiceM/O Garantie</v>
      </c>
      <c r="B174" s="12" t="s">
        <v>84</v>
      </c>
      <c r="C174" s="15" t="s">
        <v>89</v>
      </c>
      <c r="D174" s="171">
        <f>+INDEX('[5]Budget original'!$A$2:$AO$496,MATCH($A174,'[5]Budget original'!$A$2:$A$496,0),MATCH(D$2,'[5]Budget original'!$A$2:$AO$2,0))</f>
        <v>264.50668118362398</v>
      </c>
      <c r="E174" s="83">
        <f>+INDEX('[5]Budget original'!$A$2:$AO$496,MATCH($A174,'[5]Budget original'!$A$2:$A$496,0),MATCH(E$2,'[5]Budget original'!$A$2:$AO$2,0))</f>
        <v>46747.324456062386</v>
      </c>
      <c r="F174" s="83">
        <f>+INDEX('[5]Budget original'!$A$2:$AO$496,MATCH($A174,'[5]Budget original'!$A$2:$A$496,0),MATCH(F$2,'[5]Budget original'!$A$2:$AO$2,0))</f>
        <v>32637.314558560218</v>
      </c>
      <c r="G174" s="172">
        <f>+INDEX('[5]Budget révisé'!$A$2:$AO$496,MATCH($A174,'[5]Budget révisé'!$A$2:$A$496,0),MATCH(G$2,'[5]Budget révisé'!$A$2:$AO$2,0))</f>
        <v>264.50668118362398</v>
      </c>
      <c r="H174" s="83">
        <f>+INDEX('[5]Budget révisé'!$A$2:$AO$496,MATCH($A174,'[5]Budget révisé'!$A$2:$A$496,0),MATCH(H$2,'[5]Budget révisé'!$A$2:$AO$2,0))</f>
        <v>46747.324456062386</v>
      </c>
      <c r="I174" s="83">
        <f>+INDEX('[5]Budget révisé'!$A$2:$AO$496,MATCH($A174,'[5]Budget révisé'!$A$2:$A$496,0),MATCH(I$2,'[5]Budget révisé'!$A$2:$AO$2,0))</f>
        <v>32637.314558560218</v>
      </c>
      <c r="J174" s="172">
        <f>-SUMIFS([5]BV_Data_An_Cour!$O:$O,[5]BV_Data_An_Cour!$U:$U,$B174,[5]BV_Data_An_Cour!$V:$V,$C174,[5]BV_Data_An_Cour!$W:$W,J$2)</f>
        <v>230</v>
      </c>
      <c r="K174" s="173">
        <f>-SUMIFS([5]BV_Data_An_Cour!$O:$O,[5]BV_Data_An_Cour!$X:$X,"Oui",[5]BV_Data_An_Cour!$U:$U,$B174,[5]BV_Data_An_Cour!$V:$V,$C174)</f>
        <v>56115.18</v>
      </c>
      <c r="L174" s="34">
        <f>-SUMIFS([5]BV_Data_An_Cour!$O:$O,[5]BV_Data_An_Cour!$U:$U,$B174,[5]BV_Data_An_Cour!$V:$V,$C174,[5]BV_Data_An_Cour!$W:$W,$L$2)</f>
        <v>38906.18</v>
      </c>
      <c r="M174" s="164">
        <f>(K174-H174)/H174</f>
        <v>0.20039340546093545</v>
      </c>
      <c r="N174" s="115">
        <f>L174-I174</f>
        <v>6268.8654414397824</v>
      </c>
      <c r="O174" s="172">
        <f>-SUMIFS([5]BV_Data_An_Prec!$O:$O,[5]BV_Data_An_Prec!$U:$U,$B174,[5]BV_Data_An_Prec!$V:$V,$C174,[5]BV_Data_An_Prec!$W:$W,O$2)</f>
        <v>340</v>
      </c>
      <c r="P174" s="173">
        <f>-SUMIFS([5]BV_Data_An_Prec!$O:$O,[5]BV_Data_An_Prec!$X:$X,"Oui",[5]BV_Data_An_Prec!$U:$U,$B174,[5]BV_Data_An_Prec!$V:$V,$C174)</f>
        <v>68719.06</v>
      </c>
      <c r="Q174" s="34">
        <f>-SUMIFS([5]BV_Data_An_Prec!$O:$O,[5]BV_Data_An_Prec!$U:$U,$B174,[5]BV_Data_An_Prec!$V:$V,$C174,[5]BV_Data_An_Prec!$W:$W,$L$2)</f>
        <v>48563.55</v>
      </c>
      <c r="R174" s="164">
        <f>IF(O174=0,0,J174/O174)</f>
        <v>0.67647058823529416</v>
      </c>
      <c r="S174" s="86">
        <f>L174-Q174</f>
        <v>-9657.3700000000026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2"/>
        <v>Service% profit / ventes</v>
      </c>
      <c r="B175" s="12" t="s">
        <v>84</v>
      </c>
      <c r="C175" s="30" t="s">
        <v>88</v>
      </c>
      <c r="D175" s="14"/>
      <c r="E175" s="14"/>
      <c r="F175" s="165">
        <f>F174/E174</f>
        <v>0.69816433214773377</v>
      </c>
      <c r="G175" s="42"/>
      <c r="H175" s="14"/>
      <c r="I175" s="165">
        <f>I174/H174</f>
        <v>0.69816433214773377</v>
      </c>
      <c r="J175" s="42"/>
      <c r="K175" s="14"/>
      <c r="L175" s="165">
        <f>IF(L174=0,0,L174/K174)</f>
        <v>0.69332718882840616</v>
      </c>
      <c r="M175" s="43"/>
      <c r="N175" s="44"/>
      <c r="O175" s="42"/>
      <c r="P175" s="14"/>
      <c r="Q175" s="165">
        <f>IF(Q174=0,0,Q174/P174)</f>
        <v>0.70669694841576713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2"/>
        <v>Service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2"/>
        <v>ServiceM/O Interne</v>
      </c>
      <c r="B177" s="12" t="s">
        <v>84</v>
      </c>
      <c r="C177" s="30" t="s">
        <v>90</v>
      </c>
      <c r="D177" s="14">
        <f>+INDEX('[5]Budget original'!$A$2:$AO$496,MATCH($A177,'[5]Budget original'!$A$2:$A$496,0),MATCH(D$2,'[5]Budget original'!$A$2:$AO$2,0))</f>
        <v>231.4420696166658</v>
      </c>
      <c r="E177" s="83">
        <f>+INDEX('[5]Budget original'!$A$2:$AO$496,MATCH($A177,'[5]Budget original'!$A$2:$A$496,0),MATCH(E$2,'[5]Budget original'!$A$2:$AO$2,0))</f>
        <v>54579.172153629144</v>
      </c>
      <c r="F177" s="83">
        <f>+INDEX('[5]Budget original'!$A$2:$AO$496,MATCH($A177,'[5]Budget original'!$A$2:$A$496,0),MATCH(F$2,'[5]Budget original'!$A$2:$AO$2,0))</f>
        <v>40018.899905731188</v>
      </c>
      <c r="G177" s="42">
        <f>+INDEX('[5]Budget révisé'!$A$2:$AO$496,MATCH($A177,'[5]Budget révisé'!$A$2:$A$496,0),MATCH(G$2,'[5]Budget révisé'!$A$2:$AO$2,0))</f>
        <v>231.4420696166658</v>
      </c>
      <c r="H177" s="83">
        <f>+INDEX('[5]Budget révisé'!$A$2:$AO$496,MATCH($A177,'[5]Budget révisé'!$A$2:$A$496,0),MATCH(H$2,'[5]Budget révisé'!$A$2:$AO$2,0))</f>
        <v>54579.172153629144</v>
      </c>
      <c r="I177" s="83">
        <f>+INDEX('[5]Budget révisé'!$A$2:$AO$496,MATCH($A177,'[5]Budget révisé'!$A$2:$A$496,0),MATCH(I$2,'[5]Budget révisé'!$A$2:$AO$2,0))</f>
        <v>40018.899905731188</v>
      </c>
      <c r="J177" s="61">
        <f>-SUMIFS([5]BV_Data_An_Cour!$O:$O,[5]BV_Data_An_Cour!$U:$U,$B177,[5]BV_Data_An_Cour!$V:$V,$C177,[5]BV_Data_An_Cour!$W:$W,J$2)</f>
        <v>317</v>
      </c>
      <c r="K177" s="173">
        <f>-SUMIFS([5]BV_Data_An_Cour!$O:$O,[5]BV_Data_An_Cour!$X:$X,"Oui",[5]BV_Data_An_Cour!$U:$U,$B177,[5]BV_Data_An_Cour!$V:$V,$C177)</f>
        <v>62309.52</v>
      </c>
      <c r="L177" s="34">
        <f>-SUMIFS([5]BV_Data_An_Cour!$O:$O,[5]BV_Data_An_Cour!$U:$U,$B177,[5]BV_Data_An_Cour!$V:$V,$C177,[5]BV_Data_An_Cour!$W:$W,$L$2)</f>
        <v>45044.54</v>
      </c>
      <c r="M177" s="164">
        <f>(K177-H177)/H177</f>
        <v>0.1416354910003309</v>
      </c>
      <c r="N177" s="60">
        <f t="shared" ref="N177:N178" si="67">L177-I177</f>
        <v>5025.6400942688124</v>
      </c>
      <c r="O177" s="61">
        <f>-SUMIFS([5]BV_Data_An_Prec!$O:$O,[5]BV_Data_An_Prec!$U:$U,$B177,[5]BV_Data_An_Prec!$V:$V,$C177,[5]BV_Data_An_Prec!$W:$W,O$2)</f>
        <v>210</v>
      </c>
      <c r="P177" s="173">
        <f>-SUMIFS([5]BV_Data_An_Prec!$O:$O,[5]BV_Data_An_Prec!$X:$X,"Oui",[5]BV_Data_An_Prec!$U:$U,$B177,[5]BV_Data_An_Prec!$V:$V,$C177)</f>
        <v>38245.379999999997</v>
      </c>
      <c r="Q177" s="34">
        <f>-SUMIFS([5]BV_Data_An_Prec!$O:$O,[5]BV_Data_An_Prec!$U:$U,$B177,[5]BV_Data_An_Prec!$V:$V,$C177,[5]BV_Data_An_Prec!$W:$W,$L$2)</f>
        <v>24682.359999999997</v>
      </c>
      <c r="R177" s="164">
        <f>IF(O177=0,0,J177/O177)</f>
        <v>1.5095238095238095</v>
      </c>
      <c r="S177" s="86">
        <f>L177-Q177</f>
        <v>20362.180000000004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2"/>
        <v>Service% profit / ventes</v>
      </c>
      <c r="B178" s="12" t="s">
        <v>84</v>
      </c>
      <c r="C178" s="30" t="s">
        <v>88</v>
      </c>
      <c r="D178" s="14"/>
      <c r="E178" s="150"/>
      <c r="F178" s="165">
        <f>F177/E177</f>
        <v>0.73322658308349231</v>
      </c>
      <c r="G178" s="42"/>
      <c r="H178" s="150"/>
      <c r="I178" s="165">
        <f>I177/H177</f>
        <v>0.73322658308349231</v>
      </c>
      <c r="J178" s="61"/>
      <c r="K178" s="150"/>
      <c r="L178" s="165">
        <f>IF(L177=0,0,L177/K177)</f>
        <v>0.72291585619661336</v>
      </c>
      <c r="M178" s="164"/>
      <c r="N178" s="60">
        <f t="shared" si="67"/>
        <v>-1.0310726886878951E-2</v>
      </c>
      <c r="O178" s="61"/>
      <c r="P178" s="150"/>
      <c r="Q178" s="165">
        <f>IF(Q177=0,0,Q177/P177)</f>
        <v>0.64536840789658778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2"/>
        <v>Service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2"/>
        <v>ServiceM/O Esthétique</v>
      </c>
      <c r="B180" s="12" t="s">
        <v>84</v>
      </c>
      <c r="C180" s="15" t="s">
        <v>91</v>
      </c>
      <c r="D180" s="111">
        <f>+INDEX('[5]Budget original'!$A$2:$AO$496,MATCH($A180,'[5]Budget original'!$A$2:$A$496,0),MATCH(D$2,'[5]Budget original'!$A$2:$AO$2,0))</f>
        <v>0</v>
      </c>
      <c r="E180" s="83">
        <f>+INDEX('[5]Budget original'!$A$2:$AO$496,MATCH($A180,'[5]Budget original'!$A$2:$A$496,0),MATCH(E$2,'[5]Budget original'!$A$2:$AO$2,0))</f>
        <v>222.34923117043039</v>
      </c>
      <c r="F180" s="83">
        <f>+INDEX('[5]Budget original'!$A$2:$AO$496,MATCH($A180,'[5]Budget original'!$A$2:$A$496,0),MATCH(F$2,'[5]Budget original'!$A$2:$AO$2,0))</f>
        <v>164.53843106611848</v>
      </c>
      <c r="G180" s="113">
        <f>+INDEX('[5]Budget révisé'!$A$2:$AO$496,MATCH($A180,'[5]Budget révisé'!$A$2:$A$496,0),MATCH(G$2,'[5]Budget révisé'!$A$2:$AO$2,0))</f>
        <v>0</v>
      </c>
      <c r="H180" s="83">
        <f>+INDEX('[5]Budget révisé'!$A$2:$AO$496,MATCH($A180,'[5]Budget révisé'!$A$2:$A$496,0),MATCH(H$2,'[5]Budget révisé'!$A$2:$AO$2,0))</f>
        <v>222.34923117043039</v>
      </c>
      <c r="I180" s="83">
        <f>+INDEX('[5]Budget révisé'!$A$2:$AO$496,MATCH($A180,'[5]Budget révisé'!$A$2:$A$496,0),MATCH(I$2,'[5]Budget révisé'!$A$2:$AO$2,0))</f>
        <v>164.53843106611848</v>
      </c>
      <c r="J180" s="172">
        <f>-SUMIFS([5]BV_Data_An_Cour!$O:$O,[5]BV_Data_An_Cour!$U:$U,$B180,[5]BV_Data_An_Cour!$V:$V,$C180,[5]BV_Data_An_Cour!$W:$W,J$2)</f>
        <v>0</v>
      </c>
      <c r="K180" s="173">
        <f>-SUMIFS([5]BV_Data_An_Cour!$O:$O,[5]BV_Data_An_Cour!$X:$X,"Oui",[5]BV_Data_An_Cour!$U:$U,$B180,[5]BV_Data_An_Cour!$V:$V,$C180)</f>
        <v>836.33</v>
      </c>
      <c r="L180" s="114">
        <f>-SUMIFS([5]BV_Data_An_Cour!$O:$O,[5]BV_Data_An_Cour!$U:$U,$B180,[5]BV_Data_An_Cour!$V:$V,$C180,[5]BV_Data_An_Cour!$W:$W,$L$2)</f>
        <v>686.7</v>
      </c>
      <c r="M180" s="182">
        <f>IF(H180=0,0,(K180-H180)/H180)</f>
        <v>2.7613352454497773</v>
      </c>
      <c r="N180" s="115">
        <f>L180-I180</f>
        <v>522.16156893388154</v>
      </c>
      <c r="O180" s="172">
        <f>-SUMIFS([5]BV_Data_An_Prec!$O:$O,[5]BV_Data_An_Prec!$U:$U,$B180,[5]BV_Data_An_Prec!$V:$V,$C180,[5]BV_Data_An_Prec!$W:$W,O$2)</f>
        <v>0</v>
      </c>
      <c r="P180" s="173">
        <f>-SUMIFS([5]BV_Data_An_Prec!$O:$O,[5]BV_Data_An_Prec!$X:$X,"Oui",[5]BV_Data_An_Prec!$U:$U,$B180,[5]BV_Data_An_Prec!$V:$V,$C180)</f>
        <v>397.23</v>
      </c>
      <c r="Q180" s="114">
        <f>-SUMIFS([5]BV_Data_An_Prec!$O:$O,[5]BV_Data_An_Prec!$U:$U,$B180,[5]BV_Data_An_Prec!$V:$V,$C180,[5]BV_Data_An_Prec!$W:$W,$L$2)</f>
        <v>366.63</v>
      </c>
      <c r="R180" s="164">
        <f>IF(O180=0,0,J180/O180)</f>
        <v>0</v>
      </c>
      <c r="S180" s="116">
        <f>L180-Q180</f>
        <v>320.07000000000005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2"/>
        <v>Service% profit / ventes</v>
      </c>
      <c r="B181" s="12" t="s">
        <v>84</v>
      </c>
      <c r="C181" s="30" t="s">
        <v>88</v>
      </c>
      <c r="D181" s="77"/>
      <c r="E181" s="183"/>
      <c r="F181" s="165">
        <f>IFERROR(F180/E180,0)</f>
        <v>0.74</v>
      </c>
      <c r="G181" s="79"/>
      <c r="H181" s="183"/>
      <c r="I181" s="165">
        <f>IFERROR(I180/H180,0)</f>
        <v>0.74</v>
      </c>
      <c r="J181" s="184"/>
      <c r="K181" s="183">
        <f>IF(J181&lt;=0,0,L181/J181)</f>
        <v>0</v>
      </c>
      <c r="L181" s="165">
        <f>IF(L180=0,0,L180/K180)</f>
        <v>0.82108736981813402</v>
      </c>
      <c r="M181" s="61">
        <f>J181-G181</f>
        <v>0</v>
      </c>
      <c r="N181" s="185"/>
      <c r="O181" s="184"/>
      <c r="P181" s="183">
        <f>IF(O181&lt;=0,0,Q181/O181)</f>
        <v>0</v>
      </c>
      <c r="Q181" s="165">
        <f>IF(Q180=0,0,Q180/P180)</f>
        <v>0.92296654331243855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2"/>
        <v>Service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2"/>
        <v>ServiceAjustement M/O</v>
      </c>
      <c r="B183" s="12" t="s">
        <v>84</v>
      </c>
      <c r="C183" s="30" t="s">
        <v>92</v>
      </c>
      <c r="D183" s="14"/>
      <c r="E183" s="14"/>
      <c r="F183" s="60">
        <f>+INDEX('[5]Budget original'!$A$2:$AO$496,MATCH($A183,'[5]Budget original'!$A$2:$A$496,0),MATCH(F$2,'[5]Budget original'!$A$2:$AO$2,0))</f>
        <v>-4750.6399655734394</v>
      </c>
      <c r="G183" s="42"/>
      <c r="H183" s="83"/>
      <c r="I183" s="83">
        <f>+INDEX('[5]Budget révisé'!$A$2:$AO$496,MATCH($A183,'[5]Budget révisé'!$A$2:$A$496,0),MATCH(I$2,'[5]Budget révisé'!$A$2:$AO$2,0))</f>
        <v>-4750.6399655734394</v>
      </c>
      <c r="J183" s="61"/>
      <c r="K183" s="83"/>
      <c r="L183" s="83">
        <f>-SUMIFS([5]BV_Data_An_Cour!$O:$O,[5]BV_Data_An_Cour!$U:$U,$B183,[5]BV_Data_An_Cour!$V:$V,$C183,[5]BV_Data_An_Cour!$W:$W,$L$2)</f>
        <v>-5050.3</v>
      </c>
      <c r="M183" s="184"/>
      <c r="N183" s="60">
        <f t="shared" ref="N183:N184" si="68">L183-I183</f>
        <v>-299.66003442656074</v>
      </c>
      <c r="O183" s="61"/>
      <c r="P183" s="83"/>
      <c r="Q183" s="34">
        <f>-SUMIFS([5]BV_Data_An_Prec!$O:$O,[5]BV_Data_An_Prec!$U:$U,$B183,[5]BV_Data_An_Prec!$V:$V,$C183,[5]BV_Data_An_Prec!$W:$W,$L$2)</f>
        <v>-3427.54</v>
      </c>
      <c r="R183" s="193"/>
      <c r="S183" s="86">
        <f t="shared" ref="S183:S184" si="69">L183-Q183</f>
        <v>-1622.7600000000002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2"/>
        <v>ServiceSous-total M/O</v>
      </c>
      <c r="B184" s="12" t="s">
        <v>84</v>
      </c>
      <c r="C184" s="194" t="s">
        <v>93</v>
      </c>
      <c r="D184" s="195"/>
      <c r="E184" s="195">
        <f t="shared" ref="E184:F184" si="70">E171+E174+E177+E180+E183</f>
        <v>279343.35753674002</v>
      </c>
      <c r="F184" s="196">
        <f t="shared" si="70"/>
        <v>201505.94887003678</v>
      </c>
      <c r="G184" s="197"/>
      <c r="H184" s="195">
        <f t="shared" ref="H184:L184" si="71">H171+H174+H177+H180+H183</f>
        <v>279343.35753674002</v>
      </c>
      <c r="I184" s="196">
        <f t="shared" si="71"/>
        <v>201505.94887003678</v>
      </c>
      <c r="J184" s="197">
        <f t="shared" si="71"/>
        <v>1367</v>
      </c>
      <c r="K184" s="195">
        <f t="shared" si="71"/>
        <v>292888.56</v>
      </c>
      <c r="L184" s="196">
        <f t="shared" si="71"/>
        <v>208553.81000000003</v>
      </c>
      <c r="M184" s="198">
        <f>(K184-H184)/H184</f>
        <v>4.8489438169219669E-2</v>
      </c>
      <c r="N184" s="196">
        <f t="shared" si="68"/>
        <v>7047.8611299632466</v>
      </c>
      <c r="O184" s="197">
        <f t="shared" ref="O184:Q184" si="72">O171+O174+O177+O180+O183</f>
        <v>1311</v>
      </c>
      <c r="P184" s="195">
        <f t="shared" si="72"/>
        <v>278583.68999999994</v>
      </c>
      <c r="Q184" s="196">
        <f t="shared" si="72"/>
        <v>201372.46</v>
      </c>
      <c r="R184" s="43">
        <f>IF(O184=0,0,J184/O184)</f>
        <v>1.0427154843630817</v>
      </c>
      <c r="S184" s="199">
        <f t="shared" si="69"/>
        <v>7181.3500000000349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2"/>
        <v>Service% protit / ventes</v>
      </c>
      <c r="B185" s="12" t="s">
        <v>84</v>
      </c>
      <c r="C185" s="200" t="s">
        <v>94</v>
      </c>
      <c r="D185" s="201"/>
      <c r="E185" s="201"/>
      <c r="F185" s="202">
        <f>F184/E184</f>
        <v>0.72135579183598153</v>
      </c>
      <c r="G185" s="203"/>
      <c r="H185" s="201"/>
      <c r="I185" s="44">
        <f>I184/H184</f>
        <v>0.72135579183598153</v>
      </c>
      <c r="J185" s="203"/>
      <c r="K185" s="530">
        <f>IF(J184=0,0,K184/J184)</f>
        <v>214.25644476956839</v>
      </c>
      <c r="L185" s="44">
        <f>IF(L184=0,0,L184/K184)</f>
        <v>0.7120585727213109</v>
      </c>
      <c r="M185" s="203"/>
      <c r="N185" s="202">
        <f>N184/I184</f>
        <v>3.4975945720137687E-2</v>
      </c>
      <c r="O185" s="203"/>
      <c r="P185" s="530">
        <f>IF(O184=0,0,P184/O184)</f>
        <v>212.49709382151025</v>
      </c>
      <c r="Q185" s="44">
        <f>IF(Q184=0,0,Q184/P184)</f>
        <v>0.72284368119325304</v>
      </c>
      <c r="R185" s="203"/>
      <c r="S185" s="45">
        <f>IF(R184=0,0,S184/R184)</f>
        <v>6887.1615581565802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2"/>
        <v>Service</v>
      </c>
      <c r="B186" s="12" t="s">
        <v>84</v>
      </c>
      <c r="C186" s="36"/>
      <c r="D186" s="204"/>
      <c r="E186" s="205"/>
      <c r="F186" s="206"/>
      <c r="G186" s="207"/>
      <c r="H186" s="205"/>
      <c r="I186" s="206"/>
      <c r="J186" s="207"/>
      <c r="K186" s="205"/>
      <c r="L186" s="206"/>
      <c r="M186" s="207"/>
      <c r="N186" s="206"/>
      <c r="O186" s="207"/>
      <c r="P186" s="205"/>
      <c r="Q186" s="206"/>
      <c r="R186" s="207"/>
      <c r="S186" s="208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tr">
        <f t="shared" si="62"/>
        <v>ServiceSous-traitement</v>
      </c>
      <c r="B187" s="12" t="s">
        <v>84</v>
      </c>
      <c r="C187" s="30" t="s">
        <v>95</v>
      </c>
      <c r="D187" s="83"/>
      <c r="E187" s="83">
        <f>+INDEX('[5]Budget original'!$A$2:$AO$496,MATCH($A187,'[5]Budget original'!$A$2:$A$496,0),MATCH(E$2,'[5]Budget original'!$A$2:$AO$2,0))</f>
        <v>33882.618586113851</v>
      </c>
      <c r="F187" s="83">
        <f>+INDEX('[5]Budget original'!$A$2:$AO$496,MATCH($A187,'[5]Budget original'!$A$2:$A$496,0),MATCH(F$2,'[5]Budget original'!$A$2:$AO$2,0))</f>
        <v>8131.8284606673242</v>
      </c>
      <c r="G187" s="61"/>
      <c r="H187" s="83">
        <f>+INDEX('[5]Budget révisé'!$A$2:$AO$496,MATCH($A187,'[5]Budget révisé'!$A$2:$A$496,0),MATCH(H$2,'[5]Budget révisé'!$A$2:$AO$2,0))</f>
        <v>33882.618586113851</v>
      </c>
      <c r="I187" s="83">
        <f>+INDEX('[5]Budget révisé'!$A$2:$AO$496,MATCH($A187,'[5]Budget révisé'!$A$2:$A$496,0),MATCH(I$2,'[5]Budget révisé'!$A$2:$AO$2,0))</f>
        <v>8131.8284606673242</v>
      </c>
      <c r="J187" s="61"/>
      <c r="K187" s="31">
        <f>-SUMIFS([5]BV_Data_An_Cour!$O:$O,[5]BV_Data_An_Cour!$X:$X,"Oui",[5]BV_Data_An_Cour!$U:$U,$B187,[5]BV_Data_An_Cour!$V:$V,$C187)</f>
        <v>32741.24</v>
      </c>
      <c r="L187" s="34">
        <f>-SUMIFS([5]BV_Data_An_Cour!$O:$O,[5]BV_Data_An_Cour!$U:$U,$B187,[5]BV_Data_An_Cour!$V:$V,$C187,[5]BV_Data_An_Cour!$W:$W,$L$2)</f>
        <v>7153.3900000000031</v>
      </c>
      <c r="M187" s="85">
        <f>IF(H187=0,0,(K187-H187)/H187)</f>
        <v>-3.3686256663220886E-2</v>
      </c>
      <c r="N187" s="60">
        <f>L187-I187</f>
        <v>-978.43846066732112</v>
      </c>
      <c r="O187" s="61"/>
      <c r="P187" s="31">
        <f>-SUMIFS([5]BV_Data_An_Prec!$O:$O,[5]BV_Data_An_Prec!$X:$X,"Oui",[5]BV_Data_An_Prec!$U:$U,$B187,[5]BV_Data_An_Prec!$V:$V,$C187)</f>
        <v>46501.8</v>
      </c>
      <c r="Q187" s="34">
        <f>-SUMIFS([5]BV_Data_An_Prec!$O:$O,[5]BV_Data_An_Prec!$U:$U,$B187,[5]BV_Data_An_Prec!$V:$V,$C187,[5]BV_Data_An_Prec!$W:$W,$L$2)</f>
        <v>11682.050000000003</v>
      </c>
      <c r="R187" s="164">
        <f>IF(O187=0,0,J187/O187)</f>
        <v>0</v>
      </c>
      <c r="S187" s="86">
        <f>L187-Q187</f>
        <v>-4528.66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tr">
        <f t="shared" si="62"/>
        <v>Service% profit / ventes</v>
      </c>
      <c r="B188" s="12" t="s">
        <v>84</v>
      </c>
      <c r="C188" s="30" t="s">
        <v>88</v>
      </c>
      <c r="D188" s="14"/>
      <c r="E188" s="150"/>
      <c r="F188" s="165">
        <f>IFERROR(F187/E187,0)</f>
        <v>0.24</v>
      </c>
      <c r="G188" s="42"/>
      <c r="H188" s="150"/>
      <c r="I188" s="165">
        <f>IFERROR(I187/H187,0)</f>
        <v>0.24</v>
      </c>
      <c r="J188" s="184"/>
      <c r="K188" s="183"/>
      <c r="L188" s="165">
        <f>IF(L187=0,0,L187/K187)</f>
        <v>0.21848256205323935</v>
      </c>
      <c r="M188" s="184"/>
      <c r="N188" s="185"/>
      <c r="O188" s="184"/>
      <c r="P188" s="183"/>
      <c r="Q188" s="165">
        <f>IF(Q187=0,0,Q187/P187)</f>
        <v>0.25121715718531329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2"/>
        <v>Service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2"/>
        <v>ServiceM.O. Recond. MCPA</v>
      </c>
      <c r="B190" s="12" t="s">
        <v>84</v>
      </c>
      <c r="C190" s="30" t="s">
        <v>96</v>
      </c>
      <c r="D190" s="14"/>
      <c r="E190" s="83">
        <f>+INDEX('[5]Budget original'!$A$2:$AO$496,MATCH($A190,'[5]Budget original'!$A$2:$A$496,0),MATCH(E$2,'[5]Budget original'!$A$2:$AO$2,0))</f>
        <v>0</v>
      </c>
      <c r="F190" s="83">
        <f>+INDEX('[5]Budget original'!$A$2:$AO$496,MATCH($A190,'[5]Budget original'!$A$2:$A$496,0),MATCH(F$2,'[5]Budget original'!$A$2:$AO$2,0))</f>
        <v>0</v>
      </c>
      <c r="G190" s="42"/>
      <c r="H190" s="83">
        <f>+INDEX('[5]Budget révisé'!$A$2:$AO$496,MATCH($A190,'[5]Budget révisé'!$A$2:$A$496,0),MATCH(H$2,'[5]Budget révisé'!$A$2:$AO$2,0))</f>
        <v>0</v>
      </c>
      <c r="I190" s="83">
        <f>+INDEX('[5]Budget révisé'!$A$2:$AO$496,MATCH($A190,'[5]Budget révisé'!$A$2:$A$496,0),MATCH(I$2,'[5]Budget révisé'!$A$2:$AO$2,0))</f>
        <v>0</v>
      </c>
      <c r="J190" s="184"/>
      <c r="K190" s="31">
        <f>-SUMIFS([5]BV_Data_An_Cour!$O:$O,[5]BV_Data_An_Cour!$X:$X,"Oui",[5]BV_Data_An_Cour!$U:$U,$B190,[5]BV_Data_An_Cour!$V:$V,$C190)</f>
        <v>0</v>
      </c>
      <c r="L190" s="165"/>
      <c r="M190" s="184"/>
      <c r="N190" s="185"/>
      <c r="O190" s="184"/>
      <c r="P190" s="31">
        <f>-SUMIFS([5]BV_Data_An_Prec!$O:$O,[5]BV_Data_An_Prec!$X:$X,"Oui",[5]BV_Data_An_Prec!$U:$U,$B190,[5]BV_Data_An_Prec!$V:$V,$C190)</f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2"/>
        <v>Service% profit / ventes</v>
      </c>
      <c r="B191" s="12" t="s">
        <v>84</v>
      </c>
      <c r="C191" s="30" t="s">
        <v>88</v>
      </c>
      <c r="D191" s="14"/>
      <c r="E191" s="150"/>
      <c r="F191" s="165">
        <f>IF(F190=0,0,F190/E190)</f>
        <v>0</v>
      </c>
      <c r="G191" s="42"/>
      <c r="H191" s="150"/>
      <c r="I191" s="165">
        <f>IF(I190=0,0,I190/H190)</f>
        <v>0</v>
      </c>
      <c r="J191" s="184"/>
      <c r="K191" s="183"/>
      <c r="L191" s="165">
        <f>IF(L190=0,0,L190/K190)</f>
        <v>0</v>
      </c>
      <c r="M191" s="184"/>
      <c r="N191" s="185"/>
      <c r="O191" s="184"/>
      <c r="P191" s="183"/>
      <c r="Q191" s="165">
        <f>IF(Q190=0,0,Q190/P190)</f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2"/>
        <v>Service</v>
      </c>
      <c r="B192" s="12" t="s">
        <v>84</v>
      </c>
      <c r="C192" s="209"/>
      <c r="D192" s="210"/>
      <c r="E192" s="211"/>
      <c r="F192" s="212"/>
      <c r="G192" s="213"/>
      <c r="H192" s="211"/>
      <c r="I192" s="212"/>
      <c r="J192" s="213"/>
      <c r="K192" s="211"/>
      <c r="L192" s="212"/>
      <c r="M192" s="213"/>
      <c r="N192" s="212"/>
      <c r="O192" s="213"/>
      <c r="P192" s="211"/>
      <c r="Q192" s="212"/>
      <c r="R192" s="213"/>
      <c r="S192" s="214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tr">
        <f t="shared" si="62"/>
        <v>ServiceTotal Mécanique</v>
      </c>
      <c r="B193" s="12" t="s">
        <v>84</v>
      </c>
      <c r="C193" s="63" t="s">
        <v>97</v>
      </c>
      <c r="D193" s="64"/>
      <c r="E193" s="64">
        <f t="shared" ref="E193:F193" si="73">E184+E187+E190</f>
        <v>313225.97612285387</v>
      </c>
      <c r="F193" s="66">
        <f t="shared" si="73"/>
        <v>209637.77733070409</v>
      </c>
      <c r="G193" s="67"/>
      <c r="H193" s="64">
        <f t="shared" ref="H193:I193" si="74">H184+H187+H190</f>
        <v>313225.97612285387</v>
      </c>
      <c r="I193" s="66">
        <f t="shared" si="74"/>
        <v>209637.77733070409</v>
      </c>
      <c r="J193" s="67"/>
      <c r="K193" s="64">
        <f>K184+K187+K190</f>
        <v>325629.8</v>
      </c>
      <c r="L193" s="66">
        <f t="shared" ref="L193" si="75">L184+L187+L190</f>
        <v>215707.20000000004</v>
      </c>
      <c r="M193" s="215">
        <f>L194-I194</f>
        <v>-6.8552806238595387E-3</v>
      </c>
      <c r="N193" s="66">
        <f>L193-I193</f>
        <v>6069.4226692959492</v>
      </c>
      <c r="O193" s="67"/>
      <c r="P193" s="64">
        <f>P184+P187+P190</f>
        <v>325085.48999999993</v>
      </c>
      <c r="Q193" s="66">
        <f t="shared" ref="Q193" si="76">Q184+Q187+Q190</f>
        <v>213054.51</v>
      </c>
      <c r="R193" s="215">
        <f>L194-Q194</f>
        <v>7.0508293254144538E-3</v>
      </c>
      <c r="S193" s="69">
        <f>L193-Q193</f>
        <v>2652.6900000000314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tr">
        <f t="shared" si="62"/>
        <v>Service</v>
      </c>
      <c r="B194" s="12" t="s">
        <v>84</v>
      </c>
      <c r="C194" s="70"/>
      <c r="D194" s="71"/>
      <c r="E194" s="71"/>
      <c r="F194" s="75">
        <f>F193/E193</f>
        <v>0.66928605323742274</v>
      </c>
      <c r="G194" s="73"/>
      <c r="H194" s="71"/>
      <c r="I194" s="75">
        <f>I193/H193</f>
        <v>0.66928605323742274</v>
      </c>
      <c r="J194" s="73"/>
      <c r="K194" s="71"/>
      <c r="L194" s="75">
        <f>L193/K193</f>
        <v>0.6624307726135632</v>
      </c>
      <c r="M194" s="74"/>
      <c r="N194" s="75">
        <f>N193/I193</f>
        <v>2.895195105852234E-2</v>
      </c>
      <c r="O194" s="73"/>
      <c r="P194" s="71"/>
      <c r="Q194" s="75">
        <f>Q193/P193</f>
        <v>0.65537994328814875</v>
      </c>
      <c r="R194" s="74"/>
      <c r="S194" s="76">
        <f>L193/S193</f>
        <v>81.316399579294028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2"/>
        <v>Service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2"/>
        <v>ServiceDEPENSES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2"/>
        <v>ServiceSalaires cadres</v>
      </c>
      <c r="B197" s="12" t="s">
        <v>84</v>
      </c>
      <c r="C197" s="108" t="s">
        <v>42</v>
      </c>
      <c r="D197" s="14"/>
      <c r="E197" s="14"/>
      <c r="F197" s="31">
        <f>+INDEX('[5]Budget original'!$A$2:$AO$496,MATCH($A197,'[5]Budget original'!$A$2:$A$496,0),MATCH(F$2,'[5]Budget original'!$A$2:$AO$2,0))</f>
        <v>12044.250946206896</v>
      </c>
      <c r="G197" s="42"/>
      <c r="H197" s="14"/>
      <c r="I197" s="31">
        <f>+INDEX('[5]Budget révisé'!$A$2:$AO$496,MATCH($A197,'[5]Budget révisé'!$A$2:$A$496,0),MATCH(I$2,'[5]Budget révisé'!$A$2:$AO$2,0))</f>
        <v>12044.250946206896</v>
      </c>
      <c r="J197" s="42"/>
      <c r="K197" s="14"/>
      <c r="L197" s="34">
        <f>SUMIFS([5]BV_Data_An_Cour!$O:$O,[5]BV_Data_An_Cour!$U:$U,$B197,[5]BV_Data_An_Cour!$V:$V,$C197,[5]BV_Data_An_Cour!$W:$W,$L$2)</f>
        <v>13949.35</v>
      </c>
      <c r="M197" s="42"/>
      <c r="N197" s="60">
        <f t="shared" ref="N197:N228" si="77">L197-I197</f>
        <v>1905.0990537931048</v>
      </c>
      <c r="O197" s="42"/>
      <c r="P197" s="14"/>
      <c r="Q197" s="34">
        <f>SUMIFS([5]BV_Data_An_Prec!$O:$O,[5]BV_Data_An_Prec!$U:$U,$B197,[5]BV_Data_An_Prec!$V:$V,$C197,[5]BV_Data_An_Prec!$W:$W,$L$2)</f>
        <v>17202.57</v>
      </c>
      <c r="R197" s="42"/>
      <c r="S197" s="35">
        <f>L197-Q197</f>
        <v>-3253.2199999999993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2"/>
        <v>ServiceSalaires commis</v>
      </c>
      <c r="B198" s="12" t="s">
        <v>84</v>
      </c>
      <c r="C198" s="109" t="s">
        <v>43</v>
      </c>
      <c r="D198" s="82"/>
      <c r="E198" s="14"/>
      <c r="F198" s="23">
        <f>+INDEX('[5]Budget original'!$A$2:$AO$496,MATCH($A198,'[5]Budget original'!$A$2:$A$496,0),MATCH(F$2,'[5]Budget original'!$A$2:$AO$2,0))</f>
        <v>8746.0360371034476</v>
      </c>
      <c r="G198" s="84"/>
      <c r="H198" s="14"/>
      <c r="I198" s="23">
        <f>+INDEX('[5]Budget révisé'!$A$2:$AO$496,MATCH($A198,'[5]Budget révisé'!$A$2:$A$496,0),MATCH(I$2,'[5]Budget révisé'!$A$2:$AO$2,0))</f>
        <v>8746.0360371034476</v>
      </c>
      <c r="J198" s="42"/>
      <c r="K198" s="14"/>
      <c r="L198" s="34">
        <f>SUMIFS([5]BV_Data_An_Cour!$O:$O,[5]BV_Data_An_Cour!$U:$U,$B198,[5]BV_Data_An_Cour!$V:$V,$C198,[5]BV_Data_An_Cour!$W:$W,$L$2)</f>
        <v>9390.7199999999993</v>
      </c>
      <c r="M198" s="42"/>
      <c r="N198" s="60">
        <f t="shared" si="77"/>
        <v>644.68396289655175</v>
      </c>
      <c r="O198" s="42"/>
      <c r="P198" s="14"/>
      <c r="Q198" s="34">
        <f>SUMIFS([5]BV_Data_An_Prec!$O:$O,[5]BV_Data_An_Prec!$U:$U,$B198,[5]BV_Data_An_Prec!$V:$V,$C198,[5]BV_Data_An_Prec!$W:$W,$L$2)</f>
        <v>10432.39</v>
      </c>
      <c r="R198" s="42"/>
      <c r="S198" s="86">
        <f t="shared" ref="S198:S228" si="78">L198-Q198</f>
        <v>-1041.67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tr">
        <f t="shared" si="62"/>
        <v>ServiceSalaires autres</v>
      </c>
      <c r="B199" s="12" t="s">
        <v>84</v>
      </c>
      <c r="C199" s="108" t="s">
        <v>44</v>
      </c>
      <c r="D199" s="110"/>
      <c r="E199" s="111"/>
      <c r="F199" s="31">
        <f>+INDEX('[5]Budget original'!$A$2:$AO$496,MATCH($A199,'[5]Budget original'!$A$2:$A$496,0),MATCH(F$2,'[5]Budget original'!$A$2:$AO$2,0))</f>
        <v>11814.360328496552</v>
      </c>
      <c r="G199" s="112"/>
      <c r="H199" s="111"/>
      <c r="I199" s="31">
        <f>+INDEX('[5]Budget révisé'!$A$2:$AO$496,MATCH($A199,'[5]Budget révisé'!$A$2:$A$496,0),MATCH(I$2,'[5]Budget révisé'!$A$2:$AO$2,0))</f>
        <v>11814.360328496552</v>
      </c>
      <c r="J199" s="113"/>
      <c r="K199" s="111"/>
      <c r="L199" s="114">
        <f>SUMIFS([5]BV_Data_An_Cour!$O:$O,[5]BV_Data_An_Cour!$U:$U,$B199,[5]BV_Data_An_Cour!$V:$V,$C199,[5]BV_Data_An_Cour!$W:$W,$L$2)</f>
        <v>12448.5</v>
      </c>
      <c r="M199" s="113"/>
      <c r="N199" s="115">
        <f t="shared" si="77"/>
        <v>634.13967150344797</v>
      </c>
      <c r="O199" s="113"/>
      <c r="P199" s="111"/>
      <c r="Q199" s="114">
        <f>SUMIFS([5]BV_Data_An_Prec!$O:$O,[5]BV_Data_An_Prec!$U:$U,$B199,[5]BV_Data_An_Prec!$V:$V,$C199,[5]BV_Data_An_Prec!$W:$W,$L$2)</f>
        <v>6267.89</v>
      </c>
      <c r="R199" s="113"/>
      <c r="S199" s="116">
        <f t="shared" si="78"/>
        <v>6180.61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tr">
        <f t="shared" si="62"/>
        <v>ServiceSalaires spécialistes</v>
      </c>
      <c r="B200" s="12" t="s">
        <v>84</v>
      </c>
      <c r="C200" s="108" t="s">
        <v>45</v>
      </c>
      <c r="D200" s="82"/>
      <c r="E200" s="14"/>
      <c r="F200" s="31">
        <f>+INDEX('[5]Budget original'!$A$2:$AO$496,MATCH($A200,'[5]Budget original'!$A$2:$A$496,0),MATCH(F$2,'[5]Budget original'!$A$2:$AO$2,0))</f>
        <v>30510.931475862068</v>
      </c>
      <c r="G200" s="84"/>
      <c r="H200" s="14"/>
      <c r="I200" s="31">
        <f>+INDEX('[5]Budget révisé'!$A$2:$AO$496,MATCH($A200,'[5]Budget révisé'!$A$2:$A$496,0),MATCH(I$2,'[5]Budget révisé'!$A$2:$AO$2,0))</f>
        <v>30510.931475862068</v>
      </c>
      <c r="J200" s="42"/>
      <c r="K200" s="14"/>
      <c r="L200" s="34">
        <f>SUMIFS([5]BV_Data_An_Cour!$O:$O,[5]BV_Data_An_Cour!$U:$U,$B200,[5]BV_Data_An_Cour!$V:$V,$C200,[5]BV_Data_An_Cour!$W:$W,$L$2)</f>
        <v>27320.02</v>
      </c>
      <c r="M200" s="42"/>
      <c r="N200" s="60">
        <f t="shared" si="77"/>
        <v>-3190.9114758620672</v>
      </c>
      <c r="O200" s="42"/>
      <c r="P200" s="14"/>
      <c r="Q200" s="34">
        <f>SUMIFS([5]BV_Data_An_Prec!$O:$O,[5]BV_Data_An_Prec!$U:$U,$B200,[5]BV_Data_An_Prec!$V:$V,$C200,[5]BV_Data_An_Prec!$W:$W,$L$2)</f>
        <v>27122.59</v>
      </c>
      <c r="R200" s="42"/>
      <c r="S200" s="86">
        <f t="shared" si="78"/>
        <v>197.43000000000029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2"/>
        <v>Service[...]</v>
      </c>
      <c r="B201" s="12" t="s">
        <v>84</v>
      </c>
      <c r="C201" s="30" t="s">
        <v>21</v>
      </c>
      <c r="D201" s="82"/>
      <c r="E201" s="14"/>
      <c r="F201" s="31">
        <f>+INDEX('[5]Budget original'!$A$2:$AO$496,MATCH($A201,'[5]Budget original'!$A$2:$A$496,0),MATCH(F$2,'[5]Budget original'!$A$2:$AO$2,0))</f>
        <v>0</v>
      </c>
      <c r="G201" s="84"/>
      <c r="H201" s="14"/>
      <c r="I201" s="31">
        <f>+INDEX('[5]Budget révisé'!$A$2:$AO$496,MATCH($A201,'[5]Budget révisé'!$A$2:$A$496,0),MATCH(I$2,'[5]Budget révisé'!$A$2:$AO$2,0))</f>
        <v>0</v>
      </c>
      <c r="J201" s="42"/>
      <c r="K201" s="14"/>
      <c r="L201" s="34">
        <f>SUMIFS([5]BV_Data_An_Cour!$O:$O,[5]BV_Data_An_Cour!$U:$U,$B201,[5]BV_Data_An_Cour!$V:$V,$C201,[5]BV_Data_An_Cour!$W:$W,$L$2)</f>
        <v>0</v>
      </c>
      <c r="M201" s="42"/>
      <c r="N201" s="60">
        <f t="shared" si="77"/>
        <v>0</v>
      </c>
      <c r="O201" s="42"/>
      <c r="P201" s="14"/>
      <c r="Q201" s="34">
        <f>SUMIFS([5]BV_Data_An_Prec!$O:$O,[5]BV_Data_An_Prec!$U:$U,$B201,[5]BV_Data_An_Prec!$V:$V,$C201,[5]BV_Data_An_Prec!$W:$W,$L$2)</f>
        <v>0</v>
      </c>
      <c r="R201" s="42"/>
      <c r="S201" s="86">
        <f t="shared" si="78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2"/>
        <v>Service[...]</v>
      </c>
      <c r="B202" s="12" t="s">
        <v>84</v>
      </c>
      <c r="C202" s="30" t="s">
        <v>21</v>
      </c>
      <c r="D202" s="82"/>
      <c r="E202" s="14"/>
      <c r="F202" s="31">
        <f>+INDEX('[5]Budget original'!$A$2:$AO$496,MATCH($A202,'[5]Budget original'!$A$2:$A$496,0),MATCH(F$2,'[5]Budget original'!$A$2:$AO$2,0))</f>
        <v>0</v>
      </c>
      <c r="G202" s="84"/>
      <c r="H202" s="14"/>
      <c r="I202" s="31">
        <f>+INDEX('[5]Budget révisé'!$A$2:$AO$496,MATCH($A202,'[5]Budget révisé'!$A$2:$A$496,0),MATCH(I$2,'[5]Budget révisé'!$A$2:$AO$2,0))</f>
        <v>0</v>
      </c>
      <c r="J202" s="42"/>
      <c r="K202" s="14"/>
      <c r="L202" s="34">
        <f>SUMIFS([5]BV_Data_An_Cour!$O:$O,[5]BV_Data_An_Cour!$U:$U,$B202,[5]BV_Data_An_Cour!$V:$V,$C202,[5]BV_Data_An_Cour!$W:$W,$L$2)</f>
        <v>0</v>
      </c>
      <c r="M202" s="42"/>
      <c r="N202" s="60">
        <f t="shared" si="77"/>
        <v>0</v>
      </c>
      <c r="O202" s="42"/>
      <c r="P202" s="14"/>
      <c r="Q202" s="34">
        <f>SUMIFS([5]BV_Data_An_Prec!$O:$O,[5]BV_Data_An_Prec!$U:$U,$B202,[5]BV_Data_An_Prec!$V:$V,$C202,[5]BV_Data_An_Prec!$W:$W,$L$2)</f>
        <v>0</v>
      </c>
      <c r="R202" s="42"/>
      <c r="S202" s="86">
        <f t="shared" si="78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2"/>
        <v>Service[...]</v>
      </c>
      <c r="B203" s="12" t="s">
        <v>84</v>
      </c>
      <c r="C203" s="30" t="s">
        <v>21</v>
      </c>
      <c r="D203" s="82"/>
      <c r="E203" s="14"/>
      <c r="F203" s="31">
        <f>+INDEX('[5]Budget original'!$A$2:$AO$496,MATCH($A203,'[5]Budget original'!$A$2:$A$496,0),MATCH(F$2,'[5]Budget original'!$A$2:$AO$2,0))</f>
        <v>0</v>
      </c>
      <c r="G203" s="84"/>
      <c r="H203" s="14"/>
      <c r="I203" s="31">
        <f>+INDEX('[5]Budget révisé'!$A$2:$AO$496,MATCH($A203,'[5]Budget révisé'!$A$2:$A$496,0),MATCH(I$2,'[5]Budget révisé'!$A$2:$AO$2,0))</f>
        <v>0</v>
      </c>
      <c r="J203" s="42"/>
      <c r="K203" s="14"/>
      <c r="L203" s="34">
        <f>SUMIFS([5]BV_Data_An_Cour!$O:$O,[5]BV_Data_An_Cour!$U:$U,$B203,[5]BV_Data_An_Cour!$V:$V,$C203,[5]BV_Data_An_Cour!$W:$W,$L$2)</f>
        <v>0</v>
      </c>
      <c r="M203" s="42"/>
      <c r="N203" s="60">
        <f t="shared" si="77"/>
        <v>0</v>
      </c>
      <c r="O203" s="42"/>
      <c r="P203" s="14"/>
      <c r="Q203" s="34">
        <f>SUMIFS([5]BV_Data_An_Prec!$O:$O,[5]BV_Data_An_Prec!$U:$U,$B203,[5]BV_Data_An_Prec!$V:$V,$C203,[5]BV_Data_An_Prec!$W:$W,$L$2)</f>
        <v>0</v>
      </c>
      <c r="R203" s="42"/>
      <c r="S203" s="86">
        <f t="shared" si="78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tr">
        <f t="shared" si="62"/>
        <v>ServiceSalaires en absences</v>
      </c>
      <c r="B204" s="12" t="s">
        <v>84</v>
      </c>
      <c r="C204" s="109" t="s">
        <v>46</v>
      </c>
      <c r="D204" s="82"/>
      <c r="E204" s="14"/>
      <c r="F204" s="31">
        <f>+INDEX('[5]Budget original'!$A$2:$AO$496,MATCH($A204,'[5]Budget original'!$A$2:$A$496,0),MATCH(F$2,'[5]Budget original'!$A$2:$AO$2,0))</f>
        <v>16673.690254520276</v>
      </c>
      <c r="G204" s="84"/>
      <c r="H204" s="14"/>
      <c r="I204" s="31">
        <f>+INDEX('[5]Budget révisé'!$A$2:$AO$496,MATCH($A204,'[5]Budget révisé'!$A$2:$A$496,0),MATCH(I$2,'[5]Budget révisé'!$A$2:$AO$2,0))</f>
        <v>16673.690254520276</v>
      </c>
      <c r="J204" s="42"/>
      <c r="K204" s="14"/>
      <c r="L204" s="34">
        <f>SUMIFS([5]BV_Data_An_Cour!$O:$O,[5]BV_Data_An_Cour!$U:$U,$B204,[5]BV_Data_An_Cour!$V:$V,$C204,[5]BV_Data_An_Cour!$W:$W,$L$2)</f>
        <v>16193.12</v>
      </c>
      <c r="M204" s="42"/>
      <c r="N204" s="60">
        <f t="shared" si="77"/>
        <v>-480.57025452027483</v>
      </c>
      <c r="O204" s="42"/>
      <c r="P204" s="14"/>
      <c r="Q204" s="34">
        <f>SUMIFS([5]BV_Data_An_Prec!$O:$O,[5]BV_Data_An_Prec!$U:$U,$B204,[5]BV_Data_An_Prec!$V:$V,$C204,[5]BV_Data_An_Prec!$W:$W,$L$2)</f>
        <v>18133.310000000001</v>
      </c>
      <c r="R204" s="42"/>
      <c r="S204" s="86">
        <f t="shared" si="78"/>
        <v>-1940.1900000000005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2"/>
        <v>ServiceDéduction à la source</v>
      </c>
      <c r="B205" s="12" t="s">
        <v>84</v>
      </c>
      <c r="C205" s="108" t="s">
        <v>47</v>
      </c>
      <c r="D205" s="110"/>
      <c r="E205" s="111"/>
      <c r="F205" s="56">
        <f>+INDEX('[5]Budget original'!$A$2:$AO$496,MATCH($A205,'[5]Budget original'!$A$2:$A$496,0),MATCH(F$2,'[5]Budget original'!$A$2:$AO$2,0))</f>
        <v>16673.690254520276</v>
      </c>
      <c r="G205" s="112"/>
      <c r="H205" s="111"/>
      <c r="I205" s="56">
        <f>+INDEX('[5]Budget révisé'!$A$2:$AO$496,MATCH($A205,'[5]Budget révisé'!$A$2:$A$496,0),MATCH(I$2,'[5]Budget révisé'!$A$2:$AO$2,0))</f>
        <v>16673.690254520276</v>
      </c>
      <c r="J205" s="113"/>
      <c r="K205" s="111"/>
      <c r="L205" s="114">
        <f>SUMIFS([5]BV_Data_An_Cour!$O:$O,[5]BV_Data_An_Cour!$U:$U,$B205,[5]BV_Data_An_Cour!$V:$V,$C205,[5]BV_Data_An_Cour!$W:$W,$L$2)</f>
        <v>20070.72</v>
      </c>
      <c r="M205" s="113"/>
      <c r="N205" s="115">
        <f t="shared" si="77"/>
        <v>3397.0297454797255</v>
      </c>
      <c r="O205" s="113"/>
      <c r="P205" s="111"/>
      <c r="Q205" s="114">
        <f>SUMIFS([5]BV_Data_An_Prec!$O:$O,[5]BV_Data_An_Prec!$U:$U,$B205,[5]BV_Data_An_Prec!$V:$V,$C205,[5]BV_Data_An_Prec!$W:$W,$L$2)</f>
        <v>14734.91</v>
      </c>
      <c r="R205" s="113"/>
      <c r="S205" s="116">
        <f t="shared" si="78"/>
        <v>5335.8100000000013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2"/>
        <v>ServiceBénéfices marginaux</v>
      </c>
      <c r="B206" s="12" t="s">
        <v>84</v>
      </c>
      <c r="C206" s="108" t="s">
        <v>48</v>
      </c>
      <c r="D206" s="82"/>
      <c r="E206" s="14"/>
      <c r="F206" s="31">
        <f>+INDEX('[5]Budget original'!$A$2:$AO$496,MATCH($A206,'[5]Budget original'!$A$2:$A$496,0),MATCH(F$2,'[5]Budget original'!$A$2:$AO$2,0))</f>
        <v>11949.478015739529</v>
      </c>
      <c r="G206" s="84"/>
      <c r="H206" s="14"/>
      <c r="I206" s="31">
        <f>+INDEX('[5]Budget révisé'!$A$2:$AO$496,MATCH($A206,'[5]Budget révisé'!$A$2:$A$496,0),MATCH(I$2,'[5]Budget révisé'!$A$2:$AO$2,0))</f>
        <v>11949.478015739529</v>
      </c>
      <c r="J206" s="42"/>
      <c r="K206" s="14"/>
      <c r="L206" s="34">
        <f>SUMIFS([5]BV_Data_An_Cour!$O:$O,[5]BV_Data_An_Cour!$U:$U,$B206,[5]BV_Data_An_Cour!$V:$V,$C206,[5]BV_Data_An_Cour!$W:$W,$L$2)</f>
        <v>14384.01</v>
      </c>
      <c r="M206" s="42"/>
      <c r="N206" s="60">
        <f t="shared" si="77"/>
        <v>2434.5319842604713</v>
      </c>
      <c r="O206" s="42"/>
      <c r="P206" s="14"/>
      <c r="Q206" s="34">
        <f>SUMIFS([5]BV_Data_An_Prec!$O:$O,[5]BV_Data_An_Prec!$U:$U,$B206,[5]BV_Data_An_Prec!$V:$V,$C206,[5]BV_Data_An_Prec!$W:$W,$L$2)</f>
        <v>9663</v>
      </c>
      <c r="R206" s="42"/>
      <c r="S206" s="86">
        <f t="shared" si="78"/>
        <v>4721.01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2"/>
        <v>ServiceCsst</v>
      </c>
      <c r="B207" s="12" t="s">
        <v>84</v>
      </c>
      <c r="C207" s="108" t="s">
        <v>49</v>
      </c>
      <c r="D207" s="82"/>
      <c r="E207" s="14"/>
      <c r="F207" s="31">
        <f>+INDEX('[5]Budget original'!$A$2:$AO$496,MATCH($A207,'[5]Budget original'!$A$2:$A$496,0),MATCH(F$2,'[5]Budget original'!$A$2:$AO$2,0))</f>
        <v>2778.948375753379</v>
      </c>
      <c r="G207" s="84"/>
      <c r="H207" s="14"/>
      <c r="I207" s="31">
        <f>+INDEX('[5]Budget révisé'!$A$2:$AO$496,MATCH($A207,'[5]Budget révisé'!$A$2:$A$496,0),MATCH(I$2,'[5]Budget révisé'!$A$2:$AO$2,0))</f>
        <v>2778.948375753379</v>
      </c>
      <c r="J207" s="42"/>
      <c r="K207" s="14"/>
      <c r="L207" s="34">
        <f>SUMIFS([5]BV_Data_An_Cour!$O:$O,[5]BV_Data_An_Cour!$U:$U,$B207,[5]BV_Data_An_Cour!$V:$V,$C207,[5]BV_Data_An_Cour!$W:$W,$L$2)</f>
        <v>3345.12</v>
      </c>
      <c r="M207" s="42"/>
      <c r="N207" s="60">
        <f t="shared" si="77"/>
        <v>566.17162424662092</v>
      </c>
      <c r="O207" s="42"/>
      <c r="P207" s="14"/>
      <c r="Q207" s="34">
        <f>SUMIFS([5]BV_Data_An_Prec!$O:$O,[5]BV_Data_An_Prec!$U:$U,$B207,[5]BV_Data_An_Prec!$V:$V,$C207,[5]BV_Data_An_Prec!$W:$W,$L$2)</f>
        <v>3440.41</v>
      </c>
      <c r="R207" s="42"/>
      <c r="S207" s="86">
        <f t="shared" si="78"/>
        <v>-95.289999999999964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2"/>
        <v>Service[...]</v>
      </c>
      <c r="B208" s="12" t="s">
        <v>84</v>
      </c>
      <c r="C208" s="30" t="s">
        <v>21</v>
      </c>
      <c r="D208" s="89"/>
      <c r="E208" s="117"/>
      <c r="F208" s="31">
        <f>+INDEX('[5]Budget original'!$A$2:$AO$496,MATCH($A208,'[5]Budget original'!$A$2:$A$496,0),MATCH(F$2,'[5]Budget original'!$A$2:$AO$2,0))</f>
        <v>0</v>
      </c>
      <c r="G208" s="91"/>
      <c r="H208" s="117"/>
      <c r="I208" s="31">
        <f>+INDEX('[5]Budget révisé'!$A$2:$AO$496,MATCH($A208,'[5]Budget révisé'!$A$2:$A$496,0),MATCH(I$2,'[5]Budget révisé'!$A$2:$AO$2,0))</f>
        <v>0</v>
      </c>
      <c r="J208" s="24"/>
      <c r="K208" s="117"/>
      <c r="L208" s="34">
        <f>SUMIFS([5]BV_Data_An_Cour!$O:$O,[5]BV_Data_An_Cour!$U:$U,$B208,[5]BV_Data_An_Cour!$V:$V,$C208,[5]BV_Data_An_Cour!$W:$W,$L$2)</f>
        <v>0</v>
      </c>
      <c r="M208" s="24"/>
      <c r="N208" s="94">
        <f t="shared" si="77"/>
        <v>0</v>
      </c>
      <c r="O208" s="24"/>
      <c r="P208" s="117"/>
      <c r="Q208" s="34">
        <f>SUMIFS([5]BV_Data_An_Prec!$O:$O,[5]BV_Data_An_Prec!$U:$U,$B208,[5]BV_Data_An_Prec!$V:$V,$C208,[5]BV_Data_An_Prec!$W:$W,$L$2)</f>
        <v>0</v>
      </c>
      <c r="R208" s="24"/>
      <c r="S208" s="95">
        <f t="shared" si="78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2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0.53039765591865506</v>
      </c>
      <c r="F209" s="102">
        <f>+SUM(F197:F208)</f>
        <v>111191.38568820241</v>
      </c>
      <c r="G209" s="103" t="s">
        <v>98</v>
      </c>
      <c r="H209" s="101">
        <f>I209/I$193</f>
        <v>0.53039765591865506</v>
      </c>
      <c r="I209" s="102">
        <f>+SUM(I197:I208)</f>
        <v>111191.38568820241</v>
      </c>
      <c r="J209" s="103" t="s">
        <v>98</v>
      </c>
      <c r="K209" s="101">
        <f>L209/L$193</f>
        <v>0.54287274601867697</v>
      </c>
      <c r="L209" s="102">
        <f>+SUM(L197:L208)</f>
        <v>117101.55999999998</v>
      </c>
      <c r="M209" s="154"/>
      <c r="N209" s="119">
        <f t="shared" si="77"/>
        <v>5910.1743117975711</v>
      </c>
      <c r="O209" s="103" t="s">
        <v>98</v>
      </c>
      <c r="P209" s="101">
        <f>Q209/Q$193</f>
        <v>0.50220513989588866</v>
      </c>
      <c r="Q209" s="102">
        <f>+SUM(Q197:Q208)</f>
        <v>106997.07</v>
      </c>
      <c r="R209" s="154"/>
      <c r="S209" s="120">
        <f t="shared" si="78"/>
        <v>10104.489999999976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2"/>
        <v>ServicePublicité 2</v>
      </c>
      <c r="B210" s="12" t="s">
        <v>84</v>
      </c>
      <c r="C210" s="30" t="s">
        <v>51</v>
      </c>
      <c r="D210" s="82"/>
      <c r="E210" s="14"/>
      <c r="F210" s="31">
        <f>+INDEX('[5]Budget original'!$A$2:$AO$496,MATCH($A210,'[5]Budget original'!$A$2:$A$496,0),MATCH(F$2,'[5]Budget original'!$A$2:$AO$2,0))</f>
        <v>7073.1916666666666</v>
      </c>
      <c r="G210" s="84"/>
      <c r="H210" s="14"/>
      <c r="I210" s="31">
        <f>+INDEX('[5]Budget révisé'!$A$2:$AO$496,MATCH($A210,'[5]Budget révisé'!$A$2:$A$496,0),MATCH(I$2,'[5]Budget révisé'!$A$2:$AO$2,0))</f>
        <v>7073.1916666666666</v>
      </c>
      <c r="J210" s="42"/>
      <c r="K210" s="14"/>
      <c r="L210" s="34">
        <f>SUMIFS([5]BV_Data_An_Cour!$O:$O,[5]BV_Data_An_Cour!$U:$U,$B210,[5]BV_Data_An_Cour!$V:$V,$C210,[5]BV_Data_An_Cour!$W:$W,$L$2)</f>
        <v>4627.6899999999996</v>
      </c>
      <c r="M210" s="42"/>
      <c r="N210" s="60">
        <f t="shared" si="77"/>
        <v>-2445.501666666667</v>
      </c>
      <c r="O210" s="42"/>
      <c r="P210" s="14"/>
      <c r="Q210" s="34">
        <f>SUMIFS([5]BV_Data_An_Prec!$O:$O,[5]BV_Data_An_Prec!$U:$U,$B210,[5]BV_Data_An_Prec!$V:$V,$C210,[5]BV_Data_An_Prec!$W:$W,$L$2)</f>
        <v>12359.33</v>
      </c>
      <c r="R210" s="42"/>
      <c r="S210" s="86">
        <f t="shared" si="78"/>
        <v>-7731.64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2"/>
        <v>ServiceService gratuit 2</v>
      </c>
      <c r="B211" s="12" t="s">
        <v>84</v>
      </c>
      <c r="C211" s="30" t="s">
        <v>52</v>
      </c>
      <c r="D211" s="82"/>
      <c r="E211" s="14"/>
      <c r="F211" s="31">
        <f>+INDEX('[5]Budget original'!$A$2:$AO$496,MATCH($A211,'[5]Budget original'!$A$2:$A$496,0),MATCH(F$2,'[5]Budget original'!$A$2:$AO$2,0))</f>
        <v>4121.8098630045515</v>
      </c>
      <c r="G211" s="84"/>
      <c r="H211" s="14"/>
      <c r="I211" s="31">
        <f>+INDEX('[5]Budget révisé'!$A$2:$AO$496,MATCH($A211,'[5]Budget révisé'!$A$2:$A$496,0),MATCH(I$2,'[5]Budget révisé'!$A$2:$AO$2,0))</f>
        <v>4121.8098630045515</v>
      </c>
      <c r="J211" s="42"/>
      <c r="K211" s="14"/>
      <c r="L211" s="531">
        <f>SUMIFS([5]BV_Data_An_Cour!$O:$O,[5]BV_Data_An_Cour!$U:$U,$B211,[5]BV_Data_An_Cour!$V:$V,$C211,[5]BV_Data_An_Cour!$W:$W,$L$2)</f>
        <v>2810.66</v>
      </c>
      <c r="M211" s="42"/>
      <c r="N211" s="60">
        <f t="shared" si="77"/>
        <v>-1311.1498630045517</v>
      </c>
      <c r="O211" s="42"/>
      <c r="P211" s="14"/>
      <c r="Q211" s="34">
        <f>SUMIFS([5]BV_Data_An_Prec!$O:$O,[5]BV_Data_An_Prec!$U:$U,$B211,[5]BV_Data_An_Prec!$V:$V,$C211,[5]BV_Data_An_Prec!$W:$W,$L$2)</f>
        <v>3441.82</v>
      </c>
      <c r="R211" s="42"/>
      <c r="S211" s="86">
        <f t="shared" si="78"/>
        <v>-631.16000000000031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2"/>
        <v>ServiceFrais véhicules de cie</v>
      </c>
      <c r="B212" s="12" t="s">
        <v>84</v>
      </c>
      <c r="C212" s="88" t="s">
        <v>53</v>
      </c>
      <c r="D212" s="89"/>
      <c r="E212" s="117"/>
      <c r="F212" s="23">
        <f>+INDEX('[5]Budget original'!$A$2:$AO$496,MATCH($A212,'[5]Budget original'!$A$2:$A$496,0),MATCH(F$2,'[5]Budget original'!$A$2:$AO$2,0))</f>
        <v>21064.080000000002</v>
      </c>
      <c r="G212" s="91"/>
      <c r="H212" s="117"/>
      <c r="I212" s="23">
        <f>+INDEX('[5]Budget révisé'!$A$2:$AO$496,MATCH($A212,'[5]Budget révisé'!$A$2:$A$496,0),MATCH(I$2,'[5]Budget révisé'!$A$2:$AO$2,0))</f>
        <v>21064.080000000002</v>
      </c>
      <c r="J212" s="24"/>
      <c r="K212" s="117"/>
      <c r="L212" s="34">
        <f>SUMIFS([5]BV_Data_An_Cour!$O:$O,[5]BV_Data_An_Cour!$U:$U,$B212,[5]BV_Data_An_Cour!$V:$V,$C212,[5]BV_Data_An_Cour!$W:$W,$L$2)</f>
        <v>11098.56</v>
      </c>
      <c r="M212" s="24"/>
      <c r="N212" s="94">
        <f t="shared" si="77"/>
        <v>-9965.5200000000023</v>
      </c>
      <c r="O212" s="24"/>
      <c r="P212" s="117"/>
      <c r="Q212" s="34">
        <f>SUMIFS([5]BV_Data_An_Prec!$O:$O,[5]BV_Data_An_Prec!$U:$U,$B212,[5]BV_Data_An_Prec!$V:$V,$C212,[5]BV_Data_An_Prec!$W:$W,$L$2)</f>
        <v>11804.32</v>
      </c>
      <c r="R212" s="24"/>
      <c r="S212" s="95">
        <f t="shared" si="78"/>
        <v>-705.76000000000022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2"/>
        <v>ServiceInformatique</v>
      </c>
      <c r="B213" s="12" t="s">
        <v>84</v>
      </c>
      <c r="C213" s="30" t="s">
        <v>54</v>
      </c>
      <c r="D213" s="82"/>
      <c r="E213" s="14"/>
      <c r="F213" s="31">
        <f>+INDEX('[5]Budget original'!$A$2:$AO$496,MATCH($A213,'[5]Budget original'!$A$2:$A$496,0),MATCH(F$2,'[5]Budget original'!$A$2:$AO$2,0))</f>
        <v>4425.5472</v>
      </c>
      <c r="G213" s="84"/>
      <c r="H213" s="14"/>
      <c r="I213" s="31">
        <f>+INDEX('[5]Budget révisé'!$A$2:$AO$496,MATCH($A213,'[5]Budget révisé'!$A$2:$A$496,0),MATCH(I$2,'[5]Budget révisé'!$A$2:$AO$2,0))</f>
        <v>4425.5472</v>
      </c>
      <c r="J213" s="42"/>
      <c r="K213" s="14"/>
      <c r="L213" s="114">
        <f>SUMIFS([5]BV_Data_An_Cour!$O:$O,[5]BV_Data_An_Cour!$U:$U,$B213,[5]BV_Data_An_Cour!$V:$V,$C213,[5]BV_Data_An_Cour!$W:$W,$L$2)</f>
        <v>3459.65</v>
      </c>
      <c r="M213" s="42"/>
      <c r="N213" s="60">
        <f t="shared" si="77"/>
        <v>-965.89719999999988</v>
      </c>
      <c r="O213" s="42"/>
      <c r="P213" s="14"/>
      <c r="Q213" s="114">
        <f>SUMIFS([5]BV_Data_An_Prec!$O:$O,[5]BV_Data_An_Prec!$U:$U,$B213,[5]BV_Data_An_Prec!$V:$V,$C213,[5]BV_Data_An_Prec!$W:$W,$L$2)</f>
        <v>3838.32</v>
      </c>
      <c r="R213" s="42"/>
      <c r="S213" s="86">
        <f t="shared" si="78"/>
        <v>-378.67000000000007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2"/>
        <v>ServiceFrais de déplacement</v>
      </c>
      <c r="B214" s="12" t="s">
        <v>84</v>
      </c>
      <c r="C214" s="30" t="s">
        <v>55</v>
      </c>
      <c r="D214" s="82"/>
      <c r="E214" s="14"/>
      <c r="F214" s="31">
        <f>+INDEX('[5]Budget original'!$A$2:$AO$496,MATCH($A214,'[5]Budget original'!$A$2:$A$496,0),MATCH(F$2,'[5]Budget original'!$A$2:$AO$2,0))</f>
        <v>1197.3725999999999</v>
      </c>
      <c r="G214" s="84"/>
      <c r="H214" s="14"/>
      <c r="I214" s="31">
        <f>+INDEX('[5]Budget révisé'!$A$2:$AO$496,MATCH($A214,'[5]Budget révisé'!$A$2:$A$496,0),MATCH(I$2,'[5]Budget révisé'!$A$2:$AO$2,0))</f>
        <v>1197.3725999999999</v>
      </c>
      <c r="J214" s="42"/>
      <c r="K214" s="14"/>
      <c r="L214" s="34">
        <f>SUMIFS([5]BV_Data_An_Cour!$O:$O,[5]BV_Data_An_Cour!$U:$U,$B214,[5]BV_Data_An_Cour!$V:$V,$C214,[5]BV_Data_An_Cour!$W:$W,$L$2)</f>
        <v>157.36000000000001</v>
      </c>
      <c r="M214" s="42"/>
      <c r="N214" s="60">
        <f t="shared" si="77"/>
        <v>-1040.0126</v>
      </c>
      <c r="O214" s="42"/>
      <c r="P214" s="14"/>
      <c r="Q214" s="34">
        <f>SUMIFS([5]BV_Data_An_Prec!$O:$O,[5]BV_Data_An_Prec!$U:$U,$B214,[5]BV_Data_An_Prec!$V:$V,$C214,[5]BV_Data_An_Prec!$W:$W,$L$2)</f>
        <v>1458.48</v>
      </c>
      <c r="R214" s="42"/>
      <c r="S214" s="86">
        <f t="shared" si="78"/>
        <v>-1301.1199999999999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2"/>
        <v>ServiceServices extérieurs</v>
      </c>
      <c r="B215" s="12" t="s">
        <v>84</v>
      </c>
      <c r="C215" s="88" t="s">
        <v>56</v>
      </c>
      <c r="D215" s="89"/>
      <c r="E215" s="117"/>
      <c r="F215" s="23">
        <f>+INDEX('[5]Budget original'!$A$2:$AO$496,MATCH($A215,'[5]Budget original'!$A$2:$A$496,0),MATCH(F$2,'[5]Budget original'!$A$2:$AO$2,0))</f>
        <v>3849.5209999999993</v>
      </c>
      <c r="G215" s="91"/>
      <c r="H215" s="117"/>
      <c r="I215" s="23">
        <f>+INDEX('[5]Budget révisé'!$A$2:$AO$496,MATCH($A215,'[5]Budget révisé'!$A$2:$A$496,0),MATCH(I$2,'[5]Budget révisé'!$A$2:$AO$2,0))</f>
        <v>3849.5209999999993</v>
      </c>
      <c r="J215" s="24"/>
      <c r="K215" s="117"/>
      <c r="L215" s="34">
        <f>SUMIFS([5]BV_Data_An_Cour!$O:$O,[5]BV_Data_An_Cour!$U:$U,$B215,[5]BV_Data_An_Cour!$V:$V,$C215,[5]BV_Data_An_Cour!$W:$W,$L$2)</f>
        <v>3397.38</v>
      </c>
      <c r="M215" s="24"/>
      <c r="N215" s="94">
        <f t="shared" si="77"/>
        <v>-452.14099999999917</v>
      </c>
      <c r="O215" s="24"/>
      <c r="P215" s="117"/>
      <c r="Q215" s="34">
        <f>SUMIFS([5]BV_Data_An_Prec!$O:$O,[5]BV_Data_An_Prec!$U:$U,$B215,[5]BV_Data_An_Prec!$V:$V,$C215,[5]BV_Data_An_Prec!$W:$W,$L$2)</f>
        <v>12264.51</v>
      </c>
      <c r="R215" s="24"/>
      <c r="S215" s="95">
        <f t="shared" si="78"/>
        <v>-8867.130000000001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2"/>
        <v>ServiceFournitures d'atelier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f>SUMIFS([5]BV_Data_An_Cour!$O:$O,[5]BV_Data_An_Cour!$U:$U,$B216,[5]BV_Data_An_Cour!$V:$V,$C216,[5]BV_Data_An_Cour!$W:$W,$L$2)</f>
        <v>0</v>
      </c>
      <c r="M216" s="42"/>
      <c r="N216" s="60">
        <f t="shared" si="77"/>
        <v>0</v>
      </c>
      <c r="O216" s="42"/>
      <c r="P216" s="14"/>
      <c r="Q216" s="114">
        <f>SUMIFS([5]BV_Data_An_Prec!$O:$O,[5]BV_Data_An_Prec!$U:$U,$B216,[5]BV_Data_An_Prec!$V:$V,$C216,[5]BV_Data_An_Prec!$W:$W,$L$2)</f>
        <v>0</v>
      </c>
      <c r="R216" s="42"/>
      <c r="S216" s="86">
        <f t="shared" si="78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2"/>
        <v>ServiceFournitures autres</v>
      </c>
      <c r="B217" s="12" t="s">
        <v>84</v>
      </c>
      <c r="C217" s="30" t="s">
        <v>57</v>
      </c>
      <c r="D217" s="82"/>
      <c r="E217" s="14"/>
      <c r="F217" s="31">
        <f>+INDEX('[5]Budget original'!$A$2:$AO$496,MATCH($A217,'[5]Budget original'!$A$2:$A$496,0),MATCH(F$2,'[5]Budget original'!$A$2:$AO$2,0))</f>
        <v>546</v>
      </c>
      <c r="G217" s="84"/>
      <c r="H217" s="14"/>
      <c r="I217" s="31">
        <f>+INDEX('[5]Budget révisé'!$A$2:$AO$496,MATCH($A217,'[5]Budget révisé'!$A$2:$A$496,0),MATCH(I$2,'[5]Budget révisé'!$A$2:$AO$2,0))</f>
        <v>546</v>
      </c>
      <c r="J217" s="42"/>
      <c r="K217" s="14"/>
      <c r="L217" s="34">
        <f>SUMIFS([5]BV_Data_An_Cour!$O:$O,[5]BV_Data_An_Cour!$U:$U,$B217,[5]BV_Data_An_Cour!$V:$V,$C217,[5]BV_Data_An_Cour!$W:$W,$L$2)</f>
        <v>66.86</v>
      </c>
      <c r="M217" s="42"/>
      <c r="N217" s="60">
        <f t="shared" si="77"/>
        <v>-479.14</v>
      </c>
      <c r="O217" s="42"/>
      <c r="P217" s="14"/>
      <c r="Q217" s="34">
        <f>SUMIFS([5]BV_Data_An_Prec!$O:$O,[5]BV_Data_An_Prec!$U:$U,$B217,[5]BV_Data_An_Prec!$V:$V,$C217,[5]BV_Data_An_Prec!$W:$W,$L$2)</f>
        <v>1869.59</v>
      </c>
      <c r="R217" s="42"/>
      <c r="S217" s="86">
        <f t="shared" si="78"/>
        <v>-1802.73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2"/>
        <v>ServiceUniformes</v>
      </c>
      <c r="B218" s="12" t="s">
        <v>84</v>
      </c>
      <c r="C218" s="30" t="s">
        <v>58</v>
      </c>
      <c r="D218" s="82"/>
      <c r="E218" s="14"/>
      <c r="F218" s="31">
        <f>+INDEX('[5]Budget original'!$A$2:$AO$496,MATCH($A218,'[5]Budget original'!$A$2:$A$496,0),MATCH(F$2,'[5]Budget original'!$A$2:$AO$2,0))</f>
        <v>1300</v>
      </c>
      <c r="G218" s="84"/>
      <c r="H218" s="14"/>
      <c r="I218" s="31">
        <f>+INDEX('[5]Budget révisé'!$A$2:$AO$496,MATCH($A218,'[5]Budget révisé'!$A$2:$A$496,0),MATCH(I$2,'[5]Budget révisé'!$A$2:$AO$2,0))</f>
        <v>1300</v>
      </c>
      <c r="J218" s="42"/>
      <c r="K218" s="14"/>
      <c r="L218" s="34">
        <f>SUMIFS([5]BV_Data_An_Cour!$O:$O,[5]BV_Data_An_Cour!$U:$U,$B218,[5]BV_Data_An_Cour!$V:$V,$C218,[5]BV_Data_An_Cour!$W:$W,$L$2)</f>
        <v>626.04</v>
      </c>
      <c r="M218" s="42"/>
      <c r="N218" s="60">
        <f t="shared" si="77"/>
        <v>-673.96</v>
      </c>
      <c r="O218" s="42"/>
      <c r="P218" s="14"/>
      <c r="Q218" s="34">
        <f>SUMIFS([5]BV_Data_An_Prec!$O:$O,[5]BV_Data_An_Prec!$U:$U,$B218,[5]BV_Data_An_Prec!$V:$V,$C218,[5]BV_Data_An_Prec!$W:$W,$L$2)</f>
        <v>1300</v>
      </c>
      <c r="R218" s="42"/>
      <c r="S218" s="86">
        <f t="shared" si="78"/>
        <v>-673.96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2"/>
        <v>ServicePapeterie</v>
      </c>
      <c r="B219" s="12" t="s">
        <v>84</v>
      </c>
      <c r="C219" s="30" t="s">
        <v>59</v>
      </c>
      <c r="D219" s="82"/>
      <c r="E219" s="14"/>
      <c r="F219" s="31">
        <f>+INDEX('[5]Budget original'!$A$2:$AO$496,MATCH($A219,'[5]Budget original'!$A$2:$A$496,0),MATCH(F$2,'[5]Budget original'!$A$2:$AO$2,0))</f>
        <v>523.19999999999993</v>
      </c>
      <c r="G219" s="84"/>
      <c r="H219" s="14"/>
      <c r="I219" s="31">
        <f>+INDEX('[5]Budget révisé'!$A$2:$AO$496,MATCH($A219,'[5]Budget révisé'!$A$2:$A$496,0),MATCH(I$2,'[5]Budget révisé'!$A$2:$AO$2,0))</f>
        <v>523.19999999999993</v>
      </c>
      <c r="J219" s="42"/>
      <c r="K219" s="14"/>
      <c r="L219" s="33">
        <f>SUMIFS([5]BV_Data_An_Cour!$O:$O,[5]BV_Data_An_Cour!$U:$U,$B219,[5]BV_Data_An_Cour!$V:$V,$C219,[5]BV_Data_An_Cour!$W:$W,$L$2)</f>
        <v>483.27</v>
      </c>
      <c r="M219" s="42"/>
      <c r="N219" s="60">
        <f t="shared" si="77"/>
        <v>-39.92999999999995</v>
      </c>
      <c r="O219" s="42"/>
      <c r="P219" s="14"/>
      <c r="Q219" s="33">
        <f>SUMIFS([5]BV_Data_An_Prec!$O:$O,[5]BV_Data_An_Prec!$U:$U,$B219,[5]BV_Data_An_Prec!$V:$V,$C219,[5]BV_Data_An_Prec!$W:$W,$L$2)</f>
        <v>444</v>
      </c>
      <c r="R219" s="42"/>
      <c r="S219" s="86">
        <f t="shared" si="78"/>
        <v>39.269999999999982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2"/>
        <v>ServiceTéléphone</v>
      </c>
      <c r="B220" s="12" t="s">
        <v>84</v>
      </c>
      <c r="C220" s="30" t="s">
        <v>60</v>
      </c>
      <c r="D220" s="82"/>
      <c r="E220" s="14"/>
      <c r="F220" s="31">
        <f>+INDEX('[5]Budget original'!$A$2:$AO$496,MATCH($A220,'[5]Budget original'!$A$2:$A$496,0),MATCH(F$2,'[5]Budget original'!$A$2:$AO$2,0))</f>
        <v>461.18399999999997</v>
      </c>
      <c r="G220" s="84"/>
      <c r="H220" s="14"/>
      <c r="I220" s="31">
        <f>+INDEX('[5]Budget révisé'!$A$2:$AO$496,MATCH($A220,'[5]Budget révisé'!$A$2:$A$496,0),MATCH(I$2,'[5]Budget révisé'!$A$2:$AO$2,0))</f>
        <v>461.18399999999997</v>
      </c>
      <c r="J220" s="42"/>
      <c r="K220" s="14"/>
      <c r="L220" s="34">
        <f>SUMIFS([5]BV_Data_An_Cour!$O:$O,[5]BV_Data_An_Cour!$U:$U,$B220,[5]BV_Data_An_Cour!$V:$V,$C220,[5]BV_Data_An_Cour!$W:$W,$L$2)</f>
        <v>169.59</v>
      </c>
      <c r="M220" s="42"/>
      <c r="N220" s="60">
        <f t="shared" si="77"/>
        <v>-291.59399999999994</v>
      </c>
      <c r="O220" s="42"/>
      <c r="P220" s="14"/>
      <c r="Q220" s="34">
        <f>SUMIFS([5]BV_Data_An_Prec!$O:$O,[5]BV_Data_An_Prec!$U:$U,$B220,[5]BV_Data_An_Prec!$V:$V,$C220,[5]BV_Data_An_Prec!$W:$W,$L$2)</f>
        <v>544.38</v>
      </c>
      <c r="R220" s="42"/>
      <c r="S220" s="86">
        <f t="shared" si="78"/>
        <v>-374.78999999999996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2"/>
        <v>ServiceFrais postaux</v>
      </c>
      <c r="B221" s="12" t="s">
        <v>84</v>
      </c>
      <c r="C221" s="30" t="s">
        <v>61</v>
      </c>
      <c r="D221" s="82"/>
      <c r="E221" s="14"/>
      <c r="F221" s="31">
        <f>+INDEX('[5]Budget original'!$A$2:$AO$496,MATCH($A221,'[5]Budget original'!$A$2:$A$496,0),MATCH(F$2,'[5]Budget original'!$A$2:$AO$2,0))</f>
        <v>207.6</v>
      </c>
      <c r="G221" s="84"/>
      <c r="H221" s="14"/>
      <c r="I221" s="31">
        <f>+INDEX('[5]Budget révisé'!$A$2:$AO$496,MATCH($A221,'[5]Budget révisé'!$A$2:$A$496,0),MATCH(I$2,'[5]Budget révisé'!$A$2:$AO$2,0))</f>
        <v>207.6</v>
      </c>
      <c r="J221" s="42"/>
      <c r="K221" s="14"/>
      <c r="L221" s="34">
        <f>SUMIFS([5]BV_Data_An_Cour!$O:$O,[5]BV_Data_An_Cour!$U:$U,$B221,[5]BV_Data_An_Cour!$V:$V,$C221,[5]BV_Data_An_Cour!$W:$W,$L$2)</f>
        <v>100.66</v>
      </c>
      <c r="M221" s="42"/>
      <c r="N221" s="60">
        <f t="shared" si="77"/>
        <v>-106.94</v>
      </c>
      <c r="O221" s="42"/>
      <c r="P221" s="14"/>
      <c r="Q221" s="34">
        <f>SUMIFS([5]BV_Data_An_Prec!$O:$O,[5]BV_Data_An_Prec!$U:$U,$B221,[5]BV_Data_An_Prec!$V:$V,$C221,[5]BV_Data_An_Prec!$W:$W,$L$2)</f>
        <v>133.9</v>
      </c>
      <c r="R221" s="42"/>
      <c r="S221" s="86">
        <f t="shared" si="78"/>
        <v>-33.240000000000009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2"/>
        <v>ServiceDivers</v>
      </c>
      <c r="B222" s="12" t="s">
        <v>84</v>
      </c>
      <c r="C222" s="30" t="s">
        <v>62</v>
      </c>
      <c r="D222" s="82"/>
      <c r="E222" s="14"/>
      <c r="F222" s="31">
        <f>+INDEX('[5]Budget original'!$A$2:$AO$496,MATCH($A222,'[5]Budget original'!$A$2:$A$496,0),MATCH(F$2,'[5]Budget original'!$A$2:$AO$2,0))</f>
        <v>961.83999999999992</v>
      </c>
      <c r="G222" s="84"/>
      <c r="H222" s="14"/>
      <c r="I222" s="31">
        <f>+INDEX('[5]Budget révisé'!$A$2:$AO$496,MATCH($A222,'[5]Budget révisé'!$A$2:$A$496,0),MATCH(I$2,'[5]Budget révisé'!$A$2:$AO$2,0))</f>
        <v>961.83999999999992</v>
      </c>
      <c r="J222" s="42"/>
      <c r="K222" s="14"/>
      <c r="L222" s="34">
        <f>SUMIFS([5]BV_Data_An_Cour!$O:$O,[5]BV_Data_An_Cour!$U:$U,$B222,[5]BV_Data_An_Cour!$V:$V,$C222,[5]BV_Data_An_Cour!$W:$W,$L$2)</f>
        <v>198.05</v>
      </c>
      <c r="M222" s="42"/>
      <c r="N222" s="60">
        <f t="shared" si="77"/>
        <v>-763.79</v>
      </c>
      <c r="O222" s="42"/>
      <c r="P222" s="14"/>
      <c r="Q222" s="34">
        <f>SUMIFS([5]BV_Data_An_Prec!$O:$O,[5]BV_Data_An_Prec!$U:$U,$B222,[5]BV_Data_An_Prec!$V:$V,$C222,[5]BV_Data_An_Prec!$W:$W,$L$2)</f>
        <v>1269.22</v>
      </c>
      <c r="R222" s="42"/>
      <c r="S222" s="86">
        <f t="shared" si="78"/>
        <v>-1071.17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2"/>
        <v>ServiceFormation</v>
      </c>
      <c r="B223" s="12" t="s">
        <v>84</v>
      </c>
      <c r="C223" s="30" t="s">
        <v>63</v>
      </c>
      <c r="D223" s="82"/>
      <c r="E223" s="14"/>
      <c r="F223" s="31">
        <f>+INDEX('[5]Budget original'!$A$2:$AO$496,MATCH($A223,'[5]Budget original'!$A$2:$A$496,0),MATCH(F$2,'[5]Budget original'!$A$2:$AO$2,0))</f>
        <v>1391.26</v>
      </c>
      <c r="G223" s="84"/>
      <c r="H223" s="14"/>
      <c r="I223" s="31">
        <f>+INDEX('[5]Budget révisé'!$A$2:$AO$496,MATCH($A223,'[5]Budget révisé'!$A$2:$A$496,0),MATCH(I$2,'[5]Budget révisé'!$A$2:$AO$2,0))</f>
        <v>1391.26</v>
      </c>
      <c r="J223" s="42"/>
      <c r="K223" s="14"/>
      <c r="L223" s="34">
        <f>SUMIFS([5]BV_Data_An_Cour!$O:$O,[5]BV_Data_An_Cour!$U:$U,$B223,[5]BV_Data_An_Cour!$V:$V,$C223,[5]BV_Data_An_Cour!$W:$W,$L$2)</f>
        <v>1383.26</v>
      </c>
      <c r="M223" s="42"/>
      <c r="N223" s="60">
        <f t="shared" si="77"/>
        <v>-8</v>
      </c>
      <c r="O223" s="42"/>
      <c r="P223" s="14"/>
      <c r="Q223" s="34">
        <f>SUMIFS([5]BV_Data_An_Prec!$O:$O,[5]BV_Data_An_Prec!$U:$U,$B223,[5]BV_Data_An_Prec!$V:$V,$C223,[5]BV_Data_An_Prec!$W:$W,$L$2)</f>
        <v>2786.67</v>
      </c>
      <c r="R223" s="42"/>
      <c r="S223" s="86">
        <f t="shared" si="78"/>
        <v>-1403.41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2"/>
        <v>ServiceFrais bancaires</v>
      </c>
      <c r="B224" s="12" t="s">
        <v>84</v>
      </c>
      <c r="C224" s="30" t="s">
        <v>64</v>
      </c>
      <c r="D224" s="82"/>
      <c r="E224" s="14"/>
      <c r="F224" s="31">
        <f>+INDEX('[5]Budget original'!$A$2:$AO$496,MATCH($A224,'[5]Budget original'!$A$2:$A$496,0),MATCH(F$2,'[5]Budget original'!$A$2:$AO$2,0))</f>
        <v>3003.7395318699969</v>
      </c>
      <c r="G224" s="84"/>
      <c r="H224" s="14"/>
      <c r="I224" s="31">
        <f>+INDEX('[5]Budget révisé'!$A$2:$AO$496,MATCH($A224,'[5]Budget révisé'!$A$2:$A$496,0),MATCH(I$2,'[5]Budget révisé'!$A$2:$AO$2,0))</f>
        <v>3003.7395318699969</v>
      </c>
      <c r="J224" s="42"/>
      <c r="K224" s="14"/>
      <c r="L224" s="34">
        <f>AF447*W5</f>
        <v>2028.4424999999999</v>
      </c>
      <c r="M224" s="42"/>
      <c r="N224" s="60">
        <f t="shared" si="77"/>
        <v>-975.297031869997</v>
      </c>
      <c r="O224" s="42"/>
      <c r="P224" s="14"/>
      <c r="Q224" s="34">
        <f>AL447*W5</f>
        <v>2809.3274999999999</v>
      </c>
      <c r="R224" s="42"/>
      <c r="S224" s="86">
        <f t="shared" si="78"/>
        <v>-780.88499999999999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2"/>
        <v>Service[...]</v>
      </c>
      <c r="B225" s="12" t="s">
        <v>84</v>
      </c>
      <c r="C225" s="30" t="s">
        <v>21</v>
      </c>
      <c r="D225" s="82"/>
      <c r="E225" s="14"/>
      <c r="F225" s="31">
        <f>+INDEX('[5]Budget original'!$A$2:$AO$496,MATCH($A225,'[5]Budget original'!$A$2:$A$496,0),MATCH(F$2,'[5]Budget original'!$A$2:$AO$2,0))</f>
        <v>0</v>
      </c>
      <c r="G225" s="84"/>
      <c r="H225" s="14"/>
      <c r="I225" s="31">
        <f>+INDEX('[5]Budget révisé'!$A$2:$AO$496,MATCH($A225,'[5]Budget révisé'!$A$2:$A$496,0),MATCH(I$2,'[5]Budget révisé'!$A$2:$AO$2,0))</f>
        <v>0</v>
      </c>
      <c r="J225" s="42"/>
      <c r="K225" s="14"/>
      <c r="L225" s="34">
        <f>SUMIFS([5]BV_Data_An_Cour!$O:$O,[5]BV_Data_An_Cour!$U:$U,$B225,[5]BV_Data_An_Cour!$V:$V,$C225,[5]BV_Data_An_Cour!$W:$W,$L$2)</f>
        <v>0</v>
      </c>
      <c r="M225" s="42"/>
      <c r="N225" s="60">
        <f t="shared" si="77"/>
        <v>0</v>
      </c>
      <c r="O225" s="42"/>
      <c r="P225" s="14"/>
      <c r="Q225" s="34">
        <f>SUMIFS([5]BV_Data_An_Prec!$O:$O,[5]BV_Data_An_Prec!$U:$U,$B225,[5]BV_Data_An_Prec!$V:$V,$C225,[5]BV_Data_An_Prec!$W:$W,$L$2)</f>
        <v>0</v>
      </c>
      <c r="R225" s="42"/>
      <c r="S225" s="86">
        <f t="shared" si="78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+INDEX('[5]Budget original'!$A$2:$AO$496,MATCH($A226,'[5]Budget original'!$A$2:$A$496,0),MATCH(F$2,'[5]Budget original'!$A$2:$AO$2,0))</f>
        <v>0</v>
      </c>
      <c r="G226" s="84"/>
      <c r="H226" s="14"/>
      <c r="I226" s="31">
        <f>+INDEX('[5]Budget révisé'!$A$2:$AO$496,MATCH($A226,'[5]Budget révisé'!$A$2:$A$496,0),MATCH(I$2,'[5]Budget révisé'!$A$2:$AO$2,0))</f>
        <v>0</v>
      </c>
      <c r="J226" s="42"/>
      <c r="K226" s="14"/>
      <c r="L226" s="34">
        <f>SUMIFS([5]BV_Data_An_Cour!$O:$O,[5]BV_Data_An_Cour!$U:$U,$B226,[5]BV_Data_An_Cour!$V:$V,$C226,[5]BV_Data_An_Cour!$W:$W,$L$2)</f>
        <v>0</v>
      </c>
      <c r="M226" s="42"/>
      <c r="N226" s="60">
        <f t="shared" si="77"/>
        <v>0</v>
      </c>
      <c r="O226" s="42"/>
      <c r="P226" s="14"/>
      <c r="Q226" s="34">
        <f>SUMIFS([5]BV_Data_An_Prec!$O:$O,[5]BV_Data_An_Prec!$U:$U,$B226,[5]BV_Data_An_Prec!$V:$V,$C226,[5]BV_Data_An_Prec!$W:$W,$L$2)</f>
        <v>0</v>
      </c>
      <c r="R226" s="42"/>
      <c r="S226" s="86">
        <f t="shared" si="78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2"/>
        <v>Service[...]</v>
      </c>
      <c r="B227" s="12" t="s">
        <v>84</v>
      </c>
      <c r="C227" s="30" t="s">
        <v>21</v>
      </c>
      <c r="D227" s="82"/>
      <c r="E227" s="14"/>
      <c r="F227" s="31">
        <f>+INDEX('[5]Budget original'!$A$2:$AO$496,MATCH($A227,'[5]Budget original'!$A$2:$A$496,0),MATCH(F$2,'[5]Budget original'!$A$2:$AO$2,0))</f>
        <v>0</v>
      </c>
      <c r="G227" s="84"/>
      <c r="H227" s="14"/>
      <c r="I227" s="31">
        <f>+INDEX('[5]Budget révisé'!$A$2:$AO$496,MATCH($A227,'[5]Budget révisé'!$A$2:$A$496,0),MATCH(I$2,'[5]Budget révisé'!$A$2:$AO$2,0))</f>
        <v>0</v>
      </c>
      <c r="J227" s="42"/>
      <c r="K227" s="14"/>
      <c r="L227" s="34">
        <f>SUMIFS([5]BV_Data_An_Cour!$O:$O,[5]BV_Data_An_Cour!$U:$U,$B227,[5]BV_Data_An_Cour!$V:$V,$C227,[5]BV_Data_An_Cour!$W:$W,$L$2)</f>
        <v>0</v>
      </c>
      <c r="M227" s="42"/>
      <c r="N227" s="60">
        <f t="shared" si="77"/>
        <v>0</v>
      </c>
      <c r="O227" s="42"/>
      <c r="P227" s="14"/>
      <c r="Q227" s="34">
        <f>SUMIFS([5]BV_Data_An_Prec!$O:$O,[5]BV_Data_An_Prec!$U:$U,$B227,[5]BV_Data_An_Prec!$V:$V,$C227,[5]BV_Data_An_Prec!$W:$W,$L$2)</f>
        <v>0</v>
      </c>
      <c r="R227" s="42"/>
      <c r="S227" s="86">
        <f t="shared" si="78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0.23910931750848888</v>
      </c>
      <c r="F228" s="102">
        <f>+SUM(F210:F227)</f>
        <v>50126.345861541216</v>
      </c>
      <c r="G228" s="103" t="s">
        <v>98</v>
      </c>
      <c r="H228" s="101">
        <f>I228/I$193</f>
        <v>0.23910931750848888</v>
      </c>
      <c r="I228" s="102">
        <f>+SUM(I210:I227)</f>
        <v>50126.345861541216</v>
      </c>
      <c r="J228" s="103" t="s">
        <v>98</v>
      </c>
      <c r="K228" s="101">
        <f>L228/L$193</f>
        <v>0.14189360624031094</v>
      </c>
      <c r="L228" s="102">
        <f>+SUM(L210:L227)</f>
        <v>30607.472500000003</v>
      </c>
      <c r="M228" s="106"/>
      <c r="N228" s="102">
        <f t="shared" si="77"/>
        <v>-19518.873361541213</v>
      </c>
      <c r="O228" s="103" t="s">
        <v>98</v>
      </c>
      <c r="P228" s="101">
        <f>Q228/Q$193</f>
        <v>0.26436364806358709</v>
      </c>
      <c r="Q228" s="102">
        <f>+SUM(Q210:Q227)</f>
        <v>56323.8675</v>
      </c>
      <c r="R228" s="106"/>
      <c r="S228" s="107">
        <f t="shared" si="78"/>
        <v>-25716.394999999997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0.76950697342714391</v>
      </c>
      <c r="F230" s="102">
        <f>F209+F228</f>
        <v>161317.73154974362</v>
      </c>
      <c r="G230" s="103" t="s">
        <v>40</v>
      </c>
      <c r="H230" s="101">
        <f>I230/I$193</f>
        <v>0.76950697342714391</v>
      </c>
      <c r="I230" s="102">
        <f>I209+I228</f>
        <v>161317.73154974362</v>
      </c>
      <c r="J230" s="103" t="s">
        <v>40</v>
      </c>
      <c r="K230" s="101">
        <f>L230/L$193</f>
        <v>0.68476635225898785</v>
      </c>
      <c r="L230" s="102">
        <f>L209+L228</f>
        <v>147709.03249999997</v>
      </c>
      <c r="M230" s="106"/>
      <c r="N230" s="119">
        <f t="shared" ref="N230:N232" si="79">L230-I230</f>
        <v>-13608.699049743649</v>
      </c>
      <c r="O230" s="103" t="s">
        <v>40</v>
      </c>
      <c r="P230" s="101">
        <f>Q230/Q$193</f>
        <v>0.76656878795947569</v>
      </c>
      <c r="Q230" s="102">
        <f>Q209+Q228</f>
        <v>163320.9375</v>
      </c>
      <c r="R230" s="106"/>
      <c r="S230" s="120">
        <f>L230-Q230</f>
        <v>-15611.905000000028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79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f>F193-F230</f>
        <v>48320.04578096047</v>
      </c>
      <c r="G232" s="160"/>
      <c r="H232" s="131"/>
      <c r="I232" s="133">
        <f>I193-I230</f>
        <v>48320.04578096047</v>
      </c>
      <c r="J232" s="161"/>
      <c r="K232" s="132"/>
      <c r="L232" s="133">
        <f>L193-L230</f>
        <v>67998.167500000069</v>
      </c>
      <c r="M232" s="161"/>
      <c r="N232" s="133">
        <f t="shared" si="79"/>
        <v>19678.121719039598</v>
      </c>
      <c r="O232" s="161"/>
      <c r="P232" s="132"/>
      <c r="Q232" s="133">
        <f>Q193-Q230</f>
        <v>49733.572500000009</v>
      </c>
      <c r="R232" s="161"/>
      <c r="S232" s="135">
        <f>L232-Q232</f>
        <v>18264.595000000059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Avril 2021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19" t="s">
        <v>5</v>
      </c>
      <c r="E237" s="520"/>
      <c r="F237" s="521"/>
      <c r="G237" s="522" t="s">
        <v>75</v>
      </c>
      <c r="H237" s="520"/>
      <c r="I237" s="521"/>
      <c r="J237" s="522" t="s">
        <v>7</v>
      </c>
      <c r="K237" s="520"/>
      <c r="L237" s="521"/>
      <c r="M237" s="522" t="s">
        <v>8</v>
      </c>
      <c r="N237" s="521"/>
      <c r="O237" s="519" t="s">
        <v>9</v>
      </c>
      <c r="P237" s="520"/>
      <c r="Q237" s="521"/>
      <c r="R237" s="522" t="s">
        <v>10</v>
      </c>
      <c r="S237" s="523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0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0"/>
        <v>Carrosserie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0"/>
        <v>CarrosserieM/O Sous-traitement</v>
      </c>
      <c r="B240" s="12" t="s">
        <v>100</v>
      </c>
      <c r="C240" s="30" t="s">
        <v>101</v>
      </c>
      <c r="D240" s="81">
        <f>+INDEX('[5]Budget original'!$A$2:$AO$496,MATCH($A240,'[5]Budget original'!$A$2:$A$496,0),MATCH(D$2,'[5]Budget original'!$A$2:$AO$2,0))</f>
        <v>0</v>
      </c>
      <c r="E240" s="83">
        <f>+INDEX('[5]Budget original'!$A$2:$AO$496,MATCH($A240,'[5]Budget original'!$A$2:$A$496,0),MATCH(E$2,'[5]Budget original'!$A$2:$AO$2,0))</f>
        <v>75762.233575036022</v>
      </c>
      <c r="F240" s="83">
        <f>+INDEX('[5]Budget original'!$A$2:$AO$496,MATCH($A240,'[5]Budget original'!$A$2:$A$496,0),MATCH(F$2,'[5]Budget original'!$A$2:$AO$2,0))</f>
        <v>17261.50348750145</v>
      </c>
      <c r="G240" s="163">
        <f>+INDEX('[5]Budget révisé'!$A$2:$AO$496,MATCH($A240,'[5]Budget révisé'!$A$2:$A$496,0),MATCH(G$2,'[5]Budget révisé'!$A$2:$AO$2,0))</f>
        <v>0</v>
      </c>
      <c r="H240" s="83">
        <f>+INDEX('[5]Budget révisé'!$A$2:$AO$496,MATCH($A240,'[5]Budget révisé'!$A$2:$A$496,0),MATCH(H$2,'[5]Budget révisé'!$A$2:$AO$2,0))</f>
        <v>75762.233575036022</v>
      </c>
      <c r="I240" s="83">
        <f>+INDEX('[5]Budget révisé'!$A$2:$AO$496,MATCH($A240,'[5]Budget révisé'!$A$2:$A$496,0),MATCH(I$2,'[5]Budget révisé'!$A$2:$AO$2,0))</f>
        <v>17261.50348750145</v>
      </c>
      <c r="J240" s="61">
        <f>-SUMIFS([5]BV_Data_An_Cour!$O:$O,[5]BV_Data_An_Cour!$U:$U,$B240,[5]BV_Data_An_Cour!$V:$V,$C240,[5]BV_Data_An_Cour!$W:$W,J$2)</f>
        <v>68</v>
      </c>
      <c r="K240" s="31">
        <f>-SUMIFS([5]BV_Data_An_Cour!$O:$O,[5]BV_Data_An_Cour!$X:$X,"Oui",[5]BV_Data_An_Cour!$U:$U,$B240,[5]BV_Data_An_Cour!$V:$V,$C240)</f>
        <v>97268.499999999985</v>
      </c>
      <c r="L240" s="34">
        <f>-SUMIFS([5]BV_Data_An_Cour!$O:$O,[5]BV_Data_An_Cour!$U:$U,$B240,[5]BV_Data_An_Cour!$V:$V,$C240,[5]BV_Data_An_Cour!$W:$W,$L$2)</f>
        <v>19241.969999999994</v>
      </c>
      <c r="M240" s="164">
        <f>IFERROR((K240-H240)/H240,0)</f>
        <v>0.2838652638674366</v>
      </c>
      <c r="N240" s="60">
        <f>L240-I240</f>
        <v>1980.466512498544</v>
      </c>
      <c r="O240" s="61">
        <f>-SUMIFS([5]BV_Data_An_Prec!$O:$O,[5]BV_Data_An_Prec!$U:$U,$B240,[5]BV_Data_An_Prec!$V:$V,$C240,[5]BV_Data_An_Prec!$W:$W,O$2)</f>
        <v>89</v>
      </c>
      <c r="P240" s="31">
        <f>-SUMIFS([5]BV_Data_An_Prec!$O:$O,[5]BV_Data_An_Prec!$X:$X,"Oui",[5]BV_Data_An_Prec!$U:$U,$B240,[5]BV_Data_An_Prec!$V:$V,$C240)</f>
        <v>105377.40000000001</v>
      </c>
      <c r="Q240" s="34">
        <f>-SUMIFS([5]BV_Data_An_Prec!$O:$O,[5]BV_Data_An_Prec!$U:$U,$B240,[5]BV_Data_An_Prec!$V:$V,$C240,[5]BV_Data_An_Prec!$W:$W,$L$2)</f>
        <v>24314.870000000003</v>
      </c>
      <c r="R240" s="164">
        <f>IF(O240=0,0,J240/O240)</f>
        <v>0.7640449438202247</v>
      </c>
      <c r="S240" s="86">
        <f>L240-Q240</f>
        <v>-5072.9000000000087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0"/>
        <v>Carrosserie% profit / ventes</v>
      </c>
      <c r="B241" s="12" t="s">
        <v>100</v>
      </c>
      <c r="C241" s="30" t="s">
        <v>88</v>
      </c>
      <c r="D241" s="81"/>
      <c r="E241" s="150"/>
      <c r="F241" s="165">
        <f>IFERROR(F240/E240,0)</f>
        <v>0.22783783783783784</v>
      </c>
      <c r="G241" s="42"/>
      <c r="H241" s="150"/>
      <c r="I241" s="165">
        <f>IFERROR(I240/H240,0)</f>
        <v>0.22783783783783784</v>
      </c>
      <c r="J241" s="61"/>
      <c r="K241" s="14"/>
      <c r="L241" s="165">
        <f>IFERROR(L240/K240,0)</f>
        <v>0.19782324185116454</v>
      </c>
      <c r="M241" s="164"/>
      <c r="N241" s="60">
        <f>IFERROR(N240/M240,0)</f>
        <v>6976.783582169498</v>
      </c>
      <c r="O241" s="61"/>
      <c r="P241" s="14"/>
      <c r="Q241" s="165">
        <f>IFERROR(Q240/P240,0)</f>
        <v>0.23074084196421624</v>
      </c>
      <c r="R241" s="61"/>
      <c r="S241" s="86">
        <f>IFERROR(S240/R240,0)</f>
        <v>-6639.5308823529531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0"/>
        <v>Carrosserie</v>
      </c>
      <c r="B242" s="12" t="s">
        <v>100</v>
      </c>
      <c r="C242" s="30"/>
      <c r="D242" s="81"/>
      <c r="E242" s="216"/>
      <c r="F242" s="217"/>
      <c r="G242" s="141"/>
      <c r="H242" s="216"/>
      <c r="I242" s="217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0"/>
        <v>CarrosserieM/O Carrosserie</v>
      </c>
      <c r="B243" s="12" t="s">
        <v>100</v>
      </c>
      <c r="C243" s="15" t="s">
        <v>102</v>
      </c>
      <c r="D243" s="111">
        <f>+INDEX('[5]Budget original'!$A$2:$AO$496,MATCH($A243,'[5]Budget original'!$A$2:$A$496,0),MATCH(D$2,'[5]Budget original'!$A$2:$AO$2,0))</f>
        <v>0</v>
      </c>
      <c r="E243" s="83">
        <f>+INDEX('[5]Budget original'!$A$2:$AO$496,MATCH($A243,'[5]Budget original'!$A$2:$A$496,0),MATCH(E$2,'[5]Budget original'!$A$2:$AO$2,0))</f>
        <v>0</v>
      </c>
      <c r="F243" s="83">
        <f>+INDEX('[5]Budget original'!$A$2:$AO$496,MATCH($A243,'[5]Budget original'!$A$2:$A$496,0),MATCH(F$2,'[5]Budget original'!$A$2:$AO$2,0))</f>
        <v>0</v>
      </c>
      <c r="G243" s="219">
        <f>+INDEX('[5]Budget révisé'!$A$2:$AO$496,MATCH($A243,'[5]Budget révisé'!$A$2:$A$496,0),MATCH(G$2,'[5]Budget révisé'!$A$2:$AO$2,0))</f>
        <v>0</v>
      </c>
      <c r="H243" s="83">
        <f>+INDEX('[5]Budget révisé'!$A$2:$AO$496,MATCH($A243,'[5]Budget révisé'!$A$2:$A$496,0),MATCH(H$2,'[5]Budget révisé'!$A$2:$AO$2,0))</f>
        <v>0</v>
      </c>
      <c r="I243" s="83">
        <f>+INDEX('[5]Budget révisé'!$A$2:$AO$496,MATCH($A243,'[5]Budget révisé'!$A$2:$A$496,0),MATCH(I$2,'[5]Budget révisé'!$A$2:$AO$2,0))</f>
        <v>0</v>
      </c>
      <c r="J243" s="172">
        <f>SUMIFS([5]BV_Data_An_Cour!$C$1:$C$636,[5]BV_Data_An_Cour!$V$1:$V$636,$C243,[5]BV_Data_An_Cour!$U$1:$U$636,$K$235)</f>
        <v>0</v>
      </c>
      <c r="K243" s="173">
        <f>-SUMIFS([5]BV_Data_An_Cour!$O:$O,[5]BV_Data_An_Cour!$X:$X,"Oui",[5]BV_Data_An_Cour!$U:$U,$B243,[5]BV_Data_An_Cour!$V:$V,$C243)</f>
        <v>0</v>
      </c>
      <c r="L243" s="114">
        <f>-SUMIFS([5]BV_Data_An_Cour!$O:$O,[5]BV_Data_An_Cour!$U:$U,$B243,[5]BV_Data_An_Cour!$V:$V,$C243,[5]BV_Data_An_Cour!$W:$W,$L$2)</f>
        <v>0</v>
      </c>
      <c r="M243" s="182" t="e">
        <f>(K243-H243)/H243</f>
        <v>#DIV/0!</v>
      </c>
      <c r="N243" s="115">
        <f>L243-I243</f>
        <v>0</v>
      </c>
      <c r="O243" s="172">
        <f>SUMIFS([5]BV_Data_An_Prec!$C$1:$C$637,[5]BV_Data_An_Prec!$V$1:$V$637,$C243,[5]BV_Data_An_Prec!$U$1:$U$637,$K$235)</f>
        <v>0</v>
      </c>
      <c r="P243" s="173">
        <f>-SUMIFS([5]BV_Data_An_Prec!$O:$O,[5]BV_Data_An_Prec!$X:$X,"Oui",[5]BV_Data_An_Prec!$U:$U,$B243,[5]BV_Data_An_Prec!$V:$V,$C243)</f>
        <v>0</v>
      </c>
      <c r="Q243" s="114">
        <f>-SUMIFS([5]BV_Data_An_Prec!$O:$O,[5]BV_Data_An_Prec!$U:$U,$B243,[5]BV_Data_An_Prec!$V:$V,$C243,[5]BV_Data_An_Prec!$W:$W,$L$2)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0"/>
        <v>Carrosserie% profit / ventes</v>
      </c>
      <c r="B244" s="12" t="s">
        <v>100</v>
      </c>
      <c r="C244" s="30" t="s">
        <v>88</v>
      </c>
      <c r="D244" s="14"/>
      <c r="E244" s="150"/>
      <c r="F244" s="165" t="e">
        <f>F243/E243</f>
        <v>#DIV/0!</v>
      </c>
      <c r="G244" s="42"/>
      <c r="H244" s="150"/>
      <c r="I244" s="165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0"/>
        <v>Carrosserie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0"/>
        <v>CarrosserieM/O Esthétique Carr.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f>SUMIFS([5]BV_Data_An_Cour!$C$1:$C$636,[5]BV_Data_An_Cour!$V$1:$V$636,$C246,[5]BV_Data_An_Cour!$U$1:$U$636,$K$235)</f>
        <v>0</v>
      </c>
      <c r="K246" s="31">
        <f>-SUMIFS([5]BV_Data_An_Cour!$O:$O,[5]BV_Data_An_Cour!$X:$X,"Oui",[5]BV_Data_An_Cour!$U:$U,$B246,[5]BV_Data_An_Cour!$V:$V,$C246)</f>
        <v>0</v>
      </c>
      <c r="L246" s="34">
        <f>-SUMIFS([5]BV_Data_An_Cour!$O:$O,[5]BV_Data_An_Cour!$U:$U,$B246,[5]BV_Data_An_Cour!$V:$V,$C246,[5]BV_Data_An_Cour!$W:$W,$L$2)</f>
        <v>0</v>
      </c>
      <c r="M246" s="164" t="e">
        <f>(K246-H246)/H246</f>
        <v>#DIV/0!</v>
      </c>
      <c r="N246" s="115">
        <f>L246-I246</f>
        <v>0</v>
      </c>
      <c r="O246" s="172">
        <f>SUMIFS([5]BV_Data_An_Prec!$C$1:$C$637,[5]BV_Data_An_Prec!$V$1:$V$637,$C246,[5]BV_Data_An_Prec!$U$1:$U$637,$K$235)</f>
        <v>0</v>
      </c>
      <c r="P246" s="31">
        <f>-SUMIFS([5]BV_Data_An_Prec!$O:$O,[5]BV_Data_An_Prec!$X:$X,"Oui",[5]BV_Data_An_Prec!$U:$U,$B246,[5]BV_Data_An_Prec!$V:$V,$C246)</f>
        <v>0</v>
      </c>
      <c r="Q246" s="34">
        <f>-SUMIFS([5]BV_Data_An_Prec!$O:$O,[5]BV_Data_An_Prec!$U:$U,$B246,[5]BV_Data_An_Prec!$V:$V,$C246,[5]BV_Data_An_Prec!$W:$W,$L$2)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0"/>
        <v>Carrosserie% profit / ventes</v>
      </c>
      <c r="B247" s="12" t="s">
        <v>100</v>
      </c>
      <c r="C247" s="30" t="s">
        <v>88</v>
      </c>
      <c r="D247" s="14"/>
      <c r="E247" s="14"/>
      <c r="F247" s="165" t="e">
        <f>F246/E246</f>
        <v>#DIV/0!</v>
      </c>
      <c r="G247" s="42"/>
      <c r="H247" s="14"/>
      <c r="I247" s="165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0"/>
        <v>Carrosserie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0"/>
        <v>CarrosserieTotal Mécanique</v>
      </c>
      <c r="B249" s="12" t="s">
        <v>100</v>
      </c>
      <c r="C249" s="63" t="s">
        <v>97</v>
      </c>
      <c r="D249" s="64"/>
      <c r="E249" s="64">
        <f t="shared" ref="E249:F249" si="81">E243+E246+E240</f>
        <v>75762.233575036022</v>
      </c>
      <c r="F249" s="66">
        <f t="shared" si="81"/>
        <v>17261.50348750145</v>
      </c>
      <c r="G249" s="67"/>
      <c r="H249" s="64">
        <f t="shared" ref="H249:I249" si="82">H243+H246+H240</f>
        <v>75762.233575036022</v>
      </c>
      <c r="I249" s="66">
        <f t="shared" si="82"/>
        <v>17261.50348750145</v>
      </c>
      <c r="J249" s="67"/>
      <c r="K249" s="64">
        <f t="shared" ref="K249:L249" si="83">K243+K246+K240</f>
        <v>97268.499999999985</v>
      </c>
      <c r="L249" s="66">
        <f t="shared" si="83"/>
        <v>19241.969999999994</v>
      </c>
      <c r="M249" s="215">
        <f>L250-I250</f>
        <v>-3.0014595986673304E-2</v>
      </c>
      <c r="N249" s="66">
        <f>L249-I249</f>
        <v>1980.466512498544</v>
      </c>
      <c r="O249" s="67"/>
      <c r="P249" s="64">
        <f t="shared" ref="P249:Q249" si="84">P243+P246+P240</f>
        <v>105377.40000000001</v>
      </c>
      <c r="Q249" s="66">
        <f t="shared" si="84"/>
        <v>24314.870000000003</v>
      </c>
      <c r="R249" s="215">
        <f>L250-Q250</f>
        <v>-3.2917600113051698E-2</v>
      </c>
      <c r="S249" s="69">
        <f>L249-Q249</f>
        <v>-5072.9000000000087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0"/>
        <v>Carrosserie</v>
      </c>
      <c r="B250" s="12" t="s">
        <v>100</v>
      </c>
      <c r="C250" s="70"/>
      <c r="D250" s="71"/>
      <c r="E250" s="71"/>
      <c r="F250" s="75">
        <f>F249/E249</f>
        <v>0.22783783783783784</v>
      </c>
      <c r="G250" s="73"/>
      <c r="H250" s="71"/>
      <c r="I250" s="75">
        <f>I249/H249</f>
        <v>0.22783783783783784</v>
      </c>
      <c r="J250" s="73"/>
      <c r="K250" s="71"/>
      <c r="L250" s="75">
        <f>IF(K249=0,0,L249/K249)</f>
        <v>0.19782324185116454</v>
      </c>
      <c r="M250" s="74"/>
      <c r="N250" s="75">
        <f>N249/I249</f>
        <v>0.11473314094178076</v>
      </c>
      <c r="O250" s="73"/>
      <c r="P250" s="71"/>
      <c r="Q250" s="75">
        <f>IF(P249=0,0,Q249/P249)</f>
        <v>0.23074084196421624</v>
      </c>
      <c r="R250" s="74"/>
      <c r="S250" s="76">
        <f>IF(R249=0,0,S249/R249)</f>
        <v>154109.04751797576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0"/>
        <v>Carrosserie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0"/>
        <v>CarrosserieDEPENSES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0"/>
        <v>CarrosserieSalaires cadres</v>
      </c>
      <c r="B253" s="12" t="s">
        <v>100</v>
      </c>
      <c r="C253" s="108" t="s">
        <v>42</v>
      </c>
      <c r="D253" s="14"/>
      <c r="E253" s="14"/>
      <c r="F253" s="31">
        <f>+INDEX('[5]Budget original'!$A$2:$AO$496,MATCH($A253,'[5]Budget original'!$A$2:$A$496,0),MATCH(F$2,'[5]Budget original'!$A$2:$AO$2,0))</f>
        <v>283.27471264367819</v>
      </c>
      <c r="G253" s="42"/>
      <c r="H253" s="14"/>
      <c r="I253" s="31">
        <f>+INDEX('[5]Budget révisé'!$A$2:$AO$496,MATCH($A253,'[5]Budget révisé'!$A$2:$A$496,0),MATCH(I$2,'[5]Budget révisé'!$A$2:$AO$2,0))</f>
        <v>283.27471264367819</v>
      </c>
      <c r="J253" s="42"/>
      <c r="K253" s="14"/>
      <c r="L253" s="34">
        <f>SUMIFS([5]BV_Data_An_Cour!$O:$O,[5]BV_Data_An_Cour!$U:$U,$B253,[5]BV_Data_An_Cour!$V:$V,$C253,[5]BV_Data_An_Cour!$W:$W,$L$2)</f>
        <v>809.12</v>
      </c>
      <c r="M253" s="42"/>
      <c r="N253" s="60">
        <f t="shared" ref="N253:N283" si="85">L253-I253</f>
        <v>525.84528735632182</v>
      </c>
      <c r="O253" s="42"/>
      <c r="P253" s="14"/>
      <c r="Q253" s="34">
        <f>SUMIFS([5]BV_Data_An_Prec!$O:$O,[5]BV_Data_An_Prec!$U:$U,$B253,[5]BV_Data_An_Prec!$V:$V,$C253,[5]BV_Data_An_Prec!$W:$W,$L$2)</f>
        <v>416.26</v>
      </c>
      <c r="R253" s="42"/>
      <c r="S253" s="35">
        <f>L253-Q253</f>
        <v>392.86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0"/>
        <v>CarrosserieSalaires commis</v>
      </c>
      <c r="B254" s="12" t="s">
        <v>100</v>
      </c>
      <c r="C254" s="109" t="s">
        <v>43</v>
      </c>
      <c r="D254" s="82"/>
      <c r="E254" s="14"/>
      <c r="F254" s="23">
        <f>+INDEX('[5]Budget original'!$A$2:$AO$496,MATCH($A254,'[5]Budget original'!$A$2:$A$496,0),MATCH(F$2,'[5]Budget original'!$A$2:$AO$2,0))</f>
        <v>531.86002864367822</v>
      </c>
      <c r="G254" s="84"/>
      <c r="H254" s="14"/>
      <c r="I254" s="23">
        <f>+INDEX('[5]Budget révisé'!$A$2:$AO$496,MATCH($A254,'[5]Budget révisé'!$A$2:$A$496,0),MATCH(I$2,'[5]Budget révisé'!$A$2:$AO$2,0))</f>
        <v>531.86002864367822</v>
      </c>
      <c r="J254" s="42"/>
      <c r="K254" s="14"/>
      <c r="L254" s="34">
        <f>SUMIFS([5]BV_Data_An_Cour!$O:$O,[5]BV_Data_An_Cour!$U:$U,$B254,[5]BV_Data_An_Cour!$V:$V,$C254,[5]BV_Data_An_Cour!$W:$W,$L$2)</f>
        <v>526.82000000000005</v>
      </c>
      <c r="M254" s="42"/>
      <c r="N254" s="60">
        <f t="shared" si="85"/>
        <v>-5.0400286436781698</v>
      </c>
      <c r="O254" s="42"/>
      <c r="P254" s="14"/>
      <c r="Q254" s="34">
        <f>SUMIFS([5]BV_Data_An_Prec!$O:$O,[5]BV_Data_An_Prec!$U:$U,$B254,[5]BV_Data_An_Prec!$V:$V,$C254,[5]BV_Data_An_Prec!$W:$W,$L$2)</f>
        <v>1375.04</v>
      </c>
      <c r="R254" s="42"/>
      <c r="S254" s="86">
        <f>L254-Q254</f>
        <v>-848.21999999999991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0"/>
        <v>CarrosserieSalaires autres</v>
      </c>
      <c r="B255" s="12" t="s">
        <v>100</v>
      </c>
      <c r="C255" s="108" t="s">
        <v>44</v>
      </c>
      <c r="D255" s="110"/>
      <c r="E255" s="111"/>
      <c r="F255" s="31">
        <f>+INDEX('[5]Budget original'!$A$2:$AO$496,MATCH($A255,'[5]Budget original'!$A$2:$A$496,0),MATCH(F$2,'[5]Budget original'!$A$2:$AO$2,0))</f>
        <v>3297.5117336643675</v>
      </c>
      <c r="G255" s="112"/>
      <c r="H255" s="111"/>
      <c r="I255" s="31">
        <f>+INDEX('[5]Budget révisé'!$A$2:$AO$496,MATCH($A255,'[5]Budget révisé'!$A$2:$A$496,0),MATCH(I$2,'[5]Budget révisé'!$A$2:$AO$2,0))</f>
        <v>3297.5117336643675</v>
      </c>
      <c r="J255" s="113"/>
      <c r="K255" s="111"/>
      <c r="L255" s="114">
        <f>SUMIFS([5]BV_Data_An_Cour!$O:$O,[5]BV_Data_An_Cour!$U:$U,$B255,[5]BV_Data_An_Cour!$V:$V,$C255,[5]BV_Data_An_Cour!$W:$W,$L$2)</f>
        <v>3668.29</v>
      </c>
      <c r="M255" s="113"/>
      <c r="N255" s="115">
        <f t="shared" si="85"/>
        <v>370.77826633563245</v>
      </c>
      <c r="O255" s="113"/>
      <c r="P255" s="111"/>
      <c r="Q255" s="114">
        <f>SUMIFS([5]BV_Data_An_Prec!$O:$O,[5]BV_Data_An_Prec!$U:$U,$B255,[5]BV_Data_An_Prec!$V:$V,$C255,[5]BV_Data_An_Prec!$W:$W,$L$2)</f>
        <v>6893.48</v>
      </c>
      <c r="R255" s="113"/>
      <c r="S255" s="116">
        <f t="shared" ref="S255:S284" si="86">L255-Q255</f>
        <v>-3225.1899999999996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0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+INDEX('[5]Budget original'!$A$2:$AO$496,MATCH($A256,'[5]Budget original'!$A$2:$A$496,0),MATCH(F$2,'[5]Budget original'!$A$2:$AO$2,0))</f>
        <v>3462.0771724137931</v>
      </c>
      <c r="G256" s="84"/>
      <c r="H256" s="14"/>
      <c r="I256" s="31">
        <f>+INDEX('[5]Budget révisé'!$A$2:$AO$496,MATCH($A256,'[5]Budget révisé'!$A$2:$A$496,0),MATCH(I$2,'[5]Budget révisé'!$A$2:$AO$2,0))</f>
        <v>3462.0771724137931</v>
      </c>
      <c r="J256" s="42"/>
      <c r="K256" s="14"/>
      <c r="L256" s="34">
        <f>SUMIFS([5]BV_Data_An_Cour!$O:$O,[5]BV_Data_An_Cour!$U:$U,$B256,[5]BV_Data_An_Cour!$V:$V,$C256,[5]BV_Data_An_Cour!$W:$W,$L$2)</f>
        <v>2938.51</v>
      </c>
      <c r="M256" s="42"/>
      <c r="N256" s="60">
        <f t="shared" si="85"/>
        <v>-523.56717241379283</v>
      </c>
      <c r="O256" s="42"/>
      <c r="P256" s="14"/>
      <c r="Q256" s="34">
        <f>SUMIFS([5]BV_Data_An_Prec!$O:$O,[5]BV_Data_An_Prec!$U:$U,$B256,[5]BV_Data_An_Prec!$V:$V,$C256,[5]BV_Data_An_Prec!$W:$W,$L$2)</f>
        <v>5674.5</v>
      </c>
      <c r="R256" s="42"/>
      <c r="S256" s="86">
        <f t="shared" si="86"/>
        <v>-2735.99</v>
      </c>
      <c r="T256" s="14"/>
      <c r="U256" s="532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0"/>
        <v>Carrosserie[...]</v>
      </c>
      <c r="B257" s="12" t="s">
        <v>100</v>
      </c>
      <c r="C257" s="30" t="s">
        <v>21</v>
      </c>
      <c r="D257" s="82"/>
      <c r="E257" s="14"/>
      <c r="F257" s="31">
        <f>+INDEX('[5]Budget original'!$A$2:$AO$496,MATCH($A257,'[5]Budget original'!$A$2:$A$496,0),MATCH(F$2,'[5]Budget original'!$A$2:$AO$2,0))</f>
        <v>0</v>
      </c>
      <c r="G257" s="84"/>
      <c r="H257" s="14"/>
      <c r="I257" s="31">
        <f>+INDEX('[5]Budget révisé'!$A$2:$AO$496,MATCH($A257,'[5]Budget révisé'!$A$2:$A$496,0),MATCH(I$2,'[5]Budget révisé'!$A$2:$AO$2,0))</f>
        <v>0</v>
      </c>
      <c r="J257" s="42"/>
      <c r="K257" s="14"/>
      <c r="L257" s="34">
        <f>SUMIFS([5]BV_Data_An_Cour!$O:$O,[5]BV_Data_An_Cour!$U:$U,$B257,[5]BV_Data_An_Cour!$V:$V,$C257,[5]BV_Data_An_Cour!$W:$W,$L$2)</f>
        <v>0</v>
      </c>
      <c r="M257" s="42"/>
      <c r="N257" s="60">
        <f t="shared" si="85"/>
        <v>0</v>
      </c>
      <c r="O257" s="42"/>
      <c r="P257" s="14"/>
      <c r="Q257" s="34">
        <f>SUMIFS([5]BV_Data_An_Prec!$O:$O,[5]BV_Data_An_Prec!$U:$U,$B257,[5]BV_Data_An_Prec!$V:$V,$C257,[5]BV_Data_An_Prec!$W:$W,$L$2)</f>
        <v>0</v>
      </c>
      <c r="R257" s="42"/>
      <c r="S257" s="86">
        <f t="shared" si="86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0"/>
        <v>Carrosserie[...]</v>
      </c>
      <c r="B258" s="12" t="s">
        <v>100</v>
      </c>
      <c r="C258" s="30" t="s">
        <v>21</v>
      </c>
      <c r="D258" s="82"/>
      <c r="E258" s="14"/>
      <c r="F258" s="31">
        <f>+INDEX('[5]Budget original'!$A$2:$AO$496,MATCH($A258,'[5]Budget original'!$A$2:$A$496,0),MATCH(F$2,'[5]Budget original'!$A$2:$AO$2,0))</f>
        <v>0</v>
      </c>
      <c r="G258" s="84"/>
      <c r="H258" s="14"/>
      <c r="I258" s="31">
        <f>+INDEX('[5]Budget révisé'!$A$2:$AO$496,MATCH($A258,'[5]Budget révisé'!$A$2:$A$496,0),MATCH(I$2,'[5]Budget révisé'!$A$2:$AO$2,0))</f>
        <v>0</v>
      </c>
      <c r="J258" s="42"/>
      <c r="K258" s="14"/>
      <c r="L258" s="34">
        <f>SUMIFS([5]BV_Data_An_Cour!$O:$O,[5]BV_Data_An_Cour!$U:$U,$B258,[5]BV_Data_An_Cour!$V:$V,$C258,[5]BV_Data_An_Cour!$W:$W,$L$2)</f>
        <v>0</v>
      </c>
      <c r="M258" s="42"/>
      <c r="N258" s="60">
        <f t="shared" si="85"/>
        <v>0</v>
      </c>
      <c r="O258" s="42"/>
      <c r="P258" s="14"/>
      <c r="Q258" s="34">
        <f>SUMIFS([5]BV_Data_An_Prec!$O:$O,[5]BV_Data_An_Prec!$U:$U,$B258,[5]BV_Data_An_Prec!$V:$V,$C258,[5]BV_Data_An_Prec!$W:$W,$L$2)</f>
        <v>0</v>
      </c>
      <c r="R258" s="42"/>
      <c r="S258" s="86">
        <f t="shared" si="86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0"/>
        <v>Carrosserie[...]</v>
      </c>
      <c r="B259" s="12" t="s">
        <v>100</v>
      </c>
      <c r="C259" s="30" t="s">
        <v>21</v>
      </c>
      <c r="D259" s="82"/>
      <c r="E259" s="14"/>
      <c r="F259" s="31">
        <f>+INDEX('[5]Budget original'!$A$2:$AO$496,MATCH($A259,'[5]Budget original'!$A$2:$A$496,0),MATCH(F$2,'[5]Budget original'!$A$2:$AO$2,0))</f>
        <v>0</v>
      </c>
      <c r="G259" s="84"/>
      <c r="H259" s="14"/>
      <c r="I259" s="31">
        <f>+INDEX('[5]Budget révisé'!$A$2:$AO$496,MATCH($A259,'[5]Budget révisé'!$A$2:$A$496,0),MATCH(I$2,'[5]Budget révisé'!$A$2:$AO$2,0))</f>
        <v>0</v>
      </c>
      <c r="J259" s="42"/>
      <c r="K259" s="14"/>
      <c r="L259" s="34">
        <f>SUMIFS([5]BV_Data_An_Cour!$O:$O,[5]BV_Data_An_Cour!$U:$U,$B259,[5]BV_Data_An_Cour!$V:$V,$C259,[5]BV_Data_An_Cour!$W:$W,$L$2)</f>
        <v>0</v>
      </c>
      <c r="M259" s="42"/>
      <c r="N259" s="60">
        <f t="shared" si="85"/>
        <v>0</v>
      </c>
      <c r="O259" s="42"/>
      <c r="P259" s="14"/>
      <c r="Q259" s="34">
        <f>SUMIFS([5]BV_Data_An_Prec!$O:$O,[5]BV_Data_An_Prec!$U:$U,$B259,[5]BV_Data_An_Prec!$V:$V,$C259,[5]BV_Data_An_Prec!$W:$W,$L$2)</f>
        <v>0</v>
      </c>
      <c r="R259" s="42"/>
      <c r="S259" s="86">
        <f t="shared" si="86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0"/>
        <v>CarrosserieSalaires en absences</v>
      </c>
      <c r="B260" s="12" t="s">
        <v>100</v>
      </c>
      <c r="C260" s="109" t="s">
        <v>46</v>
      </c>
      <c r="D260" s="82"/>
      <c r="E260" s="14"/>
      <c r="F260" s="23">
        <f>+INDEX('[5]Budget original'!$A$2:$AO$496,MATCH($A260,'[5]Budget original'!$A$2:$A$496,0),MATCH(F$2,'[5]Budget original'!$A$2:$AO$2,0))</f>
        <v>908.96683768386197</v>
      </c>
      <c r="G260" s="84"/>
      <c r="H260" s="14"/>
      <c r="I260" s="23">
        <f>+INDEX('[5]Budget révisé'!$A$2:$AO$496,MATCH($A260,'[5]Budget révisé'!$A$2:$A$496,0),MATCH(I$2,'[5]Budget révisé'!$A$2:$AO$2,0))</f>
        <v>908.96683768386197</v>
      </c>
      <c r="J260" s="42"/>
      <c r="K260" s="14"/>
      <c r="L260" s="34">
        <f>SUMIFS([5]BV_Data_An_Cour!$O:$O,[5]BV_Data_An_Cour!$U:$U,$B260,[5]BV_Data_An_Cour!$V:$V,$C260,[5]BV_Data_An_Cour!$W:$W,$L$2)</f>
        <v>178.34</v>
      </c>
      <c r="M260" s="42"/>
      <c r="N260" s="60">
        <f t="shared" si="85"/>
        <v>-730.62683768386194</v>
      </c>
      <c r="O260" s="42"/>
      <c r="P260" s="14"/>
      <c r="Q260" s="34">
        <f>SUMIFS([5]BV_Data_An_Prec!$O:$O,[5]BV_Data_An_Prec!$U:$U,$B260,[5]BV_Data_An_Prec!$V:$V,$C260,[5]BV_Data_An_Prec!$W:$W,$L$2)</f>
        <v>1201.04</v>
      </c>
      <c r="R260" s="42"/>
      <c r="S260" s="86">
        <f t="shared" si="86"/>
        <v>-1022.6999999999999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0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+INDEX('[5]Budget original'!$A$2:$AO$496,MATCH($A261,'[5]Budget original'!$A$2:$A$496,0),MATCH(F$2,'[5]Budget original'!$A$2:$AO$2,0))</f>
        <v>908.96683768386197</v>
      </c>
      <c r="G261" s="112"/>
      <c r="H261" s="111"/>
      <c r="I261" s="31">
        <f>+INDEX('[5]Budget révisé'!$A$2:$AO$496,MATCH($A261,'[5]Budget révisé'!$A$2:$A$496,0),MATCH(I$2,'[5]Budget révisé'!$A$2:$AO$2,0))</f>
        <v>908.96683768386197</v>
      </c>
      <c r="J261" s="113"/>
      <c r="K261" s="111"/>
      <c r="L261" s="114">
        <f>SUMIFS([5]BV_Data_An_Cour!$O:$O,[5]BV_Data_An_Cour!$U:$U,$B261,[5]BV_Data_An_Cour!$V:$V,$C261,[5]BV_Data_An_Cour!$W:$W,$L$2)</f>
        <v>894.88</v>
      </c>
      <c r="M261" s="113"/>
      <c r="N261" s="115">
        <f t="shared" si="85"/>
        <v>-14.086837683861972</v>
      </c>
      <c r="O261" s="113"/>
      <c r="P261" s="111"/>
      <c r="Q261" s="114">
        <f>SUMIFS([5]BV_Data_An_Prec!$O:$O,[5]BV_Data_An_Prec!$U:$U,$B261,[5]BV_Data_An_Prec!$V:$V,$C261,[5]BV_Data_An_Prec!$W:$W,$L$2)</f>
        <v>1191.94</v>
      </c>
      <c r="R261" s="113"/>
      <c r="S261" s="116">
        <f t="shared" si="86"/>
        <v>-297.06000000000006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0"/>
        <v>CarrosserieBénéfices marginaux</v>
      </c>
      <c r="B262" s="12" t="s">
        <v>100</v>
      </c>
      <c r="C262" s="108" t="s">
        <v>48</v>
      </c>
      <c r="D262" s="82"/>
      <c r="E262" s="14"/>
      <c r="F262" s="31">
        <f>+INDEX('[5]Budget original'!$A$2:$AO$496,MATCH($A262,'[5]Budget original'!$A$2:$A$496,0),MATCH(F$2,'[5]Budget original'!$A$2:$AO$2,0))</f>
        <v>651.42623367343435</v>
      </c>
      <c r="G262" s="84"/>
      <c r="H262" s="14"/>
      <c r="I262" s="31">
        <f>+INDEX('[5]Budget révisé'!$A$2:$AO$496,MATCH($A262,'[5]Budget révisé'!$A$2:$A$496,0),MATCH(I$2,'[5]Budget révisé'!$A$2:$AO$2,0))</f>
        <v>651.42623367343435</v>
      </c>
      <c r="J262" s="42"/>
      <c r="K262" s="14"/>
      <c r="L262" s="34">
        <f>SUMIFS([5]BV_Data_An_Cour!$O:$O,[5]BV_Data_An_Cour!$U:$U,$B262,[5]BV_Data_An_Cour!$V:$V,$C262,[5]BV_Data_An_Cour!$W:$W,$L$2)</f>
        <v>641.33000000000004</v>
      </c>
      <c r="M262" s="42"/>
      <c r="N262" s="60">
        <f t="shared" si="85"/>
        <v>-10.096233673434313</v>
      </c>
      <c r="O262" s="42"/>
      <c r="P262" s="14"/>
      <c r="Q262" s="34">
        <f>SUMIFS([5]BV_Data_An_Prec!$O:$O,[5]BV_Data_An_Prec!$U:$U,$B262,[5]BV_Data_An_Prec!$V:$V,$C262,[5]BV_Data_An_Prec!$W:$W,$L$2)</f>
        <v>532.33000000000004</v>
      </c>
      <c r="R262" s="42"/>
      <c r="S262" s="86">
        <f t="shared" si="86"/>
        <v>109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0"/>
        <v>CarrosserieCsst</v>
      </c>
      <c r="B263" s="12" t="s">
        <v>100</v>
      </c>
      <c r="C263" s="108" t="s">
        <v>49</v>
      </c>
      <c r="D263" s="82"/>
      <c r="E263" s="14"/>
      <c r="F263" s="31">
        <f>+INDEX('[5]Budget original'!$A$2:$AO$496,MATCH($A263,'[5]Budget original'!$A$2:$A$496,0),MATCH(F$2,'[5]Budget original'!$A$2:$AO$2,0))</f>
        <v>151.49447294731033</v>
      </c>
      <c r="G263" s="84"/>
      <c r="H263" s="14"/>
      <c r="I263" s="31">
        <f>+INDEX('[5]Budget révisé'!$A$2:$AO$496,MATCH($A263,'[5]Budget révisé'!$A$2:$A$496,0),MATCH(I$2,'[5]Budget révisé'!$A$2:$AO$2,0))</f>
        <v>151.49447294731033</v>
      </c>
      <c r="J263" s="42"/>
      <c r="K263" s="14"/>
      <c r="L263" s="34">
        <f>SUMIFS([5]BV_Data_An_Cour!$O:$O,[5]BV_Data_An_Cour!$U:$U,$B263,[5]BV_Data_An_Cour!$V:$V,$C263,[5]BV_Data_An_Cour!$W:$W,$L$2)</f>
        <v>149.15</v>
      </c>
      <c r="M263" s="42"/>
      <c r="N263" s="60">
        <f t="shared" si="85"/>
        <v>-2.3444729473103223</v>
      </c>
      <c r="O263" s="42"/>
      <c r="P263" s="14"/>
      <c r="Q263" s="34">
        <f>SUMIFS([5]BV_Data_An_Prec!$O:$O,[5]BV_Data_An_Prec!$U:$U,$B263,[5]BV_Data_An_Prec!$V:$V,$C263,[5]BV_Data_An_Prec!$W:$W,$L$2)</f>
        <v>271.14999999999998</v>
      </c>
      <c r="R263" s="42"/>
      <c r="S263" s="86">
        <f t="shared" si="86"/>
        <v>-121.99999999999997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0"/>
        <v>Carrosserie[...]</v>
      </c>
      <c r="B264" s="12" t="s">
        <v>100</v>
      </c>
      <c r="C264" s="30" t="s">
        <v>21</v>
      </c>
      <c r="D264" s="89"/>
      <c r="E264" s="117"/>
      <c r="F264" s="31">
        <f>+INDEX('[5]Budget original'!$A$2:$AO$496,MATCH($A264,'[5]Budget original'!$A$2:$A$496,0),MATCH(F$2,'[5]Budget original'!$A$2:$AO$2,0))</f>
        <v>0</v>
      </c>
      <c r="G264" s="91"/>
      <c r="H264" s="117"/>
      <c r="I264" s="31">
        <f>+INDEX('[5]Budget révisé'!$A$2:$AO$496,MATCH($A264,'[5]Budget révisé'!$A$2:$A$496,0),MATCH(I$2,'[5]Budget révisé'!$A$2:$AO$2,0))</f>
        <v>0</v>
      </c>
      <c r="J264" s="24"/>
      <c r="K264" s="117"/>
      <c r="L264" s="34">
        <f>SUMIFS([5]BV_Data_An_Cour!$O:$O,[5]BV_Data_An_Cour!$U:$U,$B264,[5]BV_Data_An_Cour!$V:$V,$C264,[5]BV_Data_An_Cour!$W:$W,$L$2)</f>
        <v>0</v>
      </c>
      <c r="M264" s="24"/>
      <c r="N264" s="94">
        <f t="shared" si="85"/>
        <v>0</v>
      </c>
      <c r="O264" s="24"/>
      <c r="P264" s="117"/>
      <c r="Q264" s="34">
        <f>SUMIFS([5]BV_Data_An_Prec!$O:$O,[5]BV_Data_An_Prec!$U:$U,$B264,[5]BV_Data_An_Prec!$V:$V,$C264,[5]BV_Data_An_Prec!$W:$W,$L$2)</f>
        <v>0</v>
      </c>
      <c r="R264" s="24"/>
      <c r="S264" s="95">
        <f t="shared" si="86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0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2">
        <f>+SUM(F253:F264)</f>
        <v>10195.578029353985</v>
      </c>
      <c r="G265" s="103" t="s">
        <v>40</v>
      </c>
      <c r="H265" s="101" t="e">
        <f>I265/I$243</f>
        <v>#DIV/0!</v>
      </c>
      <c r="I265" s="102">
        <f>+SUM(I253:I264)</f>
        <v>10195.578029353985</v>
      </c>
      <c r="J265" s="103" t="s">
        <v>40</v>
      </c>
      <c r="K265" s="101">
        <f>IF(L243=0,0,L265/L$243)</f>
        <v>0</v>
      </c>
      <c r="L265" s="102">
        <f>+SUM(L253:L264)</f>
        <v>9806.4399999999987</v>
      </c>
      <c r="M265" s="154"/>
      <c r="N265" s="119">
        <f t="shared" si="85"/>
        <v>-389.13802935398598</v>
      </c>
      <c r="O265" s="103" t="s">
        <v>40</v>
      </c>
      <c r="P265" s="101">
        <f>IF(Q243=0,0,Q265/Q$243)</f>
        <v>0</v>
      </c>
      <c r="Q265" s="102">
        <f>+SUM(Q253:Q264)</f>
        <v>17555.740000000002</v>
      </c>
      <c r="R265" s="154"/>
      <c r="S265" s="120">
        <f t="shared" si="86"/>
        <v>-7749.3000000000029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0"/>
        <v>CarrosseriePublicité 2</v>
      </c>
      <c r="B266" s="12" t="s">
        <v>100</v>
      </c>
      <c r="C266" s="221" t="s">
        <v>51</v>
      </c>
      <c r="D266" s="82"/>
      <c r="E266" s="14"/>
      <c r="F266" s="31">
        <f>+INDEX('[5]Budget original'!$A$2:$AO$496,MATCH($A266,'[5]Budget original'!$A$2:$A$496,0),MATCH(F$2,'[5]Budget original'!$A$2:$AO$2,0))</f>
        <v>0</v>
      </c>
      <c r="G266" s="84"/>
      <c r="H266" s="14"/>
      <c r="I266" s="31">
        <f>+INDEX('[5]Budget révisé'!$A$2:$AO$496,MATCH($A266,'[5]Budget révisé'!$A$2:$A$496,0),MATCH(I$2,'[5]Budget révisé'!$A$2:$AO$2,0))</f>
        <v>0</v>
      </c>
      <c r="J266" s="42"/>
      <c r="K266" s="14"/>
      <c r="L266" s="34">
        <f>SUMIFS([5]BV_Data_An_Cour!$O:$O,[5]BV_Data_An_Cour!$U:$U,$B266,[5]BV_Data_An_Cour!$V:$V,$C266,[5]BV_Data_An_Cour!$W:$W,$L$2)</f>
        <v>0.13</v>
      </c>
      <c r="M266" s="42"/>
      <c r="N266" s="60">
        <f t="shared" si="85"/>
        <v>0.13</v>
      </c>
      <c r="O266" s="42"/>
      <c r="P266" s="14"/>
      <c r="Q266" s="34">
        <f>SUMIFS([5]BV_Data_An_Prec!$O:$O,[5]BV_Data_An_Prec!$U:$U,$B266,[5]BV_Data_An_Prec!$V:$V,$C266,[5]BV_Data_An_Prec!$W:$W,$L$2)</f>
        <v>0</v>
      </c>
      <c r="R266" s="42"/>
      <c r="S266" s="86">
        <f t="shared" si="86"/>
        <v>0.13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0"/>
        <v>CarrosserieService gratuit 2</v>
      </c>
      <c r="B267" s="12" t="s">
        <v>100</v>
      </c>
      <c r="C267" s="108" t="s">
        <v>52</v>
      </c>
      <c r="D267" s="82"/>
      <c r="E267" s="14"/>
      <c r="F267" s="31">
        <f>+INDEX('[5]Budget original'!$A$2:$AO$496,MATCH($A267,'[5]Budget original'!$A$2:$A$496,0),MATCH(F$2,'[5]Budget original'!$A$2:$AO$2,0))</f>
        <v>963.68031554049003</v>
      </c>
      <c r="G267" s="84"/>
      <c r="H267" s="14"/>
      <c r="I267" s="31">
        <f>+INDEX('[5]Budget révisé'!$A$2:$AO$496,MATCH($A267,'[5]Budget révisé'!$A$2:$A$496,0),MATCH(I$2,'[5]Budget révisé'!$A$2:$AO$2,0))</f>
        <v>963.68031554049003</v>
      </c>
      <c r="J267" s="42"/>
      <c r="K267" s="14"/>
      <c r="L267" s="34">
        <f>SUMIFS([5]BV_Data_An_Cour!$O:$O,[5]BV_Data_An_Cour!$U:$U,$B267,[5]BV_Data_An_Cour!$V:$V,$C267,[5]BV_Data_An_Cour!$W:$W,$L$2)</f>
        <v>207</v>
      </c>
      <c r="M267" s="42"/>
      <c r="N267" s="60">
        <f t="shared" si="85"/>
        <v>-756.68031554049003</v>
      </c>
      <c r="O267" s="42"/>
      <c r="P267" s="14"/>
      <c r="Q267" s="34">
        <f>SUMIFS([5]BV_Data_An_Prec!$O:$O,[5]BV_Data_An_Prec!$U:$U,$B267,[5]BV_Data_An_Prec!$V:$V,$C267,[5]BV_Data_An_Prec!$W:$W,$L$2)</f>
        <v>398</v>
      </c>
      <c r="R267" s="42"/>
      <c r="S267" s="86">
        <f t="shared" si="86"/>
        <v>-191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0"/>
        <v>CarrosserieFrais véhicules de cie</v>
      </c>
      <c r="B268" s="12" t="s">
        <v>100</v>
      </c>
      <c r="C268" s="109" t="s">
        <v>53</v>
      </c>
      <c r="D268" s="89"/>
      <c r="E268" s="117"/>
      <c r="F268" s="23">
        <f>+INDEX('[5]Budget original'!$A$2:$AO$496,MATCH($A268,'[5]Budget original'!$A$2:$A$496,0),MATCH(F$2,'[5]Budget original'!$A$2:$AO$2,0))</f>
        <v>298.94</v>
      </c>
      <c r="G268" s="91"/>
      <c r="H268" s="117"/>
      <c r="I268" s="23">
        <f>+INDEX('[5]Budget révisé'!$A$2:$AO$496,MATCH($A268,'[5]Budget révisé'!$A$2:$A$496,0),MATCH(I$2,'[5]Budget révisé'!$A$2:$AO$2,0))</f>
        <v>298.94</v>
      </c>
      <c r="J268" s="24"/>
      <c r="K268" s="117"/>
      <c r="L268" s="34">
        <f>SUMIFS([5]BV_Data_An_Cour!$O:$O,[5]BV_Data_An_Cour!$U:$U,$B268,[5]BV_Data_An_Cour!$V:$V,$C268,[5]BV_Data_An_Cour!$W:$W,$L$2)</f>
        <v>903.46</v>
      </c>
      <c r="M268" s="24"/>
      <c r="N268" s="94">
        <f t="shared" si="85"/>
        <v>604.52</v>
      </c>
      <c r="O268" s="24"/>
      <c r="P268" s="117"/>
      <c r="Q268" s="34">
        <f>SUMIFS([5]BV_Data_An_Prec!$O:$O,[5]BV_Data_An_Prec!$U:$U,$B268,[5]BV_Data_An_Prec!$V:$V,$C268,[5]BV_Data_An_Prec!$W:$W,$L$2)</f>
        <v>1827.36</v>
      </c>
      <c r="R268" s="24"/>
      <c r="S268" s="95">
        <f t="shared" si="86"/>
        <v>-923.89999999999986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0"/>
        <v>CarrosserieInformatique</v>
      </c>
      <c r="B269" s="12" t="s">
        <v>100</v>
      </c>
      <c r="C269" s="108" t="s">
        <v>54</v>
      </c>
      <c r="D269" s="82"/>
      <c r="E269" s="14"/>
      <c r="F269" s="31">
        <f>+INDEX('[5]Budget original'!$A$2:$AO$496,MATCH($A269,'[5]Budget original'!$A$2:$A$496,0),MATCH(F$2,'[5]Budget original'!$A$2:$AO$2,0))</f>
        <v>1436.6179333333334</v>
      </c>
      <c r="G269" s="84"/>
      <c r="H269" s="14"/>
      <c r="I269" s="31">
        <f>+INDEX('[5]Budget révisé'!$A$2:$AO$496,MATCH($A269,'[5]Budget révisé'!$A$2:$A$496,0),MATCH(I$2,'[5]Budget révisé'!$A$2:$AO$2,0))</f>
        <v>1436.6179333333334</v>
      </c>
      <c r="J269" s="42"/>
      <c r="K269" s="14"/>
      <c r="L269" s="114">
        <f>SUMIFS([5]BV_Data_An_Cour!$O:$O,[5]BV_Data_An_Cour!$U:$U,$B269,[5]BV_Data_An_Cour!$V:$V,$C269,[5]BV_Data_An_Cour!$W:$W,$L$2)</f>
        <v>1247.3699999999999</v>
      </c>
      <c r="M269" s="42"/>
      <c r="N269" s="60">
        <f t="shared" si="85"/>
        <v>-189.24793333333355</v>
      </c>
      <c r="O269" s="42"/>
      <c r="P269" s="14"/>
      <c r="Q269" s="114">
        <f>SUMIFS([5]BV_Data_An_Prec!$O:$O,[5]BV_Data_An_Prec!$U:$U,$B269,[5]BV_Data_An_Prec!$V:$V,$C269,[5]BV_Data_An_Prec!$W:$W,$L$2)</f>
        <v>1537.89</v>
      </c>
      <c r="R269" s="42"/>
      <c r="S269" s="86">
        <f t="shared" si="86"/>
        <v>-290.52000000000021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0"/>
        <v>CarrosserieFrais de déplacement</v>
      </c>
      <c r="B270" s="12" t="s">
        <v>100</v>
      </c>
      <c r="C270" s="108" t="s">
        <v>55</v>
      </c>
      <c r="D270" s="82"/>
      <c r="E270" s="14"/>
      <c r="F270" s="31">
        <f>+INDEX('[5]Budget original'!$A$2:$AO$496,MATCH($A270,'[5]Budget original'!$A$2:$A$496,0),MATCH(F$2,'[5]Budget original'!$A$2:$AO$2,0))</f>
        <v>349.23367500000001</v>
      </c>
      <c r="G270" s="84"/>
      <c r="H270" s="14"/>
      <c r="I270" s="31">
        <f>+INDEX('[5]Budget révisé'!$A$2:$AO$496,MATCH($A270,'[5]Budget révisé'!$A$2:$A$496,0),MATCH(I$2,'[5]Budget révisé'!$A$2:$AO$2,0))</f>
        <v>349.23367500000001</v>
      </c>
      <c r="J270" s="42"/>
      <c r="K270" s="14"/>
      <c r="L270" s="34">
        <f>SUMIFS([5]BV_Data_An_Cour!$O:$O,[5]BV_Data_An_Cour!$U:$U,$B270,[5]BV_Data_An_Cour!$V:$V,$C270,[5]BV_Data_An_Cour!$W:$W,$L$2)</f>
        <v>45.9</v>
      </c>
      <c r="M270" s="42"/>
      <c r="N270" s="60">
        <f t="shared" si="85"/>
        <v>-303.33367500000003</v>
      </c>
      <c r="O270" s="42"/>
      <c r="P270" s="14"/>
      <c r="Q270" s="34">
        <f>SUMIFS([5]BV_Data_An_Prec!$O:$O,[5]BV_Data_An_Prec!$U:$U,$B270,[5]BV_Data_An_Prec!$V:$V,$C270,[5]BV_Data_An_Prec!$W:$W,$L$2)</f>
        <v>425.39</v>
      </c>
      <c r="R270" s="42"/>
      <c r="S270" s="86">
        <f t="shared" si="86"/>
        <v>-379.49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0"/>
        <v>CarrosserieServices extérieurs</v>
      </c>
      <c r="B271" s="12" t="s">
        <v>100</v>
      </c>
      <c r="C271" s="108" t="s">
        <v>56</v>
      </c>
      <c r="D271" s="89"/>
      <c r="E271" s="117"/>
      <c r="F271" s="23">
        <f>+INDEX('[5]Budget original'!$A$2:$AO$496,MATCH($A271,'[5]Budget original'!$A$2:$A$496,0),MATCH(F$2,'[5]Budget original'!$A$2:$AO$2,0))</f>
        <v>1122.7769583333334</v>
      </c>
      <c r="G271" s="91"/>
      <c r="H271" s="117"/>
      <c r="I271" s="23">
        <f>+INDEX('[5]Budget révisé'!$A$2:$AO$496,MATCH($A271,'[5]Budget révisé'!$A$2:$A$496,0),MATCH(I$2,'[5]Budget révisé'!$A$2:$AO$2,0))</f>
        <v>1122.7769583333334</v>
      </c>
      <c r="J271" s="24"/>
      <c r="K271" s="117"/>
      <c r="L271" s="34">
        <f>SUMIFS([5]BV_Data_An_Cour!$O:$O,[5]BV_Data_An_Cour!$U:$U,$B271,[5]BV_Data_An_Cour!$V:$V,$C271,[5]BV_Data_An_Cour!$W:$W,$L$2)</f>
        <v>906.75</v>
      </c>
      <c r="M271" s="24"/>
      <c r="N271" s="94">
        <f t="shared" si="85"/>
        <v>-216.02695833333337</v>
      </c>
      <c r="O271" s="24"/>
      <c r="P271" s="117"/>
      <c r="Q271" s="34">
        <f>SUMIFS([5]BV_Data_An_Prec!$O:$O,[5]BV_Data_An_Prec!$U:$U,$B271,[5]BV_Data_An_Prec!$V:$V,$C271,[5]BV_Data_An_Prec!$W:$W,$L$2)</f>
        <v>792.05</v>
      </c>
      <c r="R271" s="24"/>
      <c r="S271" s="95">
        <f t="shared" si="86"/>
        <v>114.70000000000005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0"/>
        <v>CarrosserieFournitures d'atelier</v>
      </c>
      <c r="B272" s="12" t="s">
        <v>100</v>
      </c>
      <c r="C272" s="222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f>SUMIFS([5]BV_Data_An_Cour!$O:$O,[5]BV_Data_An_Cour!$U:$U,$B272,[5]BV_Data_An_Cour!$V:$V,$C272,[5]BV_Data_An_Cour!$W:$W,$L$2)</f>
        <v>0</v>
      </c>
      <c r="M272" s="42"/>
      <c r="N272" s="60">
        <f t="shared" si="85"/>
        <v>0</v>
      </c>
      <c r="O272" s="42"/>
      <c r="P272" s="14"/>
      <c r="Q272" s="34">
        <f>SUMIFS([5]BV_Data_An_Prec!$O:$O,[5]BV_Data_An_Prec!$U:$U,$B272,[5]BV_Data_An_Prec!$V:$V,$C272,[5]BV_Data_An_Prec!$W:$W,$L$2)</f>
        <v>0</v>
      </c>
      <c r="R272" s="42"/>
      <c r="S272" s="86">
        <f t="shared" si="86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0"/>
        <v>CarrosserieFournitures autres</v>
      </c>
      <c r="B273" s="12" t="s">
        <v>100</v>
      </c>
      <c r="C273" s="108" t="s">
        <v>57</v>
      </c>
      <c r="D273" s="82"/>
      <c r="E273" s="14"/>
      <c r="F273" s="31">
        <f>+INDEX('[5]Budget original'!$A$2:$AO$496,MATCH($A273,'[5]Budget original'!$A$2:$A$496,0),MATCH(F$2,'[5]Budget original'!$A$2:$AO$2,0))</f>
        <v>0</v>
      </c>
      <c r="G273" s="84"/>
      <c r="H273" s="14"/>
      <c r="I273" s="31">
        <f>+INDEX('[5]Budget révisé'!$A$2:$AO$496,MATCH($A273,'[5]Budget révisé'!$A$2:$A$496,0),MATCH(I$2,'[5]Budget révisé'!$A$2:$AO$2,0))</f>
        <v>0</v>
      </c>
      <c r="J273" s="42"/>
      <c r="K273" s="14"/>
      <c r="L273" s="34">
        <f>SUMIFS([5]BV_Data_An_Cour!$O:$O,[5]BV_Data_An_Cour!$U:$U,$B273,[5]BV_Data_An_Cour!$V:$V,$C273,[5]BV_Data_An_Cour!$W:$W,$L$2)</f>
        <v>104.35</v>
      </c>
      <c r="M273" s="42"/>
      <c r="N273" s="60">
        <f t="shared" si="85"/>
        <v>104.35</v>
      </c>
      <c r="O273" s="42"/>
      <c r="P273" s="14"/>
      <c r="Q273" s="34">
        <f>SUMIFS([5]BV_Data_An_Prec!$O:$O,[5]BV_Data_An_Prec!$U:$U,$B273,[5]BV_Data_An_Prec!$V:$V,$C273,[5]BV_Data_An_Prec!$W:$W,$L$2)</f>
        <v>0</v>
      </c>
      <c r="R273" s="42"/>
      <c r="S273" s="86">
        <f t="shared" si="86"/>
        <v>104.35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0"/>
        <v>CarrosserieUniformes</v>
      </c>
      <c r="B274" s="12" t="s">
        <v>100</v>
      </c>
      <c r="C274" s="108" t="s">
        <v>58</v>
      </c>
      <c r="D274" s="82"/>
      <c r="E274" s="14"/>
      <c r="F274" s="31">
        <f>+INDEX('[5]Budget original'!$A$2:$AO$496,MATCH($A274,'[5]Budget original'!$A$2:$A$496,0),MATCH(F$2,'[5]Budget original'!$A$2:$AO$2,0))</f>
        <v>0</v>
      </c>
      <c r="G274" s="84"/>
      <c r="H274" s="14"/>
      <c r="I274" s="31">
        <f>+INDEX('[5]Budget révisé'!$A$2:$AO$496,MATCH($A274,'[5]Budget révisé'!$A$2:$A$496,0),MATCH(I$2,'[5]Budget révisé'!$A$2:$AO$2,0))</f>
        <v>0</v>
      </c>
      <c r="J274" s="42"/>
      <c r="K274" s="14"/>
      <c r="L274" s="34">
        <f>SUMIFS([5]BV_Data_An_Cour!$O:$O,[5]BV_Data_An_Cour!$U:$U,$B274,[5]BV_Data_An_Cour!$V:$V,$C274,[5]BV_Data_An_Cour!$W:$W,$L$2)</f>
        <v>0</v>
      </c>
      <c r="M274" s="42"/>
      <c r="N274" s="60">
        <f t="shared" si="85"/>
        <v>0</v>
      </c>
      <c r="O274" s="42"/>
      <c r="P274" s="14"/>
      <c r="Q274" s="34">
        <f>SUMIFS([5]BV_Data_An_Prec!$O:$O,[5]BV_Data_An_Prec!$U:$U,$B274,[5]BV_Data_An_Prec!$V:$V,$C274,[5]BV_Data_An_Prec!$W:$W,$L$2)</f>
        <v>0</v>
      </c>
      <c r="R274" s="42"/>
      <c r="S274" s="86">
        <f t="shared" si="86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0"/>
        <v>CarrosseriePapeterie</v>
      </c>
      <c r="B275" s="12" t="s">
        <v>100</v>
      </c>
      <c r="C275" s="108" t="s">
        <v>59</v>
      </c>
      <c r="D275" s="82"/>
      <c r="E275" s="14"/>
      <c r="F275" s="31">
        <f>+INDEX('[5]Budget original'!$A$2:$AO$496,MATCH($A275,'[5]Budget original'!$A$2:$A$496,0),MATCH(F$2,'[5]Budget original'!$A$2:$AO$2,0))</f>
        <v>152.60000000000002</v>
      </c>
      <c r="G275" s="84"/>
      <c r="H275" s="14"/>
      <c r="I275" s="31">
        <f>+INDEX('[5]Budget révisé'!$A$2:$AO$496,MATCH($A275,'[5]Budget révisé'!$A$2:$A$496,0),MATCH(I$2,'[5]Budget révisé'!$A$2:$AO$2,0))</f>
        <v>152.60000000000002</v>
      </c>
      <c r="J275" s="42"/>
      <c r="K275" s="14"/>
      <c r="L275" s="33">
        <f>SUMIFS([5]BV_Data_An_Cour!$O:$O,[5]BV_Data_An_Cour!$U:$U,$B275,[5]BV_Data_An_Cour!$V:$V,$C275,[5]BV_Data_An_Cour!$W:$W,$L$2)</f>
        <v>107.49</v>
      </c>
      <c r="M275" s="42"/>
      <c r="N275" s="60">
        <f t="shared" si="85"/>
        <v>-45.110000000000028</v>
      </c>
      <c r="O275" s="42"/>
      <c r="P275" s="14"/>
      <c r="Q275" s="33">
        <f>SUMIFS([5]BV_Data_An_Prec!$O:$O,[5]BV_Data_An_Prec!$U:$U,$B275,[5]BV_Data_An_Prec!$V:$V,$C275,[5]BV_Data_An_Prec!$W:$W,$L$2)</f>
        <v>129.5</v>
      </c>
      <c r="R275" s="42"/>
      <c r="S275" s="86">
        <f t="shared" si="86"/>
        <v>-22.010000000000005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0"/>
        <v>CarrosserieTéléphone</v>
      </c>
      <c r="B276" s="12" t="s">
        <v>100</v>
      </c>
      <c r="C276" s="108" t="s">
        <v>60</v>
      </c>
      <c r="D276" s="82"/>
      <c r="E276" s="14"/>
      <c r="F276" s="31">
        <f>+INDEX('[5]Budget original'!$A$2:$AO$496,MATCH($A276,'[5]Budget original'!$A$2:$A$496,0),MATCH(F$2,'[5]Budget original'!$A$2:$AO$2,0))</f>
        <v>177.637</v>
      </c>
      <c r="G276" s="84"/>
      <c r="H276" s="14"/>
      <c r="I276" s="31">
        <f>+INDEX('[5]Budget révisé'!$A$2:$AO$496,MATCH($A276,'[5]Budget révisé'!$A$2:$A$496,0),MATCH(I$2,'[5]Budget révisé'!$A$2:$AO$2,0))</f>
        <v>177.637</v>
      </c>
      <c r="J276" s="42"/>
      <c r="K276" s="14"/>
      <c r="L276" s="34">
        <f>SUMIFS([5]BV_Data_An_Cour!$O:$O,[5]BV_Data_An_Cour!$U:$U,$B276,[5]BV_Data_An_Cour!$V:$V,$C276,[5]BV_Data_An_Cour!$W:$W,$L$2)</f>
        <v>28.49</v>
      </c>
      <c r="M276" s="42"/>
      <c r="N276" s="60">
        <f t="shared" si="85"/>
        <v>-149.14699999999999</v>
      </c>
      <c r="O276" s="42"/>
      <c r="P276" s="14"/>
      <c r="Q276" s="34">
        <f>SUMIFS([5]BV_Data_An_Prec!$O:$O,[5]BV_Data_An_Prec!$U:$U,$B276,[5]BV_Data_An_Prec!$V:$V,$C276,[5]BV_Data_An_Prec!$W:$W,$L$2)</f>
        <v>120.95</v>
      </c>
      <c r="R276" s="42"/>
      <c r="S276" s="86">
        <f t="shared" si="86"/>
        <v>-92.460000000000008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0"/>
        <v>CarrosserieFrais postaux</v>
      </c>
      <c r="B277" s="12" t="s">
        <v>100</v>
      </c>
      <c r="C277" s="108" t="s">
        <v>61</v>
      </c>
      <c r="D277" s="82"/>
      <c r="E277" s="14"/>
      <c r="F277" s="31">
        <f>+INDEX('[5]Budget original'!$A$2:$AO$496,MATCH($A277,'[5]Budget original'!$A$2:$A$496,0),MATCH(F$2,'[5]Budget original'!$A$2:$AO$2,0))</f>
        <v>60.550000000000004</v>
      </c>
      <c r="G277" s="84"/>
      <c r="H277" s="14"/>
      <c r="I277" s="31">
        <f>+INDEX('[5]Budget révisé'!$A$2:$AO$496,MATCH($A277,'[5]Budget révisé'!$A$2:$A$496,0),MATCH(I$2,'[5]Budget révisé'!$A$2:$AO$2,0))</f>
        <v>60.550000000000004</v>
      </c>
      <c r="J277" s="42"/>
      <c r="K277" s="14"/>
      <c r="L277" s="34">
        <f>SUMIFS([5]BV_Data_An_Cour!$O:$O,[5]BV_Data_An_Cour!$U:$U,$B277,[5]BV_Data_An_Cour!$V:$V,$C277,[5]BV_Data_An_Cour!$W:$W,$L$2)</f>
        <v>29.36</v>
      </c>
      <c r="M277" s="42"/>
      <c r="N277" s="60">
        <f t="shared" si="85"/>
        <v>-31.190000000000005</v>
      </c>
      <c r="O277" s="42"/>
      <c r="P277" s="14"/>
      <c r="Q277" s="34">
        <f>SUMIFS([5]BV_Data_An_Prec!$O:$O,[5]BV_Data_An_Prec!$U:$U,$B277,[5]BV_Data_An_Prec!$V:$V,$C277,[5]BV_Data_An_Prec!$W:$W,$L$2)</f>
        <v>39.06</v>
      </c>
      <c r="R277" s="42"/>
      <c r="S277" s="86">
        <f t="shared" si="86"/>
        <v>-9.7000000000000028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0"/>
        <v>CarrosserieDivers</v>
      </c>
      <c r="B278" s="12" t="s">
        <v>100</v>
      </c>
      <c r="C278" s="108" t="s">
        <v>62</v>
      </c>
      <c r="D278" s="82"/>
      <c r="E278" s="14"/>
      <c r="F278" s="31">
        <f>+INDEX('[5]Budget original'!$A$2:$AO$496,MATCH($A278,'[5]Budget original'!$A$2:$A$496,0),MATCH(F$2,'[5]Budget original'!$A$2:$AO$2,0))</f>
        <v>251.37000000000003</v>
      </c>
      <c r="G278" s="84"/>
      <c r="H278" s="14"/>
      <c r="I278" s="31">
        <f>+INDEX('[5]Budget révisé'!$A$2:$AO$496,MATCH($A278,'[5]Budget révisé'!$A$2:$A$496,0),MATCH(I$2,'[5]Budget révisé'!$A$2:$AO$2,0))</f>
        <v>251.37000000000003</v>
      </c>
      <c r="J278" s="42"/>
      <c r="K278" s="14"/>
      <c r="L278" s="34">
        <f>SUMIFS([5]BV_Data_An_Cour!$O:$O,[5]BV_Data_An_Cour!$U:$U,$B278,[5]BV_Data_An_Cour!$V:$V,$C278,[5]BV_Data_An_Cour!$W:$W,$L$2)</f>
        <v>57.76</v>
      </c>
      <c r="M278" s="42"/>
      <c r="N278" s="60">
        <f t="shared" si="85"/>
        <v>-193.61000000000004</v>
      </c>
      <c r="O278" s="42"/>
      <c r="P278" s="14"/>
      <c r="Q278" s="34">
        <f>SUMIFS([5]BV_Data_An_Prec!$O:$O,[5]BV_Data_An_Prec!$U:$U,$B278,[5]BV_Data_An_Prec!$V:$V,$C278,[5]BV_Data_An_Prec!$W:$W,$L$2)</f>
        <v>370.19</v>
      </c>
      <c r="R278" s="42"/>
      <c r="S278" s="86">
        <f t="shared" si="86"/>
        <v>-312.43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0"/>
        <v>CarrosserieFormation</v>
      </c>
      <c r="B279" s="12" t="s">
        <v>100</v>
      </c>
      <c r="C279" s="108" t="s">
        <v>63</v>
      </c>
      <c r="D279" s="82"/>
      <c r="E279" s="14"/>
      <c r="F279" s="31">
        <f>+INDEX('[5]Budget original'!$A$2:$AO$496,MATCH($A279,'[5]Budget original'!$A$2:$A$496,0),MATCH(F$2,'[5]Budget original'!$A$2:$AO$2,0))</f>
        <v>41.200833333333343</v>
      </c>
      <c r="G279" s="84"/>
      <c r="H279" s="14"/>
      <c r="I279" s="31">
        <f>+INDEX('[5]Budget révisé'!$A$2:$AO$496,MATCH($A279,'[5]Budget révisé'!$A$2:$A$496,0),MATCH(I$2,'[5]Budget révisé'!$A$2:$AO$2,0))</f>
        <v>41.200833333333343</v>
      </c>
      <c r="J279" s="42"/>
      <c r="K279" s="14"/>
      <c r="L279" s="34">
        <f>SUMIFS([5]BV_Data_An_Cour!$O:$O,[5]BV_Data_An_Cour!$U:$U,$B279,[5]BV_Data_An_Cour!$V:$V,$C279,[5]BV_Data_An_Cour!$W:$W,$L$2)</f>
        <v>6.2</v>
      </c>
      <c r="M279" s="42"/>
      <c r="N279" s="60">
        <f t="shared" si="85"/>
        <v>-35.00083333333334</v>
      </c>
      <c r="O279" s="42"/>
      <c r="P279" s="14"/>
      <c r="Q279" s="34">
        <f>SUMIFS([5]BV_Data_An_Prec!$O:$O,[5]BV_Data_An_Prec!$U:$U,$B279,[5]BV_Data_An_Prec!$V:$V,$C279,[5]BV_Data_An_Prec!$W:$W,$L$2)</f>
        <v>35</v>
      </c>
      <c r="R279" s="42"/>
      <c r="S279" s="86">
        <f t="shared" si="86"/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0"/>
        <v>CarrosserieFrais bancaires</v>
      </c>
      <c r="B280" s="12" t="s">
        <v>100</v>
      </c>
      <c r="C280" s="108" t="s">
        <v>64</v>
      </c>
      <c r="D280" s="82"/>
      <c r="E280" s="14"/>
      <c r="F280" s="31">
        <f>+INDEX('[5]Budget original'!$A$2:$AO$496,MATCH($A280,'[5]Budget original'!$A$2:$A$496,0),MATCH(F$2,'[5]Budget original'!$A$2:$AO$2,0))</f>
        <v>876.09069679541574</v>
      </c>
      <c r="G280" s="84"/>
      <c r="H280" s="14"/>
      <c r="I280" s="31">
        <f>+INDEX('[5]Budget révisé'!$A$2:$AO$496,MATCH($A280,'[5]Budget révisé'!$A$2:$A$496,0),MATCH(I$2,'[5]Budget révisé'!$A$2:$AO$2,0))</f>
        <v>876.09069679541574</v>
      </c>
      <c r="J280" s="42"/>
      <c r="K280" s="14"/>
      <c r="L280" s="34">
        <f>AF447*W6</f>
        <v>225.38249999999999</v>
      </c>
      <c r="M280" s="42"/>
      <c r="N280" s="60">
        <f t="shared" si="85"/>
        <v>-650.70819679541569</v>
      </c>
      <c r="O280" s="42"/>
      <c r="P280" s="14"/>
      <c r="Q280" s="34">
        <f>AL447*W6</f>
        <v>312.14750000000004</v>
      </c>
      <c r="R280" s="42"/>
      <c r="S280" s="86">
        <f t="shared" si="86"/>
        <v>-86.765000000000043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0"/>
        <v>Carrosserie[...]</v>
      </c>
      <c r="B281" s="12" t="s">
        <v>100</v>
      </c>
      <c r="C281" s="108" t="s">
        <v>21</v>
      </c>
      <c r="D281" s="82"/>
      <c r="E281" s="14"/>
      <c r="F281" s="31">
        <f>+INDEX('[5]Budget original'!$A$2:$AO$496,MATCH($A281,'[5]Budget original'!$A$2:$A$496,0),MATCH(F$2,'[5]Budget original'!$A$2:$AO$2,0))</f>
        <v>0</v>
      </c>
      <c r="G281" s="84"/>
      <c r="H281" s="14"/>
      <c r="I281" s="31">
        <f>+INDEX('[5]Budget révisé'!$A$2:$AO$496,MATCH($A281,'[5]Budget révisé'!$A$2:$A$496,0),MATCH(I$2,'[5]Budget révisé'!$A$2:$AO$2,0))</f>
        <v>0</v>
      </c>
      <c r="J281" s="42"/>
      <c r="K281" s="14"/>
      <c r="L281" s="34">
        <f>SUMIFS([5]BV_Data_An_Cour!$O:$O,[5]BV_Data_An_Cour!$U:$U,$B281,[5]BV_Data_An_Cour!$V:$V,$C281,[5]BV_Data_An_Cour!$W:$W,$L$2)</f>
        <v>0</v>
      </c>
      <c r="M281" s="42"/>
      <c r="N281" s="60">
        <f t="shared" si="85"/>
        <v>0</v>
      </c>
      <c r="O281" s="42"/>
      <c r="P281" s="14"/>
      <c r="Q281" s="34">
        <f>SUMIFS([5]BV_Data_An_Prec!$O:$O,[5]BV_Data_An_Prec!$U:$U,$B281,[5]BV_Data_An_Prec!$V:$V,$C281,[5]BV_Data_An_Prec!$W:$W,$L$2)</f>
        <v>0</v>
      </c>
      <c r="R281" s="42"/>
      <c r="S281" s="86">
        <f t="shared" si="86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0"/>
        <v>Carrosserie[...]</v>
      </c>
      <c r="B282" s="12" t="s">
        <v>100</v>
      </c>
      <c r="C282" s="108" t="s">
        <v>21</v>
      </c>
      <c r="D282" s="82"/>
      <c r="E282" s="14"/>
      <c r="F282" s="31">
        <f>+INDEX('[5]Budget original'!$A$2:$AO$496,MATCH($A282,'[5]Budget original'!$A$2:$A$496,0),MATCH(F$2,'[5]Budget original'!$A$2:$AO$2,0))</f>
        <v>0</v>
      </c>
      <c r="G282" s="84"/>
      <c r="H282" s="14"/>
      <c r="I282" s="31">
        <f>+INDEX('[5]Budget révisé'!$A$2:$AO$496,MATCH($A282,'[5]Budget révisé'!$A$2:$A$496,0),MATCH(I$2,'[5]Budget révisé'!$A$2:$AO$2,0))</f>
        <v>0</v>
      </c>
      <c r="J282" s="42"/>
      <c r="K282" s="14"/>
      <c r="L282" s="34">
        <f>SUMIFS([5]BV_Data_An_Cour!$O:$O,[5]BV_Data_An_Cour!$U:$U,$B282,[5]BV_Data_An_Cour!$V:$V,$C282,[5]BV_Data_An_Cour!$W:$W,$L$2)</f>
        <v>0</v>
      </c>
      <c r="M282" s="42"/>
      <c r="N282" s="60">
        <f t="shared" si="85"/>
        <v>0</v>
      </c>
      <c r="O282" s="42"/>
      <c r="P282" s="14"/>
      <c r="Q282" s="34">
        <f>SUMIFS([5]BV_Data_An_Prec!$O:$O,[5]BV_Data_An_Prec!$U:$U,$B282,[5]BV_Data_An_Prec!$V:$V,$C282,[5]BV_Data_An_Prec!$W:$W,$L$2)</f>
        <v>0</v>
      </c>
      <c r="R282" s="42"/>
      <c r="S282" s="86">
        <f t="shared" si="86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0"/>
        <v>Carrosserie[...]</v>
      </c>
      <c r="B283" s="12" t="s">
        <v>100</v>
      </c>
      <c r="C283" s="108" t="s">
        <v>21</v>
      </c>
      <c r="D283" s="82"/>
      <c r="E283" s="14"/>
      <c r="F283" s="31">
        <f>+INDEX('[5]Budget original'!$A$2:$AO$496,MATCH($A283,'[5]Budget original'!$A$2:$A$496,0),MATCH(F$2,'[5]Budget original'!$A$2:$AO$2,0))</f>
        <v>0</v>
      </c>
      <c r="G283" s="84"/>
      <c r="H283" s="14"/>
      <c r="I283" s="31">
        <f>+INDEX('[5]Budget révisé'!$A$2:$AO$496,MATCH($A283,'[5]Budget révisé'!$A$2:$A$496,0),MATCH(I$2,'[5]Budget révisé'!$A$2:$AO$2,0))</f>
        <v>0</v>
      </c>
      <c r="J283" s="42"/>
      <c r="K283" s="14"/>
      <c r="L283" s="34">
        <f>SUMIFS([5]BV_Data_An_Cour!$O:$O,[5]BV_Data_An_Cour!$U:$U,$B283,[5]BV_Data_An_Cour!$V:$V,$C283,[5]BV_Data_An_Cour!$W:$W,$L$2)</f>
        <v>0</v>
      </c>
      <c r="M283" s="42"/>
      <c r="N283" s="60">
        <f t="shared" si="85"/>
        <v>0</v>
      </c>
      <c r="O283" s="42"/>
      <c r="P283" s="14"/>
      <c r="Q283" s="34">
        <f>SUMIFS([5]BV_Data_An_Prec!$O:$O,[5]BV_Data_An_Prec!$U:$U,$B283,[5]BV_Data_An_Prec!$V:$V,$C283,[5]BV_Data_An_Prec!$W:$W,$L$2)</f>
        <v>0</v>
      </c>
      <c r="R283" s="42"/>
      <c r="S283" s="86">
        <f t="shared" si="86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f>F284/F$243</f>
        <v>#DIV/0!</v>
      </c>
      <c r="F284" s="102">
        <f>+SUM(F266:F283)</f>
        <v>5730.6974123359068</v>
      </c>
      <c r="G284" s="103" t="s">
        <v>40</v>
      </c>
      <c r="H284" s="101" t="e">
        <f>I284/I$243</f>
        <v>#DIV/0!</v>
      </c>
      <c r="I284" s="102">
        <f>+SUM(I266:I283)</f>
        <v>5730.6974123359068</v>
      </c>
      <c r="J284" s="103" t="s">
        <v>40</v>
      </c>
      <c r="K284" s="101" t="e">
        <f>IF(L261=0,0,L284/L$243)</f>
        <v>#DIV/0!</v>
      </c>
      <c r="L284" s="102">
        <f>+SUM(L266:L283)</f>
        <v>3869.6424999999999</v>
      </c>
      <c r="M284" s="106"/>
      <c r="N284" s="102">
        <f>+SUM(N266:N283)</f>
        <v>-1861.054912335906</v>
      </c>
      <c r="O284" s="103" t="s">
        <v>40</v>
      </c>
      <c r="P284" s="101" t="e">
        <f>IF(Q261=0,0,Q284/Q$243)</f>
        <v>#DIV/0!</v>
      </c>
      <c r="Q284" s="102">
        <f>+SUM(Q266:Q283)</f>
        <v>5987.5375000000004</v>
      </c>
      <c r="R284" s="106"/>
      <c r="S284" s="107">
        <f t="shared" si="86"/>
        <v>-2117.8950000000004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f>F286/F$243</f>
        <v>#DIV/0!</v>
      </c>
      <c r="F286" s="102">
        <f>F265+F284</f>
        <v>15926.275441689892</v>
      </c>
      <c r="G286" s="103" t="s">
        <v>40</v>
      </c>
      <c r="H286" s="101" t="e">
        <f>I286/I$243</f>
        <v>#DIV/0!</v>
      </c>
      <c r="I286" s="102">
        <f>I265+I284</f>
        <v>15926.275441689892</v>
      </c>
      <c r="J286" s="103" t="s">
        <v>40</v>
      </c>
      <c r="K286" s="101" t="e">
        <f>IF(L263=0,0,L286/L$243)</f>
        <v>#DIV/0!</v>
      </c>
      <c r="L286" s="102">
        <f>L265+L284</f>
        <v>13676.082499999999</v>
      </c>
      <c r="M286" s="106"/>
      <c r="N286" s="119">
        <f t="shared" ref="N286:N288" si="87">L286-I286</f>
        <v>-2250.1929416898929</v>
      </c>
      <c r="O286" s="103" t="s">
        <v>40</v>
      </c>
      <c r="P286" s="101" t="e">
        <f>IF(Q263=0,0,Q286/Q$243)</f>
        <v>#DIV/0!</v>
      </c>
      <c r="Q286" s="102">
        <f>Q265+Q284</f>
        <v>23543.277500000004</v>
      </c>
      <c r="R286" s="106"/>
      <c r="S286" s="120">
        <f>L286-Q286</f>
        <v>-9867.1950000000052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7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133">
        <f>F249-F286</f>
        <v>1335.2280458115583</v>
      </c>
      <c r="G288" s="160"/>
      <c r="H288" s="131"/>
      <c r="I288" s="133">
        <f>I249-I286</f>
        <v>1335.2280458115583</v>
      </c>
      <c r="J288" s="161"/>
      <c r="K288" s="132"/>
      <c r="L288" s="133">
        <f>L249-L286</f>
        <v>5565.8874999999953</v>
      </c>
      <c r="M288" s="161"/>
      <c r="N288" s="133">
        <f t="shared" si="87"/>
        <v>4230.6594541884369</v>
      </c>
      <c r="O288" s="161"/>
      <c r="P288" s="132"/>
      <c r="Q288" s="133">
        <f>Q249-Q286</f>
        <v>771.59249999999884</v>
      </c>
      <c r="R288" s="161"/>
      <c r="S288" s="135">
        <f>L288-Q288</f>
        <v>4794.2949999999964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Avril 2021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19" t="s">
        <v>5</v>
      </c>
      <c r="E292" s="520"/>
      <c r="F292" s="521"/>
      <c r="G292" s="522" t="s">
        <v>75</v>
      </c>
      <c r="H292" s="520"/>
      <c r="I292" s="521"/>
      <c r="J292" s="522" t="s">
        <v>7</v>
      </c>
      <c r="K292" s="520"/>
      <c r="L292" s="521"/>
      <c r="M292" s="522" t="s">
        <v>8</v>
      </c>
      <c r="N292" s="521"/>
      <c r="O292" s="519" t="s">
        <v>9</v>
      </c>
      <c r="P292" s="520"/>
      <c r="Q292" s="521"/>
      <c r="R292" s="522" t="s">
        <v>10</v>
      </c>
      <c r="S292" s="523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8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8"/>
        <v>PiècesPièces Ro Clients</v>
      </c>
      <c r="B294" s="12" t="s">
        <v>104</v>
      </c>
      <c r="C294" s="30" t="s">
        <v>106</v>
      </c>
      <c r="D294" s="83">
        <f>+INDEX('[5]Budget original'!$A$2:$AO$496,MATCH($A294,'[5]Budget original'!$A$2:$A$496,0),MATCH(D$2,'[5]Budget original'!$A$2:$AO$2,0))</f>
        <v>96873.973274683376</v>
      </c>
      <c r="E294" s="155">
        <f>IF(D294=0,0,F294/D294)</f>
        <v>0.35812717564768926</v>
      </c>
      <c r="F294" s="86">
        <f>+INDEX('[5]Budget original'!$A$2:$AO$496,MATCH($A294,'[5]Budget original'!$A$2:$A$496,0),MATCH(F$2,'[5]Budget original'!$A$2:$AO$2,0))</f>
        <v>34693.202442632086</v>
      </c>
      <c r="G294" s="83">
        <f>+INDEX('[5]Budget révisé'!$A$2:$AO$496,MATCH($A294,'[5]Budget révisé'!$A$2:$A$496,0),MATCH(G$2,'[5]Budget révisé'!$A$2:$AO$2,0))</f>
        <v>96873.973274683376</v>
      </c>
      <c r="H294" s="155">
        <f>IF(G294=0,0,I294/G294)</f>
        <v>0.35812717564768926</v>
      </c>
      <c r="I294" s="86">
        <f>+INDEX('[5]Budget révisé'!$A$2:$AO$496,MATCH($A294,'[5]Budget révisé'!$A$2:$A$496,0),MATCH(I$2,'[5]Budget révisé'!$A$2:$AO$2,0))</f>
        <v>34693.202442632086</v>
      </c>
      <c r="J294" s="31">
        <f>-SUMIFS([5]BV_Data_An_Cour!$O:$O,[5]BV_Data_An_Cour!$X:$X,"Oui",[5]BV_Data_An_Cour!$U:$U,$B294,[5]BV_Data_An_Cour!$V:$V,$C294)</f>
        <v>76824</v>
      </c>
      <c r="K294" s="155">
        <f t="shared" ref="K294:K303" si="89">IF(J294&lt;=0,0,L294/J294)</f>
        <v>0.37055347287306051</v>
      </c>
      <c r="L294" s="34">
        <f>-SUMIFS([5]BV_Data_An_Cour!$O:$O,[5]BV_Data_An_Cour!$U:$U,$B294,[5]BV_Data_An_Cour!$V:$V,$C294,[5]BV_Data_An_Cour!$W:$W,$L$2)</f>
        <v>28467.4</v>
      </c>
      <c r="M294" s="164">
        <f t="shared" ref="M294:M300" si="90">(+J294-G294)/G294</f>
        <v>-0.20696965961984704</v>
      </c>
      <c r="N294" s="60">
        <f t="shared" ref="N294:N303" si="91">L294-I294</f>
        <v>-6225.8024426320844</v>
      </c>
      <c r="O294" s="31">
        <f>-SUMIFS([5]BV_Data_An_Prec!$O:$O,[5]BV_Data_An_Prec!$X:$X,"Oui",[5]BV_Data_An_Prec!$U:$U,$B294,[5]BV_Data_An_Prec!$V:$V,$C294)</f>
        <v>104594.38000000002</v>
      </c>
      <c r="P294" s="155">
        <f t="shared" ref="P294:P303" si="92">IF(O294&lt;=0,0,Q294/O294)</f>
        <v>0.30812726266937107</v>
      </c>
      <c r="Q294" s="34">
        <f>-SUMIFS([5]BV_Data_An_Prec!$O:$O,[5]BV_Data_An_Prec!$U:$U,$B294,[5]BV_Data_An_Prec!$V:$V,$C294,[5]BV_Data_An_Prec!$W:$W,$L$2)</f>
        <v>32228.380000000019</v>
      </c>
      <c r="R294" s="164">
        <f>IF(O294=0,0,(J294-O294)/O294)</f>
        <v>-0.2655054697967521</v>
      </c>
      <c r="S294" s="86">
        <f t="shared" ref="S294:S303" si="93">L294-Q294</f>
        <v>-3760.9800000000178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8"/>
        <v>PiècesPièces Ro Carrosserie</v>
      </c>
      <c r="B295" s="12" t="s">
        <v>104</v>
      </c>
      <c r="C295" s="30" t="s">
        <v>107</v>
      </c>
      <c r="D295" s="83">
        <f>+INDEX('[5]Budget original'!$A$2:$AO$496,MATCH($A295,'[5]Budget original'!$A$2:$A$496,0),MATCH(D$2,'[5]Budget original'!$A$2:$AO$2,0))</f>
        <v>34350.507933775058</v>
      </c>
      <c r="E295" s="155">
        <f t="shared" ref="E295:E302" si="94">IF(D295=0,0,F295/D295)</f>
        <v>0.27367264200070923</v>
      </c>
      <c r="F295" s="86">
        <f>+INDEX('[5]Budget original'!$A$2:$AO$496,MATCH($A295,'[5]Budget original'!$A$2:$A$496,0),MATCH(F$2,'[5]Budget original'!$A$2:$AO$2,0))</f>
        <v>9400.794260302544</v>
      </c>
      <c r="G295" s="83">
        <f>+INDEX('[5]Budget révisé'!$A$2:$AO$496,MATCH($A295,'[5]Budget révisé'!$A$2:$A$496,0),MATCH(G$2,'[5]Budget révisé'!$A$2:$AO$2,0))</f>
        <v>34350.507933775058</v>
      </c>
      <c r="H295" s="155">
        <f t="shared" ref="H295:H302" si="95">IF(G295=0,0,I295/G295)</f>
        <v>0.27367264200070923</v>
      </c>
      <c r="I295" s="86">
        <f>+INDEX('[5]Budget révisé'!$A$2:$AO$496,MATCH($A295,'[5]Budget révisé'!$A$2:$A$496,0),MATCH(I$2,'[5]Budget révisé'!$A$2:$AO$2,0))</f>
        <v>9400.794260302544</v>
      </c>
      <c r="J295" s="31">
        <f>-SUMIFS([5]BV_Data_An_Cour!$O:$O,[5]BV_Data_An_Cour!$X:$X,"Oui",[5]BV_Data_An_Cour!$U:$U,$B295,[5]BV_Data_An_Cour!$V:$V,$C295)</f>
        <v>56488.42</v>
      </c>
      <c r="K295" s="155">
        <f t="shared" si="89"/>
        <v>0.24320701481825827</v>
      </c>
      <c r="L295" s="34">
        <f>-SUMIFS([5]BV_Data_An_Cour!$O:$O,[5]BV_Data_An_Cour!$U:$U,$B295,[5]BV_Data_An_Cour!$V:$V,$C295,[5]BV_Data_An_Cour!$W:$W,$L$2)</f>
        <v>13738.379999999996</v>
      </c>
      <c r="M295" s="164">
        <f t="shared" si="90"/>
        <v>0.64447117081660066</v>
      </c>
      <c r="N295" s="60">
        <f t="shared" si="91"/>
        <v>4337.5857396974516</v>
      </c>
      <c r="O295" s="31">
        <f>-SUMIFS([5]BV_Data_An_Prec!$O:$O,[5]BV_Data_An_Prec!$X:$X,"Oui",[5]BV_Data_An_Prec!$U:$U,$B295,[5]BV_Data_An_Prec!$V:$V,$C295)</f>
        <v>53706.559999999998</v>
      </c>
      <c r="P295" s="155">
        <f t="shared" si="92"/>
        <v>0.27600985801362066</v>
      </c>
      <c r="Q295" s="34">
        <f>-SUMIFS([5]BV_Data_An_Prec!$O:$O,[5]BV_Data_An_Prec!$U:$U,$B295,[5]BV_Data_An_Prec!$V:$V,$C295,[5]BV_Data_An_Prec!$W:$W,$L$2)</f>
        <v>14823.539999999997</v>
      </c>
      <c r="R295" s="164">
        <f t="shared" ref="R295:R302" si="96">IF(O295=0,0,(J295-O295)/O295)</f>
        <v>5.1797396817074126E-2</v>
      </c>
      <c r="S295" s="86">
        <f t="shared" si="93"/>
        <v>-1085.1600000000017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8"/>
        <v>PiècesP/A Garantie</v>
      </c>
      <c r="B296" s="12" t="s">
        <v>104</v>
      </c>
      <c r="C296" s="30" t="s">
        <v>108</v>
      </c>
      <c r="D296" s="83">
        <f>+INDEX('[5]Budget original'!$A$2:$AO$496,MATCH($A296,'[5]Budget original'!$A$2:$A$496,0),MATCH(D$2,'[5]Budget original'!$A$2:$AO$2,0))</f>
        <v>54593.585542272544</v>
      </c>
      <c r="E296" s="155">
        <f t="shared" si="94"/>
        <v>0.23983607715678654</v>
      </c>
      <c r="F296" s="86">
        <f>+INDEX('[5]Budget original'!$A$2:$AO$496,MATCH($A296,'[5]Budget original'!$A$2:$A$496,0),MATCH(F$2,'[5]Budget original'!$A$2:$AO$2,0))</f>
        <v>13093.511394382103</v>
      </c>
      <c r="G296" s="83">
        <f>+INDEX('[5]Budget révisé'!$A$2:$AO$496,MATCH($A296,'[5]Budget révisé'!$A$2:$A$496,0),MATCH(G$2,'[5]Budget révisé'!$A$2:$AO$2,0))</f>
        <v>54593.585542272544</v>
      </c>
      <c r="H296" s="155">
        <f t="shared" si="95"/>
        <v>0.23983607715678654</v>
      </c>
      <c r="I296" s="86">
        <f>+INDEX('[5]Budget révisé'!$A$2:$AO$496,MATCH($A296,'[5]Budget révisé'!$A$2:$A$496,0),MATCH(I$2,'[5]Budget révisé'!$A$2:$AO$2,0))</f>
        <v>13093.511394382103</v>
      </c>
      <c r="J296" s="31">
        <f>-SUMIFS([5]BV_Data_An_Cour!$O:$O,[5]BV_Data_An_Cour!$X:$X,"Oui",[5]BV_Data_An_Cour!$U:$U,$B296,[5]BV_Data_An_Cour!$V:$V,$C296)</f>
        <v>50295.94</v>
      </c>
      <c r="K296" s="155">
        <f t="shared" si="89"/>
        <v>0.2317936596870443</v>
      </c>
      <c r="L296" s="34">
        <f>-SUMIFS([5]BV_Data_An_Cour!$O:$O,[5]BV_Data_An_Cour!$U:$U,$B296,[5]BV_Data_An_Cour!$V:$V,$C296,[5]BV_Data_An_Cour!$W:$W,$L$2)</f>
        <v>11658.279999999999</v>
      </c>
      <c r="M296" s="164">
        <f t="shared" si="90"/>
        <v>-7.8720704998297225E-2</v>
      </c>
      <c r="N296" s="60">
        <f t="shared" si="91"/>
        <v>-1435.2313943821046</v>
      </c>
      <c r="O296" s="31">
        <f>-SUMIFS([5]BV_Data_An_Prec!$O:$O,[5]BV_Data_An_Prec!$X:$X,"Oui",[5]BV_Data_An_Prec!$U:$U,$B296,[5]BV_Data_An_Prec!$V:$V,$C296)</f>
        <v>49947.62</v>
      </c>
      <c r="P296" s="155">
        <f t="shared" si="92"/>
        <v>0.23874711147398026</v>
      </c>
      <c r="Q296" s="34">
        <f>-SUMIFS([5]BV_Data_An_Prec!$O:$O,[5]BV_Data_An_Prec!$U:$U,$B296,[5]BV_Data_An_Prec!$V:$V,$C296,[5]BV_Data_An_Prec!$W:$W,$L$2)</f>
        <v>11924.850000000006</v>
      </c>
      <c r="R296" s="164">
        <f t="shared" si="96"/>
        <v>6.9737056540431696E-3</v>
      </c>
      <c r="S296" s="86">
        <f t="shared" si="93"/>
        <v>-266.57000000000698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8"/>
        <v>PiècesVentes Internes</v>
      </c>
      <c r="B297" s="12" t="s">
        <v>104</v>
      </c>
      <c r="C297" s="30" t="s">
        <v>109</v>
      </c>
      <c r="D297" s="83">
        <f>+INDEX('[5]Budget original'!$A$2:$AO$496,MATCH($A297,'[5]Budget original'!$A$2:$A$496,0),MATCH(D$2,'[5]Budget original'!$A$2:$AO$2,0))</f>
        <v>46239.681459358391</v>
      </c>
      <c r="E297" s="155">
        <f t="shared" si="94"/>
        <v>0.32994466198333777</v>
      </c>
      <c r="F297" s="86">
        <f>+INDEX('[5]Budget original'!$A$2:$AO$496,MATCH($A297,'[5]Budget original'!$A$2:$A$496,0),MATCH(F$2,'[5]Budget original'!$A$2:$AO$2,0))</f>
        <v>15256.536069325215</v>
      </c>
      <c r="G297" s="83">
        <f>+INDEX('[5]Budget révisé'!$A$2:$AO$496,MATCH($A297,'[5]Budget révisé'!$A$2:$A$496,0),MATCH(G$2,'[5]Budget révisé'!$A$2:$AO$2,0))</f>
        <v>46239.681459358391</v>
      </c>
      <c r="H297" s="155">
        <f t="shared" si="95"/>
        <v>0.32994466198333777</v>
      </c>
      <c r="I297" s="86">
        <f>+INDEX('[5]Budget révisé'!$A$2:$AO$496,MATCH($A297,'[5]Budget révisé'!$A$2:$A$496,0),MATCH(I$2,'[5]Budget révisé'!$A$2:$AO$2,0))</f>
        <v>15256.536069325215</v>
      </c>
      <c r="J297" s="31">
        <f>-SUMIFS([5]BV_Data_An_Cour!$O:$O,[5]BV_Data_An_Cour!$X:$X,"Oui",[5]BV_Data_An_Cour!$U:$U,$B297,[5]BV_Data_An_Cour!$V:$V,$C297)</f>
        <v>62580.26</v>
      </c>
      <c r="K297" s="155">
        <f t="shared" si="89"/>
        <v>0.31243590231168739</v>
      </c>
      <c r="L297" s="34">
        <f>-SUMIFS([5]BV_Data_An_Cour!$O:$O,[5]BV_Data_An_Cour!$U:$U,$B297,[5]BV_Data_An_Cour!$V:$V,$C297,[5]BV_Data_An_Cour!$W:$W,$L$2)</f>
        <v>19552.32</v>
      </c>
      <c r="M297" s="164">
        <f t="shared" si="90"/>
        <v>0.35338864855727636</v>
      </c>
      <c r="N297" s="60">
        <f t="shared" si="91"/>
        <v>4295.7839306747846</v>
      </c>
      <c r="O297" s="31">
        <f>-SUMIFS([5]BV_Data_An_Prec!$O:$O,[5]BV_Data_An_Prec!$X:$X,"Oui",[5]BV_Data_An_Prec!$U:$U,$B297,[5]BV_Data_An_Prec!$V:$V,$C297)</f>
        <v>33422.04</v>
      </c>
      <c r="P297" s="155">
        <f t="shared" si="92"/>
        <v>0.34399695530254892</v>
      </c>
      <c r="Q297" s="34">
        <f>-SUMIFS([5]BV_Data_An_Prec!$O:$O,[5]BV_Data_An_Prec!$U:$U,$B297,[5]BV_Data_An_Prec!$V:$V,$C297,[5]BV_Data_An_Prec!$W:$W,$L$2)</f>
        <v>11497.080000000002</v>
      </c>
      <c r="R297" s="164">
        <f t="shared" si="96"/>
        <v>0.87242490284853946</v>
      </c>
      <c r="S297" s="86">
        <f t="shared" si="93"/>
        <v>8055.239999999998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8"/>
        <v>PiècesVentes Détails</v>
      </c>
      <c r="B298" s="12" t="s">
        <v>104</v>
      </c>
      <c r="C298" s="30" t="s">
        <v>110</v>
      </c>
      <c r="D298" s="83">
        <f>+INDEX('[5]Budget original'!$A$2:$AO$496,MATCH($A298,'[5]Budget original'!$A$2:$A$496,0),MATCH(D$2,'[5]Budget original'!$A$2:$AO$2,0))</f>
        <v>12511.403821668857</v>
      </c>
      <c r="E298" s="155">
        <f t="shared" si="94"/>
        <v>0.29678579936093841</v>
      </c>
      <c r="F298" s="86">
        <f>+INDEX('[5]Budget original'!$A$2:$AO$496,MATCH($A298,'[5]Budget original'!$A$2:$A$496,0),MATCH(F$2,'[5]Budget original'!$A$2:$AO$2,0))</f>
        <v>3713.2069843414915</v>
      </c>
      <c r="G298" s="83">
        <f>+INDEX('[5]Budget révisé'!$A$2:$AO$496,MATCH($A298,'[5]Budget révisé'!$A$2:$A$496,0),MATCH(G$2,'[5]Budget révisé'!$A$2:$AO$2,0))</f>
        <v>12511.403821668857</v>
      </c>
      <c r="H298" s="155">
        <f t="shared" si="95"/>
        <v>0.29678579936093841</v>
      </c>
      <c r="I298" s="86">
        <f>+INDEX('[5]Budget révisé'!$A$2:$AO$496,MATCH($A298,'[5]Budget révisé'!$A$2:$A$496,0),MATCH(I$2,'[5]Budget révisé'!$A$2:$AO$2,0))</f>
        <v>3713.2069843414915</v>
      </c>
      <c r="J298" s="31">
        <f>-SUMIFS([5]BV_Data_An_Cour!$O:$O,[5]BV_Data_An_Cour!$X:$X,"Oui",[5]BV_Data_An_Cour!$U:$U,$B298,[5]BV_Data_An_Cour!$V:$V,$C298)</f>
        <v>22567.95</v>
      </c>
      <c r="K298" s="155">
        <f t="shared" si="89"/>
        <v>0.24120445144552347</v>
      </c>
      <c r="L298" s="34">
        <f>-SUMIFS([5]BV_Data_An_Cour!$O:$O,[5]BV_Data_An_Cour!$U:$U,$B298,[5]BV_Data_An_Cour!$V:$V,$C298,[5]BV_Data_An_Cour!$W:$W,$L$2)</f>
        <v>5443.4900000000016</v>
      </c>
      <c r="M298" s="164">
        <f t="shared" si="90"/>
        <v>0.80379039168361943</v>
      </c>
      <c r="N298" s="60">
        <f t="shared" si="91"/>
        <v>1730.2830156585101</v>
      </c>
      <c r="O298" s="31">
        <f>-SUMIFS([5]BV_Data_An_Prec!$O:$O,[5]BV_Data_An_Prec!$X:$X,"Oui",[5]BV_Data_An_Prec!$U:$U,$B298,[5]BV_Data_An_Prec!$V:$V,$C298)</f>
        <v>14681.79</v>
      </c>
      <c r="P298" s="155">
        <f t="shared" si="92"/>
        <v>0.29793301770424452</v>
      </c>
      <c r="Q298" s="34">
        <f>-SUMIFS([5]BV_Data_An_Prec!$O:$O,[5]BV_Data_An_Prec!$U:$U,$B298,[5]BV_Data_An_Prec!$V:$V,$C298,[5]BV_Data_An_Prec!$W:$W,$L$2)</f>
        <v>4374.1900000000005</v>
      </c>
      <c r="R298" s="164">
        <f t="shared" si="96"/>
        <v>0.53713886385788101</v>
      </c>
      <c r="S298" s="86">
        <f t="shared" si="93"/>
        <v>1069.3000000000011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8"/>
        <v>PiècesVentes de Gros</v>
      </c>
      <c r="B299" s="12" t="s">
        <v>104</v>
      </c>
      <c r="C299" s="30" t="s">
        <v>111</v>
      </c>
      <c r="D299" s="83">
        <f>+INDEX('[5]Budget original'!$A$2:$AO$496,MATCH($A299,'[5]Budget original'!$A$2:$A$496,0),MATCH(D$2,'[5]Budget original'!$A$2:$AO$2,0))</f>
        <v>43358.307457594434</v>
      </c>
      <c r="E299" s="155">
        <f t="shared" si="94"/>
        <v>0.19081606757663097</v>
      </c>
      <c r="F299" s="86">
        <f>+INDEX('[5]Budget original'!$A$2:$AO$496,MATCH($A299,'[5]Budget original'!$A$2:$A$496,0),MATCH(F$2,'[5]Budget original'!$A$2:$AO$2,0))</f>
        <v>8273.4617258366816</v>
      </c>
      <c r="G299" s="83">
        <f>+INDEX('[5]Budget révisé'!$A$2:$AO$496,MATCH($A299,'[5]Budget révisé'!$A$2:$A$496,0),MATCH(G$2,'[5]Budget révisé'!$A$2:$AO$2,0))</f>
        <v>43358.307457594434</v>
      </c>
      <c r="H299" s="155">
        <f t="shared" si="95"/>
        <v>0.19081606757663097</v>
      </c>
      <c r="I299" s="86">
        <f>+INDEX('[5]Budget révisé'!$A$2:$AO$496,MATCH($A299,'[5]Budget révisé'!$A$2:$A$496,0),MATCH(I$2,'[5]Budget révisé'!$A$2:$AO$2,0))</f>
        <v>8273.4617258366816</v>
      </c>
      <c r="J299" s="31">
        <f>-SUMIFS([5]BV_Data_An_Cour!$O:$O,[5]BV_Data_An_Cour!$X:$X,"Oui",[5]BV_Data_An_Cour!$U:$U,$B299,[5]BV_Data_An_Cour!$V:$V,$C299)</f>
        <v>33786.17</v>
      </c>
      <c r="K299" s="155">
        <f t="shared" si="89"/>
        <v>0.19853626498653146</v>
      </c>
      <c r="L299" s="34">
        <f>-SUMIFS([5]BV_Data_An_Cour!$O:$O,[5]BV_Data_An_Cour!$U:$U,$B299,[5]BV_Data_An_Cour!$V:$V,$C299,[5]BV_Data_An_Cour!$W:$W,$L$2)</f>
        <v>6707.7799999999988</v>
      </c>
      <c r="M299" s="164">
        <f t="shared" si="90"/>
        <v>-0.22076824532314224</v>
      </c>
      <c r="N299" s="60">
        <f t="shared" si="91"/>
        <v>-1565.6817258366827</v>
      </c>
      <c r="O299" s="31">
        <f>-SUMIFS([5]BV_Data_An_Prec!$O:$O,[5]BV_Data_An_Prec!$X:$X,"Oui",[5]BV_Data_An_Prec!$U:$U,$B299,[5]BV_Data_An_Prec!$V:$V,$C299)</f>
        <v>51943.58</v>
      </c>
      <c r="P299" s="155">
        <f t="shared" si="92"/>
        <v>0.17060183375885909</v>
      </c>
      <c r="Q299" s="34">
        <f>-SUMIFS([5]BV_Data_An_Prec!$O:$O,[5]BV_Data_An_Prec!$U:$U,$B299,[5]BV_Data_An_Prec!$V:$V,$C299,[5]BV_Data_An_Prec!$W:$W,$L$2)</f>
        <v>8861.6699999999983</v>
      </c>
      <c r="R299" s="164">
        <f t="shared" si="96"/>
        <v>-0.34956023439277778</v>
      </c>
      <c r="S299" s="86">
        <f t="shared" si="93"/>
        <v>-2153.8899999999994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8"/>
        <v>Pièces[...]</v>
      </c>
      <c r="B300" s="12" t="s">
        <v>104</v>
      </c>
      <c r="C300" s="30" t="s">
        <v>21</v>
      </c>
      <c r="D300" s="83">
        <f>+INDEX('[5]Budget original'!$A$2:$AO$496,MATCH($A300,'[5]Budget original'!$A$2:$A$496,0),MATCH(D$2,'[5]Budget original'!$A$2:$AO$2,0))</f>
        <v>0</v>
      </c>
      <c r="E300" s="155">
        <f t="shared" si="94"/>
        <v>0</v>
      </c>
      <c r="F300" s="86">
        <f>+INDEX('[5]Budget original'!$A$2:$AO$496,MATCH($A300,'[5]Budget original'!$A$2:$A$496,0),MATCH(F$2,'[5]Budget original'!$A$2:$AO$2,0))</f>
        <v>0</v>
      </c>
      <c r="G300" s="83">
        <f>+INDEX('[5]Budget révisé'!$A$2:$AO$496,MATCH($A300,'[5]Budget révisé'!$A$2:$A$496,0),MATCH(G$2,'[5]Budget révisé'!$A$2:$AO$2,0))</f>
        <v>0</v>
      </c>
      <c r="H300" s="155">
        <f t="shared" si="95"/>
        <v>0</v>
      </c>
      <c r="I300" s="86">
        <f>+INDEX('[5]Budget révisé'!$A$2:$AO$496,MATCH($A300,'[5]Budget révisé'!$A$2:$A$496,0),MATCH(I$2,'[5]Budget révisé'!$A$2:$AO$2,0))</f>
        <v>0</v>
      </c>
      <c r="J300" s="31">
        <f>-SUMIFS([5]BV_Data_An_Cour!$O:$O,[5]BV_Data_An_Cour!$X:$X,"Oui",[5]BV_Data_An_Cour!$U:$U,$B300,[5]BV_Data_An_Cour!$V:$V,$C300)</f>
        <v>0</v>
      </c>
      <c r="K300" s="155">
        <f t="shared" si="89"/>
        <v>0</v>
      </c>
      <c r="L300" s="34">
        <f>-SUMIFS([5]BV_Data_An_Cour!$O:$O,[5]BV_Data_An_Cour!$U:$U,$B300,[5]BV_Data_An_Cour!$V:$V,$C300,[5]BV_Data_An_Cour!$W:$W,$L$2)</f>
        <v>0</v>
      </c>
      <c r="M300" s="164" t="e">
        <f t="shared" si="90"/>
        <v>#DIV/0!</v>
      </c>
      <c r="N300" s="60">
        <f t="shared" si="91"/>
        <v>0</v>
      </c>
      <c r="O300" s="31">
        <f>-SUMIFS([5]BV_Data_An_Prec!$O:$O,[5]BV_Data_An_Prec!$X:$X,"Oui",[5]BV_Data_An_Prec!$U:$U,$B300,[5]BV_Data_An_Prec!$V:$V,$C300)</f>
        <v>0</v>
      </c>
      <c r="P300" s="155">
        <f t="shared" si="92"/>
        <v>0</v>
      </c>
      <c r="Q300" s="34">
        <f>-SUMIFS([5]BV_Data_An_Prec!$O:$O,[5]BV_Data_An_Prec!$U:$U,$B300,[5]BV_Data_An_Prec!$V:$V,$C300,[5]BV_Data_An_Prec!$W:$W,$L$2)</f>
        <v>0</v>
      </c>
      <c r="R300" s="164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8"/>
        <v>PiècesEscomptes</v>
      </c>
      <c r="B301" s="12" t="s">
        <v>104</v>
      </c>
      <c r="C301" s="30" t="s">
        <v>112</v>
      </c>
      <c r="D301" s="83">
        <f>+INDEX('[5]Budget original'!$A$2:$AO$496,MATCH($A301,'[5]Budget original'!$A$2:$A$496,0),MATCH(D$2,'[5]Budget original'!$A$2:$AO$2,0))</f>
        <v>0</v>
      </c>
      <c r="E301" s="155">
        <f t="shared" si="94"/>
        <v>0</v>
      </c>
      <c r="F301" s="86">
        <f>+INDEX('[5]Budget original'!$A$2:$AO$496,MATCH($A301,'[5]Budget original'!$A$2:$A$496,0),MATCH(F$2,'[5]Budget original'!$A$2:$AO$2,0))</f>
        <v>9127.9645427277192</v>
      </c>
      <c r="G301" s="83">
        <f>+INDEX('[5]Budget révisé'!$A$2:$AO$496,MATCH($A301,'[5]Budget révisé'!$A$2:$A$496,0),MATCH(G$2,'[5]Budget révisé'!$A$2:$AO$2,0))</f>
        <v>0</v>
      </c>
      <c r="H301" s="155">
        <f t="shared" si="95"/>
        <v>0</v>
      </c>
      <c r="I301" s="86">
        <f>+INDEX('[5]Budget révisé'!$A$2:$AO$496,MATCH($A301,'[5]Budget révisé'!$A$2:$A$496,0),MATCH(I$2,'[5]Budget révisé'!$A$2:$AO$2,0))</f>
        <v>9127.9645427277192</v>
      </c>
      <c r="J301" s="31">
        <f>-SUMIFS([5]BV_Data_An_Cour!$O:$O,[5]BV_Data_An_Cour!$X:$X,"Oui",[5]BV_Data_An_Cour!$U:$U,$B301,[5]BV_Data_An_Cour!$V:$V,$C301)</f>
        <v>0</v>
      </c>
      <c r="K301" s="155">
        <f t="shared" si="89"/>
        <v>0</v>
      </c>
      <c r="L301" s="34">
        <f>-SUMIFS([5]BV_Data_An_Cour!$O:$O,[5]BV_Data_An_Cour!$U:$U,$B301,[5]BV_Data_An_Cour!$V:$V,$C301,[5]BV_Data_An_Cour!$W:$W,$L$2)</f>
        <v>10048.380000000001</v>
      </c>
      <c r="M301" s="164"/>
      <c r="N301" s="60">
        <f t="shared" si="91"/>
        <v>920.41545727228186</v>
      </c>
      <c r="O301" s="31">
        <f>-SUMIFS([5]BV_Data_An_Prec!$O:$O,[5]BV_Data_An_Prec!$X:$X,"Oui",[5]BV_Data_An_Prec!$U:$U,$B301,[5]BV_Data_An_Prec!$V:$V,$C301)</f>
        <v>0</v>
      </c>
      <c r="P301" s="155">
        <f t="shared" si="92"/>
        <v>0</v>
      </c>
      <c r="Q301" s="34">
        <f>-SUMIFS([5]BV_Data_An_Prec!$O:$O,[5]BV_Data_An_Prec!$U:$U,$B301,[5]BV_Data_An_Prec!$V:$V,$C301,[5]BV_Data_An_Prec!$W:$W,$L$2)</f>
        <v>4148.5</v>
      </c>
      <c r="R301" s="164">
        <f t="shared" si="96"/>
        <v>0</v>
      </c>
      <c r="S301" s="86">
        <f t="shared" si="93"/>
        <v>5899.880000000001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8"/>
        <v>PiècesRectif. Inventaire</v>
      </c>
      <c r="B302" s="12" t="s">
        <v>104</v>
      </c>
      <c r="C302" s="88" t="s">
        <v>113</v>
      </c>
      <c r="D302" s="83">
        <f>+INDEX('[5]Budget original'!$A$2:$AO$496,MATCH($A302,'[5]Budget original'!$A$2:$A$496,0),MATCH(D$2,'[5]Budget original'!$A$2:$AO$2,0))</f>
        <v>0</v>
      </c>
      <c r="E302" s="155">
        <f t="shared" si="94"/>
        <v>0</v>
      </c>
      <c r="F302" s="86">
        <f>+INDEX('[5]Budget original'!$A$2:$AO$496,MATCH($A302,'[5]Budget original'!$A$2:$A$496,0),MATCH(F$2,'[5]Budget original'!$A$2:$AO$2,0))</f>
        <v>100</v>
      </c>
      <c r="G302" s="83">
        <f>+INDEX('[5]Budget révisé'!$A$2:$AO$496,MATCH($A302,'[5]Budget révisé'!$A$2:$A$496,0),MATCH(G$2,'[5]Budget révisé'!$A$2:$AO$2,0))</f>
        <v>0</v>
      </c>
      <c r="H302" s="155">
        <f t="shared" si="95"/>
        <v>0</v>
      </c>
      <c r="I302" s="86">
        <f>+INDEX('[5]Budget révisé'!$A$2:$AO$496,MATCH($A302,'[5]Budget révisé'!$A$2:$A$496,0),MATCH(I$2,'[5]Budget révisé'!$A$2:$AO$2,0))</f>
        <v>100</v>
      </c>
      <c r="J302" s="31">
        <f>-SUMIFS([5]BV_Data_An_Cour!$O:$O,[5]BV_Data_An_Cour!$X:$X,"Oui",[5]BV_Data_An_Cour!$U:$U,$B302,[5]BV_Data_An_Cour!$V:$V,$C302)</f>
        <v>0</v>
      </c>
      <c r="K302" s="155">
        <f t="shared" si="89"/>
        <v>0</v>
      </c>
      <c r="L302" s="34">
        <f>-SUMIFS([5]BV_Data_An_Cour!$O:$O,[5]BV_Data_An_Cour!$U:$U,$B302,[5]BV_Data_An_Cour!$V:$V,$C302,[5]BV_Data_An_Cour!$W:$W,$L$2)</f>
        <v>0</v>
      </c>
      <c r="M302" s="164"/>
      <c r="N302" s="60">
        <f t="shared" si="91"/>
        <v>-100</v>
      </c>
      <c r="O302" s="31">
        <f>-SUMIFS([5]BV_Data_An_Prec!$O:$O,[5]BV_Data_An_Prec!$X:$X,"Oui",[5]BV_Data_An_Prec!$U:$U,$B302,[5]BV_Data_An_Prec!$V:$V,$C302)</f>
        <v>0</v>
      </c>
      <c r="P302" s="155">
        <f t="shared" si="92"/>
        <v>0</v>
      </c>
      <c r="Q302" s="34">
        <f>-SUMIFS([5]BV_Data_An_Prec!$O:$O,[5]BV_Data_An_Prec!$U:$U,$B302,[5]BV_Data_An_Prec!$V:$V,$C302,[5]BV_Data_An_Prec!$W:$W,$L$2)</f>
        <v>0</v>
      </c>
      <c r="R302" s="164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8"/>
        <v>PiècesSous-total Pièces</v>
      </c>
      <c r="B303" s="12" t="s">
        <v>104</v>
      </c>
      <c r="C303" s="54" t="s">
        <v>114</v>
      </c>
      <c r="D303" s="204">
        <f>SUM(D294:D302)</f>
        <v>287927.45948935265</v>
      </c>
      <c r="E303" s="223">
        <f>IF(D303&lt;=0,0,F303/D303)</f>
        <v>0.32528567294572774</v>
      </c>
      <c r="F303" s="208">
        <f>SUM(F294:F302)</f>
        <v>93658.677419547836</v>
      </c>
      <c r="G303" s="204">
        <f>SUM(G294:G302)</f>
        <v>287927.45948935265</v>
      </c>
      <c r="H303" s="223">
        <f>IF(G303&lt;=0,0,I303/G303)</f>
        <v>0.32528567294572774</v>
      </c>
      <c r="I303" s="208">
        <f>SUM(I294:I302)</f>
        <v>93658.677419547836</v>
      </c>
      <c r="J303" s="204">
        <f>SUM(J294:J302)</f>
        <v>302542.74</v>
      </c>
      <c r="K303" s="223">
        <f t="shared" si="89"/>
        <v>0.31604139633296113</v>
      </c>
      <c r="L303" s="206">
        <f>SUM(L294:L302)</f>
        <v>95616.030000000013</v>
      </c>
      <c r="M303" s="224">
        <f>(+J303-G303)/G303</f>
        <v>5.0760287110399073E-2</v>
      </c>
      <c r="N303" s="206">
        <f t="shared" si="91"/>
        <v>1957.3525804521778</v>
      </c>
      <c r="O303" s="204">
        <f>SUM(O294:O302)</f>
        <v>308295.97000000003</v>
      </c>
      <c r="P303" s="223">
        <f t="shared" si="92"/>
        <v>0.28498007936983416</v>
      </c>
      <c r="Q303" s="206">
        <f>SUM(Q294:Q302)</f>
        <v>87858.210000000021</v>
      </c>
      <c r="R303" s="224">
        <f>IF(O303=0,0,(J303-O303)/O303)</f>
        <v>-1.8661385680779543E-2</v>
      </c>
      <c r="S303" s="208">
        <f t="shared" si="93"/>
        <v>7757.8199999999924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8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2.0898785188735239E-2</v>
      </c>
      <c r="O304" s="42"/>
      <c r="P304" s="14"/>
      <c r="Q304" s="41"/>
      <c r="R304" s="42"/>
      <c r="S304" s="45">
        <f>IF(Q303=0,0,S303/Q303)</f>
        <v>8.8299317730238192E-2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8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8"/>
        <v>PiècesVentes Pneus</v>
      </c>
      <c r="B306" s="12" t="s">
        <v>104</v>
      </c>
      <c r="C306" s="30" t="s">
        <v>115</v>
      </c>
      <c r="D306" s="83">
        <f>+INDEX('[5]Budget original'!$A$2:$AO$496,MATCH($A306,'[5]Budget original'!$A$2:$A$496,0),MATCH(D$2,'[5]Budget original'!$A$2:$AO$2,0))</f>
        <v>24486.258868781351</v>
      </c>
      <c r="E306" s="155">
        <f t="shared" ref="E306:E307" si="97">IF(D306=0,0,F306/D306)</f>
        <v>0.19500000000000001</v>
      </c>
      <c r="F306" s="116">
        <f>+INDEX('[5]Budget original'!$A$2:$AO$496,MATCH($A306,'[5]Budget original'!$A$2:$A$496,0),MATCH(F$2,'[5]Budget original'!$A$2:$AO$2,0))</f>
        <v>4774.820479412364</v>
      </c>
      <c r="G306" s="83">
        <f>+INDEX('[5]Budget révisé'!$A$2:$AO$496,MATCH($A306,'[5]Budget révisé'!$A$2:$A$496,0),MATCH(G$2,'[5]Budget révisé'!$A$2:$AO$2,0))</f>
        <v>24486.258868781351</v>
      </c>
      <c r="H306" s="155">
        <f t="shared" ref="H306:H307" si="98">IF(G306=0,0,I306/G306)</f>
        <v>0.19500000000000001</v>
      </c>
      <c r="I306" s="116">
        <f>+INDEX('[5]Budget révisé'!$A$2:$AO$496,MATCH($A306,'[5]Budget révisé'!$A$2:$A$496,0),MATCH(I$2,'[5]Budget révisé'!$A$2:$AO$2,0))</f>
        <v>4774.820479412364</v>
      </c>
      <c r="J306" s="31">
        <f>-SUMIFS([5]BV_Data_An_Cour!$O:$O,[5]BV_Data_An_Cour!$X:$X,"Oui",[5]BV_Data_An_Cour!$U:$U,$B306,[5]BV_Data_An_Cour!$V:$V,$C306)</f>
        <v>40926.620000000003</v>
      </c>
      <c r="K306" s="155">
        <f t="shared" ref="K306:K308" si="99">IF(J306&lt;=0,0,L306/J306)</f>
        <v>0.17181995483624116</v>
      </c>
      <c r="L306" s="34">
        <f>-SUMIFS([5]BV_Data_An_Cour!$O:$O,[5]BV_Data_An_Cour!$U:$U,$B306,[5]BV_Data_An_Cour!$V:$V,$C306,[5]BV_Data_An_Cour!$W:$W,$L$2)</f>
        <v>7032.0100000000048</v>
      </c>
      <c r="M306" s="164">
        <f t="shared" ref="M306:M308" si="100">(+J306-G306)/G306</f>
        <v>0.67141171786675902</v>
      </c>
      <c r="N306" s="60">
        <f t="shared" ref="N306:N308" si="101">L306-I306</f>
        <v>2257.1895205876408</v>
      </c>
      <c r="O306" s="31">
        <f>-SUMIFS([5]BV_Data_An_Prec!$O:$O,[5]BV_Data_An_Prec!$X:$X,"Oui",[5]BV_Data_An_Prec!$U:$U,$B306,[5]BV_Data_An_Prec!$V:$V,$C306)</f>
        <v>11417.96</v>
      </c>
      <c r="P306" s="155">
        <f t="shared" ref="P306:P308" si="102">IF(O306&lt;=0,0,Q306/O306)</f>
        <v>0.19235222404002106</v>
      </c>
      <c r="Q306" s="34">
        <f>-SUMIFS([5]BV_Data_An_Prec!$O:$O,[5]BV_Data_An_Prec!$U:$U,$B306,[5]BV_Data_An_Prec!$V:$V,$C306,[5]BV_Data_An_Prec!$W:$W,$L$2)</f>
        <v>2196.2699999999986</v>
      </c>
      <c r="R306" s="164">
        <f t="shared" ref="R306:R307" si="103">IF(O306=0,0,(J306-O306)/O306)</f>
        <v>2.58440737224513</v>
      </c>
      <c r="S306" s="86">
        <f t="shared" ref="S306:S308" si="104">L306-Q306</f>
        <v>4835.7400000000061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8"/>
        <v>PiècesHuiles et Graisse</v>
      </c>
      <c r="B307" s="12" t="s">
        <v>104</v>
      </c>
      <c r="C307" s="88" t="s">
        <v>116</v>
      </c>
      <c r="D307" s="83">
        <f>+INDEX('[5]Budget original'!$A$2:$AO$496,MATCH($A307,'[5]Budget original'!$A$2:$A$496,0),MATCH(D$2,'[5]Budget original'!$A$2:$AO$2,0))</f>
        <v>22448.181251008446</v>
      </c>
      <c r="E307" s="155">
        <f t="shared" si="97"/>
        <v>0.30006987567403659</v>
      </c>
      <c r="F307" s="95">
        <f>+INDEX('[5]Budget original'!$A$2:$AO$496,MATCH($A307,'[5]Budget original'!$A$2:$A$496,0),MATCH(F$2,'[5]Budget original'!$A$2:$AO$2,0))</f>
        <v>6736.0229570983438</v>
      </c>
      <c r="G307" s="83">
        <f>+INDEX('[5]Budget révisé'!$A$2:$AO$496,MATCH($A307,'[5]Budget révisé'!$A$2:$A$496,0),MATCH(G$2,'[5]Budget révisé'!$A$2:$AO$2,0))</f>
        <v>22448.181251008446</v>
      </c>
      <c r="H307" s="155">
        <f t="shared" si="98"/>
        <v>0.30006987567403659</v>
      </c>
      <c r="I307" s="95">
        <f>+INDEX('[5]Budget révisé'!$A$2:$AO$496,MATCH($A307,'[5]Budget révisé'!$A$2:$A$496,0),MATCH(I$2,'[5]Budget révisé'!$A$2:$AO$2,0))</f>
        <v>6736.0229570983438</v>
      </c>
      <c r="J307" s="31">
        <f>-SUMIFS([5]BV_Data_An_Cour!$O:$O,[5]BV_Data_An_Cour!$X:$X,"Oui",[5]BV_Data_An_Cour!$U:$U,$B307,[5]BV_Data_An_Cour!$V:$V,$C307)</f>
        <v>22741.31</v>
      </c>
      <c r="K307" s="155">
        <f t="shared" si="99"/>
        <v>0.29140141882767534</v>
      </c>
      <c r="L307" s="34">
        <f>-SUMIFS([5]BV_Data_An_Cour!$O:$O,[5]BV_Data_An_Cour!$U:$U,$B307,[5]BV_Data_An_Cour!$V:$V,$C307,[5]BV_Data_An_Cour!$W:$W,$L$2)</f>
        <v>6626.8500000000022</v>
      </c>
      <c r="M307" s="164">
        <f t="shared" si="100"/>
        <v>1.3058017739338569E-2</v>
      </c>
      <c r="N307" s="60">
        <f t="shared" si="101"/>
        <v>-109.17295709834161</v>
      </c>
      <c r="O307" s="31">
        <f>-SUMIFS([5]BV_Data_An_Prec!$O:$O,[5]BV_Data_An_Prec!$X:$X,"Oui",[5]BV_Data_An_Prec!$U:$U,$B307,[5]BV_Data_An_Prec!$V:$V,$C307)</f>
        <v>21521.53</v>
      </c>
      <c r="P307" s="155">
        <f t="shared" si="102"/>
        <v>0.30923498468742694</v>
      </c>
      <c r="Q307" s="34">
        <f>-SUMIFS([5]BV_Data_An_Prec!$O:$O,[5]BV_Data_An_Prec!$U:$U,$B307,[5]BV_Data_An_Prec!$V:$V,$C307,[5]BV_Data_An_Prec!$W:$W,$L$2)</f>
        <v>6655.2099999999991</v>
      </c>
      <c r="R307" s="164">
        <f t="shared" si="103"/>
        <v>5.6677197206704291E-2</v>
      </c>
      <c r="S307" s="86">
        <f t="shared" si="104"/>
        <v>-28.359999999996944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8"/>
        <v>PiècesSous-total Pièces et Acc.</v>
      </c>
      <c r="B308" s="12" t="s">
        <v>104</v>
      </c>
      <c r="C308" s="54" t="s">
        <v>117</v>
      </c>
      <c r="D308" s="204">
        <f>D303+D306+D307</f>
        <v>334861.89960914245</v>
      </c>
      <c r="E308" s="223">
        <f>IF(D308&lt;=0,0,F308/D308)</f>
        <v>0.31406833975084814</v>
      </c>
      <c r="F308" s="206">
        <f t="shared" ref="F308" si="105">F303+F306+F307</f>
        <v>105169.52085605855</v>
      </c>
      <c r="G308" s="207">
        <f>G303+G306+G307</f>
        <v>334861.89960914245</v>
      </c>
      <c r="H308" s="223">
        <f>IF(G308&lt;=0,0,I308/G308)</f>
        <v>0.31406833975084814</v>
      </c>
      <c r="I308" s="206">
        <f t="shared" ref="I308:J308" si="106">I303+I306+I307</f>
        <v>105169.52085605855</v>
      </c>
      <c r="J308" s="207">
        <f t="shared" si="106"/>
        <v>366210.67</v>
      </c>
      <c r="K308" s="223">
        <f t="shared" si="99"/>
        <v>0.29839351758920635</v>
      </c>
      <c r="L308" s="206">
        <f>L303+L306+L307</f>
        <v>109274.89000000003</v>
      </c>
      <c r="M308" s="224">
        <f t="shared" si="100"/>
        <v>9.3617011751556248E-2</v>
      </c>
      <c r="N308" s="206">
        <f t="shared" si="101"/>
        <v>4105.3691439414833</v>
      </c>
      <c r="O308" s="207">
        <f t="shared" ref="O308" si="107">O303+O306+O307</f>
        <v>341235.46000000008</v>
      </c>
      <c r="P308" s="223">
        <f t="shared" si="102"/>
        <v>0.28341043454276416</v>
      </c>
      <c r="Q308" s="206">
        <f>Q303+Q306+Q307</f>
        <v>96709.690000000031</v>
      </c>
      <c r="R308" s="224">
        <f>IF(O308=0,0,(J308-O308)/O308)</f>
        <v>7.319054707854776E-2</v>
      </c>
      <c r="S308" s="208">
        <f t="shared" si="104"/>
        <v>12565.199999999997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8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3.9035731175007853E-2</v>
      </c>
      <c r="O309" s="42"/>
      <c r="P309" s="14"/>
      <c r="Q309" s="41"/>
      <c r="R309" s="42"/>
      <c r="S309" s="45">
        <f>IF(Q308=0,0,S308/Q308)</f>
        <v>0.12992700111022995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8"/>
        <v>Pièces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8"/>
        <v>PiècesAutostock</v>
      </c>
      <c r="B311" s="12" t="s">
        <v>104</v>
      </c>
      <c r="C311" s="88" t="s">
        <v>118</v>
      </c>
      <c r="D311" s="92">
        <f>+INDEX('[5]Budget original'!$A$2:$AO$496,MATCH($A311,'[5]Budget original'!$A$2:$A$496,0),MATCH(D$2,'[5]Budget original'!$A$2:$AO$2,0))</f>
        <v>0</v>
      </c>
      <c r="E311" s="227">
        <f t="shared" ref="E311" si="108">IF(D311=0,0,F311/D311)</f>
        <v>0</v>
      </c>
      <c r="F311" s="153">
        <f>+INDEX('[5]Budget original'!$A$2:$AO$496,MATCH($A311,'[5]Budget original'!$A$2:$A$496,0),MATCH(F$2,'[5]Budget original'!$A$2:$AO$2,0))</f>
        <v>0</v>
      </c>
      <c r="G311" s="181">
        <f>+INDEX('[5]Budget révisé'!$A$2:$AO$496,MATCH($A311,'[5]Budget révisé'!$A$2:$A$496,0),MATCH(G$2,'[5]Budget révisé'!$A$2:$AO$2,0))</f>
        <v>0</v>
      </c>
      <c r="H311" s="227">
        <f t="shared" ref="H311" si="109">IF(G311=0,0,I311/G311)</f>
        <v>0</v>
      </c>
      <c r="I311" s="153">
        <f>+INDEX('[5]Budget révisé'!$A$2:$AO$496,MATCH($A311,'[5]Budget révisé'!$A$2:$A$496,0),MATCH(I$2,'[5]Budget révisé'!$A$2:$AO$2,0))</f>
        <v>0</v>
      </c>
      <c r="J311" s="47">
        <f>-SUMIFS([5]BV_Data_An_Cour!$O:$O,[5]BV_Data_An_Cour!$X:$X,"Oui",[5]BV_Data_An_Cour!$U:$U,$B311,[5]BV_Data_An_Cour!$V:$V,$C311)</f>
        <v>0</v>
      </c>
      <c r="K311" s="228">
        <f>IF(J311&lt;=0,0,L311/J311)</f>
        <v>0</v>
      </c>
      <c r="L311" s="23">
        <f>-SUMIFS([5]BV_Data_An_Cour!$O:$O,[5]BV_Data_An_Cour!$U:$U,$B311,[5]BV_Data_An_Cour!$V:$V,$C311,[5]BV_Data_An_Cour!$W:$W,$L$2)</f>
        <v>0</v>
      </c>
      <c r="M311" s="228">
        <f>IF(F311=0,0,(+L311-F311)/F311)</f>
        <v>0</v>
      </c>
      <c r="N311" s="94">
        <f>L311-I311</f>
        <v>0</v>
      </c>
      <c r="O311" s="47">
        <f>-SUMIFS([5]BV_Data_An_Prec!$O:$O,[5]BV_Data_An_Prec!$X:$X,"Oui",[5]BV_Data_An_Prec!$U:$U,$B311,[5]BV_Data_An_Prec!$V:$V,$C311)</f>
        <v>0</v>
      </c>
      <c r="P311" s="228">
        <f>IF(O311&lt;=0,0,Q311/O311)</f>
        <v>0</v>
      </c>
      <c r="Q311" s="23">
        <f>-SUMIFS([5]BV_Data_An_Prec!$O:$O,[5]BV_Data_An_Prec!$U:$U,$B311,[5]BV_Data_An_Prec!$V:$V,$C311,[5]BV_Data_An_Prec!$W:$W,$L$2)</f>
        <v>0</v>
      </c>
      <c r="R311" s="228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8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8"/>
        <v>PiècesTotal Dépt. Pièces</v>
      </c>
      <c r="B313" s="12" t="s">
        <v>104</v>
      </c>
      <c r="C313" s="63" t="s">
        <v>119</v>
      </c>
      <c r="D313" s="64">
        <f>D308+D311</f>
        <v>334861.89960914245</v>
      </c>
      <c r="E313" s="229">
        <f>IF(D313&lt;=0,0,F313/D313)</f>
        <v>0.31406833975084814</v>
      </c>
      <c r="F313" s="66">
        <f t="shared" ref="F313" si="110">F308+F311</f>
        <v>105169.52085605855</v>
      </c>
      <c r="G313" s="67">
        <f>G308+G311</f>
        <v>334861.89960914245</v>
      </c>
      <c r="H313" s="229">
        <f>IF(G313&lt;=0,0,I313/G313)</f>
        <v>0.31406833975084814</v>
      </c>
      <c r="I313" s="66">
        <f t="shared" ref="I313:J313" si="111">I308+I311</f>
        <v>105169.52085605855</v>
      </c>
      <c r="J313" s="67">
        <f t="shared" si="111"/>
        <v>366210.67</v>
      </c>
      <c r="K313" s="229">
        <f>IF(J313&lt;=0,0,L313/J313)</f>
        <v>0.29839351758920635</v>
      </c>
      <c r="L313" s="66">
        <f>L308+L311</f>
        <v>109274.89000000003</v>
      </c>
      <c r="M313" s="230">
        <f>(+J313-G313)/G313</f>
        <v>9.3617011751556248E-2</v>
      </c>
      <c r="N313" s="231">
        <f>L313-I313</f>
        <v>4105.3691439414833</v>
      </c>
      <c r="O313" s="67">
        <f t="shared" ref="O313" si="112">O308+O311</f>
        <v>341235.46000000008</v>
      </c>
      <c r="P313" s="229">
        <f>IF(O313&lt;=0,0,Q313/O313)</f>
        <v>0.28341043454276416</v>
      </c>
      <c r="Q313" s="66">
        <f>Q308+Q311</f>
        <v>96709.690000000031</v>
      </c>
      <c r="R313" s="230">
        <f>IF(O313=0,0,(J313-O313)/O313)</f>
        <v>7.319054707854776E-2</v>
      </c>
      <c r="S313" s="232">
        <f>L313-Q313</f>
        <v>12565.199999999997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8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3.9035731175007853E-2</v>
      </c>
      <c r="O314" s="237"/>
      <c r="P314" s="235"/>
      <c r="Q314" s="236"/>
      <c r="R314" s="238"/>
      <c r="S314" s="76">
        <f>IF(Q313=0,0,S313/Q313)</f>
        <v>0.12992700111022995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8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8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8"/>
        <v>PiècesSalaires cadres</v>
      </c>
      <c r="B317" s="12" t="s">
        <v>104</v>
      </c>
      <c r="C317" s="108" t="s">
        <v>42</v>
      </c>
      <c r="D317" s="14"/>
      <c r="E317" s="14"/>
      <c r="F317" s="31">
        <f>+INDEX('[5]Budget original'!$A$2:$AO$496,MATCH($A317,'[5]Budget original'!$A$2:$A$496,0),MATCH(F$2,'[5]Budget original'!$A$2:$AO$2,0))</f>
        <v>8924.8553069292284</v>
      </c>
      <c r="G317" s="42"/>
      <c r="H317" s="14"/>
      <c r="I317" s="31">
        <f>+INDEX('[5]Budget révisé'!$A$2:$AO$496,MATCH($A317,'[5]Budget révisé'!$A$2:$A$496,0),MATCH(I$2,'[5]Budget révisé'!$A$2:$AO$2,0))</f>
        <v>8924.8553069292284</v>
      </c>
      <c r="J317" s="42"/>
      <c r="K317" s="14"/>
      <c r="L317" s="34">
        <f>SUMIFS([5]BV_Data_An_Cour!$O:$O,[5]BV_Data_An_Cour!$U:$U,$B317,[5]BV_Data_An_Cour!$V:$V,$C317,[5]BV_Data_An_Cour!$W:$W,$L$2)</f>
        <v>5310.49</v>
      </c>
      <c r="M317" s="42"/>
      <c r="N317" s="60">
        <f t="shared" ref="N317:N347" si="113">L317-I317</f>
        <v>-3614.3653069292286</v>
      </c>
      <c r="O317" s="42"/>
      <c r="P317" s="14"/>
      <c r="Q317" s="34">
        <f>SUMIFS([5]BV_Data_An_Prec!$O:$O,[5]BV_Data_An_Prec!$U:$U,$B317,[5]BV_Data_An_Prec!$V:$V,$C317,[5]BV_Data_An_Prec!$W:$W,$L$2)</f>
        <v>14935</v>
      </c>
      <c r="R317" s="42"/>
      <c r="S317" s="35">
        <f>L317-Q317</f>
        <v>-9624.51</v>
      </c>
      <c r="T317" s="14"/>
      <c r="U317" s="14"/>
      <c r="V317" s="14" t="s">
        <v>245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8"/>
        <v>PiècesSalaires commis</v>
      </c>
      <c r="B318" s="12" t="s">
        <v>104</v>
      </c>
      <c r="C318" s="109" t="s">
        <v>43</v>
      </c>
      <c r="D318" s="82"/>
      <c r="E318" s="14"/>
      <c r="F318" s="23">
        <f>+INDEX('[5]Budget original'!$A$2:$AO$496,MATCH($A318,'[5]Budget original'!$A$2:$A$496,0),MATCH(F$2,'[5]Budget original'!$A$2:$AO$2,0))</f>
        <v>4254.8802291494258</v>
      </c>
      <c r="G318" s="84"/>
      <c r="H318" s="14"/>
      <c r="I318" s="23">
        <f>+INDEX('[5]Budget révisé'!$A$2:$AO$496,MATCH($A318,'[5]Budget révisé'!$A$2:$A$496,0),MATCH(I$2,'[5]Budget révisé'!$A$2:$AO$2,0))</f>
        <v>4254.8802291494258</v>
      </c>
      <c r="J318" s="42"/>
      <c r="K318" s="14"/>
      <c r="L318" s="34">
        <f>SUMIFS([5]BV_Data_An_Cour!$O:$O,[5]BV_Data_An_Cour!$U:$U,$B318,[5]BV_Data_An_Cour!$V:$V,$C318,[5]BV_Data_An_Cour!$W:$W,$L$2)</f>
        <v>4214.5</v>
      </c>
      <c r="M318" s="42"/>
      <c r="N318" s="60">
        <f t="shared" si="113"/>
        <v>-40.380229149425759</v>
      </c>
      <c r="O318" s="42"/>
      <c r="P318" s="14"/>
      <c r="Q318" s="34">
        <f>SUMIFS([5]BV_Data_An_Prec!$O:$O,[5]BV_Data_An_Prec!$U:$U,$B318,[5]BV_Data_An_Prec!$V:$V,$C318,[5]BV_Data_An_Prec!$W:$W,$L$2)</f>
        <v>4894.97</v>
      </c>
      <c r="R318" s="42"/>
      <c r="S318" s="86">
        <f t="shared" ref="S318:S347" si="114">L318-Q318</f>
        <v>-680.47000000000025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8"/>
        <v>PiècesSalaires autres</v>
      </c>
      <c r="B319" s="12" t="s">
        <v>104</v>
      </c>
      <c r="C319" s="108" t="s">
        <v>44</v>
      </c>
      <c r="D319" s="110"/>
      <c r="E319" s="111"/>
      <c r="F319" s="31">
        <f>+INDEX('[5]Budget original'!$A$2:$AO$496,MATCH($A319,'[5]Budget original'!$A$2:$A$496,0),MATCH(F$2,'[5]Budget original'!$A$2:$AO$2,0))</f>
        <v>15813.640893866666</v>
      </c>
      <c r="G319" s="112"/>
      <c r="H319" s="111"/>
      <c r="I319" s="31">
        <f>+INDEX('[5]Budget révisé'!$A$2:$AO$496,MATCH($A319,'[5]Budget révisé'!$A$2:$A$496,0),MATCH(I$2,'[5]Budget révisé'!$A$2:$AO$2,0))</f>
        <v>15813.640893866666</v>
      </c>
      <c r="J319" s="113"/>
      <c r="K319" s="111"/>
      <c r="L319" s="114">
        <f>SUMIFS([5]BV_Data_An_Cour!$O:$O,[5]BV_Data_An_Cour!$U:$U,$B319,[5]BV_Data_An_Cour!$V:$V,$C319,[5]BV_Data_An_Cour!$W:$W,$L$2)</f>
        <v>20961.07</v>
      </c>
      <c r="M319" s="113"/>
      <c r="N319" s="115">
        <f t="shared" si="113"/>
        <v>5147.4291061333333</v>
      </c>
      <c r="O319" s="113"/>
      <c r="P319" s="111"/>
      <c r="Q319" s="114">
        <f>SUMIFS([5]BV_Data_An_Prec!$O:$O,[5]BV_Data_An_Prec!$U:$U,$B319,[5]BV_Data_An_Prec!$V:$V,$C319,[5]BV_Data_An_Prec!$W:$W,$L$2)</f>
        <v>15986.51</v>
      </c>
      <c r="R319" s="113"/>
      <c r="S319" s="116">
        <f t="shared" si="114"/>
        <v>4974.5599999999995</v>
      </c>
      <c r="T319" s="14"/>
      <c r="U319" s="533"/>
      <c r="V319" s="533" t="s">
        <v>246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8"/>
        <v>PiècesSalaires spécialistes</v>
      </c>
      <c r="B320" s="12" t="s">
        <v>104</v>
      </c>
      <c r="C320" s="108" t="s">
        <v>45</v>
      </c>
      <c r="D320" s="82"/>
      <c r="E320" s="14"/>
      <c r="F320" s="31">
        <f>+INDEX('[5]Budget original'!$A$2:$AO$496,MATCH($A320,'[5]Budget original'!$A$2:$A$496,0),MATCH(F$2,'[5]Budget original'!$A$2:$AO$2,0))</f>
        <v>0</v>
      </c>
      <c r="G320" s="84"/>
      <c r="H320" s="14"/>
      <c r="I320" s="31">
        <f>+INDEX('[5]Budget révisé'!$A$2:$AO$496,MATCH($A320,'[5]Budget révisé'!$A$2:$A$496,0),MATCH(I$2,'[5]Budget révisé'!$A$2:$AO$2,0))</f>
        <v>0</v>
      </c>
      <c r="J320" s="42"/>
      <c r="K320" s="14"/>
      <c r="L320" s="34">
        <f>SUMIFS([5]BV_Data_An_Cour!$O:$O,[5]BV_Data_An_Cour!$U:$U,$B320,[5]BV_Data_An_Cour!$V:$V,$C320,[5]BV_Data_An_Cour!$W:$W,$L$2)</f>
        <v>0</v>
      </c>
      <c r="M320" s="42"/>
      <c r="N320" s="60">
        <f t="shared" si="113"/>
        <v>0</v>
      </c>
      <c r="O320" s="42"/>
      <c r="P320" s="14"/>
      <c r="Q320" s="34">
        <f>SUMIFS([5]BV_Data_An_Prec!$O:$O,[5]BV_Data_An_Prec!$U:$U,$B320,[5]BV_Data_An_Prec!$V:$V,$C320,[5]BV_Data_An_Prec!$W:$W,$L$2)</f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8"/>
        <v>Pièces[...]</v>
      </c>
      <c r="B321" s="12" t="s">
        <v>104</v>
      </c>
      <c r="C321" s="240" t="s">
        <v>21</v>
      </c>
      <c r="D321" s="82"/>
      <c r="E321" s="14"/>
      <c r="F321" s="31">
        <f>+INDEX('[5]Budget original'!$A$2:$AO$496,MATCH($A321,'[5]Budget original'!$A$2:$A$496,0),MATCH(F$2,'[5]Budget original'!$A$2:$AO$2,0))</f>
        <v>0</v>
      </c>
      <c r="G321" s="84"/>
      <c r="H321" s="14"/>
      <c r="I321" s="31">
        <f>+INDEX('[5]Budget révisé'!$A$2:$AO$496,MATCH($A321,'[5]Budget révisé'!$A$2:$A$496,0),MATCH(I$2,'[5]Budget révisé'!$A$2:$AO$2,0))</f>
        <v>0</v>
      </c>
      <c r="J321" s="42"/>
      <c r="K321" s="14"/>
      <c r="L321" s="34">
        <f>SUMIFS([5]BV_Data_An_Cour!$O:$O,[5]BV_Data_An_Cour!$U:$U,$B321,[5]BV_Data_An_Cour!$V:$V,$C321,[5]BV_Data_An_Cour!$W:$W,$L$2)</f>
        <v>0</v>
      </c>
      <c r="M321" s="42"/>
      <c r="N321" s="60">
        <f t="shared" si="113"/>
        <v>0</v>
      </c>
      <c r="O321" s="42"/>
      <c r="P321" s="14"/>
      <c r="Q321" s="34">
        <f>SUMIFS([5]BV_Data_An_Prec!$O:$O,[5]BV_Data_An_Prec!$U:$U,$B321,[5]BV_Data_An_Prec!$V:$V,$C321,[5]BV_Data_An_Prec!$W:$W,$L$2)</f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8"/>
        <v>Pièces[...]</v>
      </c>
      <c r="B322" s="12" t="s">
        <v>104</v>
      </c>
      <c r="C322" s="240" t="s">
        <v>21</v>
      </c>
      <c r="D322" s="82"/>
      <c r="E322" s="14"/>
      <c r="F322" s="31">
        <f>+INDEX('[5]Budget original'!$A$2:$AO$496,MATCH($A322,'[5]Budget original'!$A$2:$A$496,0),MATCH(F$2,'[5]Budget original'!$A$2:$AO$2,0))</f>
        <v>0</v>
      </c>
      <c r="G322" s="84"/>
      <c r="H322" s="14"/>
      <c r="I322" s="31">
        <f>+INDEX('[5]Budget révisé'!$A$2:$AO$496,MATCH($A322,'[5]Budget révisé'!$A$2:$A$496,0),MATCH(I$2,'[5]Budget révisé'!$A$2:$AO$2,0))</f>
        <v>0</v>
      </c>
      <c r="J322" s="42"/>
      <c r="K322" s="14"/>
      <c r="L322" s="34">
        <f>SUMIFS([5]BV_Data_An_Cour!$O:$O,[5]BV_Data_An_Cour!$U:$U,$B322,[5]BV_Data_An_Cour!$V:$V,$C322,[5]BV_Data_An_Cour!$W:$W,$L$2)</f>
        <v>0</v>
      </c>
      <c r="M322" s="42"/>
      <c r="N322" s="60">
        <f t="shared" si="113"/>
        <v>0</v>
      </c>
      <c r="O322" s="42"/>
      <c r="P322" s="14"/>
      <c r="Q322" s="34">
        <f>SUMIFS([5]BV_Data_An_Prec!$O:$O,[5]BV_Data_An_Prec!$U:$U,$B322,[5]BV_Data_An_Prec!$V:$V,$C322,[5]BV_Data_An_Prec!$W:$W,$L$2)</f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8"/>
        <v>Pièces[...]</v>
      </c>
      <c r="B323" s="12" t="s">
        <v>104</v>
      </c>
      <c r="C323" s="240" t="s">
        <v>21</v>
      </c>
      <c r="D323" s="82"/>
      <c r="E323" s="14"/>
      <c r="F323" s="31">
        <f>+INDEX('[5]Budget original'!$A$2:$AO$496,MATCH($A323,'[5]Budget original'!$A$2:$A$496,0),MATCH(F$2,'[5]Budget original'!$A$2:$AO$2,0))</f>
        <v>0</v>
      </c>
      <c r="G323" s="84"/>
      <c r="H323" s="14"/>
      <c r="I323" s="31">
        <f>+INDEX('[5]Budget révisé'!$A$2:$AO$496,MATCH($A323,'[5]Budget révisé'!$A$2:$A$496,0),MATCH(I$2,'[5]Budget révisé'!$A$2:$AO$2,0))</f>
        <v>0</v>
      </c>
      <c r="J323" s="42"/>
      <c r="K323" s="14"/>
      <c r="L323" s="34">
        <f>SUMIFS([5]BV_Data_An_Cour!$O:$O,[5]BV_Data_An_Cour!$U:$U,$B323,[5]BV_Data_An_Cour!$V:$V,$C323,[5]BV_Data_An_Cour!$W:$W,$L$2)</f>
        <v>0</v>
      </c>
      <c r="M323" s="42"/>
      <c r="N323" s="60">
        <f t="shared" si="113"/>
        <v>0</v>
      </c>
      <c r="O323" s="42"/>
      <c r="P323" s="14"/>
      <c r="Q323" s="34">
        <f>SUMIFS([5]BV_Data_An_Prec!$O:$O,[5]BV_Data_An_Prec!$U:$U,$B323,[5]BV_Data_An_Prec!$V:$V,$C323,[5]BV_Data_An_Prec!$W:$W,$L$2)</f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8"/>
        <v>PiècesSalaires en absences</v>
      </c>
      <c r="B324" s="12" t="s">
        <v>104</v>
      </c>
      <c r="C324" s="109" t="s">
        <v>46</v>
      </c>
      <c r="D324" s="82"/>
      <c r="E324" s="14"/>
      <c r="F324" s="23">
        <f>+INDEX('[5]Budget original'!$A$2:$AO$496,MATCH($A324,'[5]Budget original'!$A$2:$A$496,0),MATCH(F$2,'[5]Budget original'!$A$2:$AO$2,0))</f>
        <v>3479.2051715934381</v>
      </c>
      <c r="G324" s="84"/>
      <c r="H324" s="14"/>
      <c r="I324" s="23">
        <f>+INDEX('[5]Budget révisé'!$A$2:$AO$496,MATCH($A324,'[5]Budget révisé'!$A$2:$A$496,0),MATCH(I$2,'[5]Budget révisé'!$A$2:$AO$2,0))</f>
        <v>3479.2051715934381</v>
      </c>
      <c r="J324" s="42"/>
      <c r="K324" s="14"/>
      <c r="L324" s="34">
        <f>SUMIFS([5]BV_Data_An_Cour!$O:$O,[5]BV_Data_An_Cour!$U:$U,$B324,[5]BV_Data_An_Cour!$V:$V,$C324,[5]BV_Data_An_Cour!$W:$W,$L$2)</f>
        <v>2604.2199999999998</v>
      </c>
      <c r="M324" s="42"/>
      <c r="N324" s="60">
        <f t="shared" si="113"/>
        <v>-874.98517159343828</v>
      </c>
      <c r="O324" s="42"/>
      <c r="P324" s="14"/>
      <c r="Q324" s="34">
        <f>SUMIFS([5]BV_Data_An_Prec!$O:$O,[5]BV_Data_An_Prec!$U:$U,$B324,[5]BV_Data_An_Prec!$V:$V,$C324,[5]BV_Data_An_Prec!$W:$W,$L$2)</f>
        <v>3960.47</v>
      </c>
      <c r="R324" s="42"/>
      <c r="S324" s="86">
        <f t="shared" si="114"/>
        <v>-1356.25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8"/>
        <v>PiècesDéduction à la source</v>
      </c>
      <c r="B325" s="12" t="s">
        <v>104</v>
      </c>
      <c r="C325" s="108" t="s">
        <v>47</v>
      </c>
      <c r="D325" s="110"/>
      <c r="E325" s="111"/>
      <c r="F325" s="31">
        <f>+INDEX('[5]Budget original'!$A$2:$AO$496,MATCH($A325,'[5]Budget original'!$A$2:$A$496,0),MATCH(F$2,'[5]Budget original'!$A$2:$AO$2,0))</f>
        <v>3479.2051715934381</v>
      </c>
      <c r="G325" s="112"/>
      <c r="H325" s="111"/>
      <c r="I325" s="31">
        <f>+INDEX('[5]Budget révisé'!$A$2:$AO$496,MATCH($A325,'[5]Budget révisé'!$A$2:$A$496,0),MATCH(I$2,'[5]Budget révisé'!$A$2:$AO$2,0))</f>
        <v>3479.2051715934381</v>
      </c>
      <c r="J325" s="113"/>
      <c r="K325" s="111"/>
      <c r="L325" s="114">
        <f>SUMIFS([5]BV_Data_An_Cour!$O:$O,[5]BV_Data_An_Cour!$U:$U,$B325,[5]BV_Data_An_Cour!$V:$V,$C325,[5]BV_Data_An_Cour!$W:$W,$L$2)</f>
        <v>47.62</v>
      </c>
      <c r="M325" s="113"/>
      <c r="N325" s="115">
        <f t="shared" si="113"/>
        <v>-3431.5851715934382</v>
      </c>
      <c r="O325" s="113"/>
      <c r="P325" s="111"/>
      <c r="Q325" s="114">
        <f>SUMIFS([5]BV_Data_An_Prec!$O:$O,[5]BV_Data_An_Prec!$U:$U,$B325,[5]BV_Data_An_Prec!$V:$V,$C325,[5]BV_Data_An_Prec!$W:$W,$L$2)</f>
        <v>0</v>
      </c>
      <c r="R325" s="113"/>
      <c r="S325" s="116">
        <f t="shared" si="114"/>
        <v>47.62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8"/>
        <v>PiècesBénéfices marginaux</v>
      </c>
      <c r="B326" s="12" t="s">
        <v>104</v>
      </c>
      <c r="C326" s="108" t="s">
        <v>48</v>
      </c>
      <c r="D326" s="82"/>
      <c r="E326" s="14"/>
      <c r="F326" s="31">
        <f>+INDEX('[5]Budget original'!$A$2:$AO$496,MATCH($A326,'[5]Budget original'!$A$2:$A$496,0),MATCH(F$2,'[5]Budget original'!$A$2:$AO$2,0))</f>
        <v>2493.4303729752969</v>
      </c>
      <c r="G326" s="84"/>
      <c r="H326" s="14"/>
      <c r="I326" s="31">
        <f>+INDEX('[5]Budget révisé'!$A$2:$AO$496,MATCH($A326,'[5]Budget révisé'!$A$2:$A$496,0),MATCH(I$2,'[5]Budget révisé'!$A$2:$AO$2,0))</f>
        <v>2493.4303729752969</v>
      </c>
      <c r="J326" s="42"/>
      <c r="K326" s="14"/>
      <c r="L326" s="34">
        <f>SUMIFS([5]BV_Data_An_Cour!$O:$O,[5]BV_Data_An_Cour!$U:$U,$B326,[5]BV_Data_An_Cour!$V:$V,$C326,[5]BV_Data_An_Cour!$W:$W,$L$2)</f>
        <v>2504.44</v>
      </c>
      <c r="M326" s="42"/>
      <c r="N326" s="60">
        <f t="shared" si="113"/>
        <v>11.00962702470315</v>
      </c>
      <c r="O326" s="42"/>
      <c r="P326" s="14"/>
      <c r="Q326" s="34">
        <f>SUMIFS([5]BV_Data_An_Prec!$O:$O,[5]BV_Data_An_Prec!$U:$U,$B326,[5]BV_Data_An_Prec!$V:$V,$C326,[5]BV_Data_An_Prec!$W:$W,$L$2)</f>
        <v>4332</v>
      </c>
      <c r="R326" s="42"/>
      <c r="S326" s="86">
        <f t="shared" si="114"/>
        <v>-1827.56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8"/>
        <v>PiècesCsst</v>
      </c>
      <c r="B327" s="12" t="s">
        <v>104</v>
      </c>
      <c r="C327" s="108" t="s">
        <v>49</v>
      </c>
      <c r="D327" s="82"/>
      <c r="E327" s="14"/>
      <c r="F327" s="31">
        <f>+INDEX('[5]Budget original'!$A$2:$AO$496,MATCH($A327,'[5]Budget original'!$A$2:$A$496,0),MATCH(F$2,'[5]Budget original'!$A$2:$AO$2,0))</f>
        <v>579.86752859890635</v>
      </c>
      <c r="G327" s="84"/>
      <c r="H327" s="14"/>
      <c r="I327" s="31">
        <f>+INDEX('[5]Budget révisé'!$A$2:$AO$496,MATCH($A327,'[5]Budget révisé'!$A$2:$A$496,0),MATCH(I$2,'[5]Budget révisé'!$A$2:$AO$2,0))</f>
        <v>579.86752859890635</v>
      </c>
      <c r="J327" s="42"/>
      <c r="K327" s="14"/>
      <c r="L327" s="34">
        <f>SUMIFS([5]BV_Data_An_Cour!$O:$O,[5]BV_Data_An_Cour!$U:$U,$B327,[5]BV_Data_An_Cour!$V:$V,$C327,[5]BV_Data_An_Cour!$W:$W,$L$2)</f>
        <v>4029.37</v>
      </c>
      <c r="M327" s="42"/>
      <c r="N327" s="60">
        <f t="shared" si="113"/>
        <v>3449.5024714010933</v>
      </c>
      <c r="O327" s="42"/>
      <c r="P327" s="14"/>
      <c r="Q327" s="34">
        <f>SUMIFS([5]BV_Data_An_Prec!$O:$O,[5]BV_Data_An_Prec!$U:$U,$B327,[5]BV_Data_An_Prec!$V:$V,$C327,[5]BV_Data_An_Prec!$W:$W,$L$2)</f>
        <v>4785.43</v>
      </c>
      <c r="R327" s="42"/>
      <c r="S327" s="86">
        <f t="shared" si="114"/>
        <v>-756.0600000000004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8"/>
        <v>Pièces[...]</v>
      </c>
      <c r="B328" s="12" t="s">
        <v>104</v>
      </c>
      <c r="C328" s="30" t="s">
        <v>21</v>
      </c>
      <c r="D328" s="89"/>
      <c r="E328" s="117"/>
      <c r="F328" s="31">
        <f>+INDEX('[5]Budget original'!$A$2:$AO$496,MATCH($A328,'[5]Budget original'!$A$2:$A$496,0),MATCH(F$2,'[5]Budget original'!$A$2:$AO$2,0))</f>
        <v>0</v>
      </c>
      <c r="G328" s="91"/>
      <c r="H328" s="117"/>
      <c r="I328" s="31">
        <f>+INDEX('[5]Budget révisé'!$A$2:$AO$496,MATCH($A328,'[5]Budget révisé'!$A$2:$A$496,0),MATCH(I$2,'[5]Budget révisé'!$A$2:$AO$2,0))</f>
        <v>0</v>
      </c>
      <c r="J328" s="24"/>
      <c r="K328" s="117"/>
      <c r="L328" s="34">
        <f>SUMIFS([5]BV_Data_An_Cour!$O:$O,[5]BV_Data_An_Cour!$U:$U,$B328,[5]BV_Data_An_Cour!$V:$V,$C328,[5]BV_Data_An_Cour!$W:$W,$L$2)</f>
        <v>0</v>
      </c>
      <c r="M328" s="24"/>
      <c r="N328" s="94">
        <f t="shared" si="113"/>
        <v>0</v>
      </c>
      <c r="O328" s="24"/>
      <c r="P328" s="117"/>
      <c r="Q328" s="34">
        <f>SUMIFS([5]BV_Data_An_Prec!$O:$O,[5]BV_Data_An_Prec!$U:$U,$B328,[5]BV_Data_An_Prec!$V:$V,$C328,[5]BV_Data_An_Prec!$W:$W,$L$2)</f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8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0.37106838898808453</v>
      </c>
      <c r="F329" s="102">
        <f>+SUM(F317:F328)</f>
        <v>39025.084674706399</v>
      </c>
      <c r="G329" s="103" t="s">
        <v>40</v>
      </c>
      <c r="H329" s="101">
        <f>I329/I$313</f>
        <v>0.37106838898808453</v>
      </c>
      <c r="I329" s="102">
        <f>+SUM(I317:I328)</f>
        <v>39025.084674706399</v>
      </c>
      <c r="J329" s="103" t="s">
        <v>40</v>
      </c>
      <c r="K329" s="101">
        <f>L329/L$313</f>
        <v>0.36304506918286533</v>
      </c>
      <c r="L329" s="102">
        <f>+SUM(L317:L328)</f>
        <v>39671.710000000006</v>
      </c>
      <c r="M329" s="154"/>
      <c r="N329" s="119">
        <f t="shared" si="113"/>
        <v>646.6253252936076</v>
      </c>
      <c r="O329" s="103" t="s">
        <v>40</v>
      </c>
      <c r="P329" s="101">
        <f>Q329/Q$313</f>
        <v>0.50557891355044138</v>
      </c>
      <c r="Q329" s="102">
        <f>+SUM(Q317:Q328)</f>
        <v>48894.380000000005</v>
      </c>
      <c r="R329" s="154"/>
      <c r="S329" s="120">
        <f t="shared" si="114"/>
        <v>-9222.6699999999983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8"/>
        <v>PiècesPublicité 2</v>
      </c>
      <c r="B330" s="12" t="s">
        <v>104</v>
      </c>
      <c r="C330" s="221" t="s">
        <v>51</v>
      </c>
      <c r="D330" s="82"/>
      <c r="E330" s="14"/>
      <c r="F330" s="31">
        <f>+INDEX('[5]Budget original'!$A$2:$AO$496,MATCH($A330,'[5]Budget original'!$A$2:$A$496,0),MATCH(F$2,'[5]Budget original'!$A$2:$AO$2,0))</f>
        <v>3808.6416666666664</v>
      </c>
      <c r="G330" s="84"/>
      <c r="H330" s="14"/>
      <c r="I330" s="31">
        <f>+INDEX('[5]Budget révisé'!$A$2:$AO$496,MATCH($A330,'[5]Budget révisé'!$A$2:$A$496,0),MATCH(I$2,'[5]Budget révisé'!$A$2:$AO$2,0))</f>
        <v>3808.6416666666664</v>
      </c>
      <c r="J330" s="42"/>
      <c r="K330" s="14"/>
      <c r="L330" s="34">
        <f>SUMIFS([5]BV_Data_An_Cour!$O:$O,[5]BV_Data_An_Cour!$U:$U,$B330,[5]BV_Data_An_Cour!$V:$V,$C330,[5]BV_Data_An_Cour!$W:$W,$L$2)</f>
        <v>-801.71</v>
      </c>
      <c r="M330" s="42"/>
      <c r="N330" s="60">
        <f t="shared" si="113"/>
        <v>-4610.3516666666665</v>
      </c>
      <c r="O330" s="42"/>
      <c r="P330" s="14"/>
      <c r="Q330" s="34">
        <f>SUMIFS([5]BV_Data_An_Prec!$O:$O,[5]BV_Data_An_Prec!$U:$U,$B330,[5]BV_Data_An_Prec!$V:$V,$C330,[5]BV_Data_An_Prec!$W:$W,$L$2)</f>
        <v>6611.41</v>
      </c>
      <c r="R330" s="42"/>
      <c r="S330" s="86">
        <f t="shared" si="114"/>
        <v>-7413.12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8"/>
        <v>PiècesService gratuit 2</v>
      </c>
      <c r="B331" s="12" t="s">
        <v>104</v>
      </c>
      <c r="C331" s="108" t="s">
        <v>52</v>
      </c>
      <c r="D331" s="82"/>
      <c r="E331" s="14"/>
      <c r="F331" s="31">
        <f>+INDEX('[5]Budget original'!$A$2:$AO$496,MATCH($A331,'[5]Budget original'!$A$2:$A$496,0),MATCH(F$2,'[5]Budget original'!$A$2:$AO$2,0))</f>
        <v>2830.7432547726557</v>
      </c>
      <c r="G331" s="84"/>
      <c r="H331" s="14"/>
      <c r="I331" s="31">
        <f>+INDEX('[5]Budget révisé'!$A$2:$AO$496,MATCH($A331,'[5]Budget révisé'!$A$2:$A$496,0),MATCH(I$2,'[5]Budget révisé'!$A$2:$AO$2,0))</f>
        <v>2830.7432547726557</v>
      </c>
      <c r="J331" s="42"/>
      <c r="K331" s="14"/>
      <c r="L331" s="34">
        <f>SUMIFS([5]BV_Data_An_Cour!$O:$O,[5]BV_Data_An_Cour!$U:$U,$B331,[5]BV_Data_An_Cour!$V:$V,$C331,[5]BV_Data_An_Cour!$W:$W,$L$2)</f>
        <v>100</v>
      </c>
      <c r="M331" s="42"/>
      <c r="N331" s="60">
        <f t="shared" si="113"/>
        <v>-2730.7432547726557</v>
      </c>
      <c r="O331" s="42"/>
      <c r="P331" s="14"/>
      <c r="Q331" s="34">
        <f>SUMIFS([5]BV_Data_An_Prec!$O:$O,[5]BV_Data_An_Prec!$U:$U,$B331,[5]BV_Data_An_Prec!$V:$V,$C331,[5]BV_Data_An_Prec!$W:$W,$L$2)</f>
        <v>3582.03</v>
      </c>
      <c r="R331" s="42"/>
      <c r="S331" s="86">
        <f t="shared" si="114"/>
        <v>-3482.03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8"/>
        <v>PiècesFrais véhicules de cie</v>
      </c>
      <c r="B332" s="12" t="s">
        <v>104</v>
      </c>
      <c r="C332" s="109" t="s">
        <v>53</v>
      </c>
      <c r="D332" s="89"/>
      <c r="E332" s="117"/>
      <c r="F332" s="23">
        <f>+INDEX('[5]Budget original'!$A$2:$AO$496,MATCH($A332,'[5]Budget original'!$A$2:$A$496,0),MATCH(F$2,'[5]Budget original'!$A$2:$AO$2,0))</f>
        <v>285.5</v>
      </c>
      <c r="G332" s="91"/>
      <c r="H332" s="117"/>
      <c r="I332" s="23">
        <f>+INDEX('[5]Budget révisé'!$A$2:$AO$496,MATCH($A332,'[5]Budget révisé'!$A$2:$A$496,0),MATCH(I$2,'[5]Budget révisé'!$A$2:$AO$2,0))</f>
        <v>285.5</v>
      </c>
      <c r="J332" s="24"/>
      <c r="K332" s="117"/>
      <c r="L332" s="34">
        <f>SUMIFS([5]BV_Data_An_Cour!$O:$O,[5]BV_Data_An_Cour!$U:$U,$B332,[5]BV_Data_An_Cour!$V:$V,$C332,[5]BV_Data_An_Cour!$W:$W,$L$2)</f>
        <v>260.42</v>
      </c>
      <c r="M332" s="24"/>
      <c r="N332" s="94">
        <f t="shared" si="113"/>
        <v>-25.079999999999984</v>
      </c>
      <c r="O332" s="24"/>
      <c r="P332" s="117"/>
      <c r="Q332" s="34">
        <f>SUMIFS([5]BV_Data_An_Prec!$O:$O,[5]BV_Data_An_Prec!$U:$U,$B332,[5]BV_Data_An_Prec!$V:$V,$C332,[5]BV_Data_An_Prec!$W:$W,$L$2)</f>
        <v>943.3</v>
      </c>
      <c r="R332" s="24"/>
      <c r="S332" s="95">
        <f t="shared" si="114"/>
        <v>-682.87999999999988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8"/>
        <v>PiècesInformatique</v>
      </c>
      <c r="B333" s="12" t="s">
        <v>104</v>
      </c>
      <c r="C333" s="108" t="s">
        <v>54</v>
      </c>
      <c r="D333" s="82"/>
      <c r="E333" s="14"/>
      <c r="F333" s="31">
        <f>+INDEX('[5]Budget original'!$A$2:$AO$496,MATCH($A333,'[5]Budget original'!$A$2:$A$496,0),MATCH(F$2,'[5]Budget original'!$A$2:$AO$2,0))</f>
        <v>4280.7783333333336</v>
      </c>
      <c r="G333" s="84"/>
      <c r="H333" s="14"/>
      <c r="I333" s="31">
        <f>+INDEX('[5]Budget révisé'!$A$2:$AO$496,MATCH($A333,'[5]Budget révisé'!$A$2:$A$496,0),MATCH(I$2,'[5]Budget révisé'!$A$2:$AO$2,0))</f>
        <v>4280.7783333333336</v>
      </c>
      <c r="J333" s="42"/>
      <c r="K333" s="14"/>
      <c r="L333" s="114">
        <f>SUMIFS([5]BV_Data_An_Cour!$O:$O,[5]BV_Data_An_Cour!$U:$U,$B333,[5]BV_Data_An_Cour!$V:$V,$C333,[5]BV_Data_An_Cour!$W:$W,$L$2)</f>
        <v>3274.73</v>
      </c>
      <c r="M333" s="42"/>
      <c r="N333" s="60">
        <f t="shared" si="113"/>
        <v>-1006.0483333333336</v>
      </c>
      <c r="O333" s="42"/>
      <c r="P333" s="14"/>
      <c r="Q333" s="114">
        <f>SUMIFS([5]BV_Data_An_Prec!$O:$O,[5]BV_Data_An_Prec!$U:$U,$B333,[5]BV_Data_An_Prec!$V:$V,$C333,[5]BV_Data_An_Prec!$W:$W,$L$2)</f>
        <v>4511.82</v>
      </c>
      <c r="R333" s="42"/>
      <c r="S333" s="86">
        <f t="shared" si="114"/>
        <v>-1237.0899999999997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8"/>
        <v>PiècesFrais de déplacement</v>
      </c>
      <c r="B334" s="12" t="s">
        <v>104</v>
      </c>
      <c r="C334" s="108" t="s">
        <v>55</v>
      </c>
      <c r="D334" s="82"/>
      <c r="E334" s="14"/>
      <c r="F334" s="31">
        <f>+INDEX('[5]Budget original'!$A$2:$AO$496,MATCH($A334,'[5]Budget original'!$A$2:$A$496,0),MATCH(F$2,'[5]Budget original'!$A$2:$AO$2,0))</f>
        <v>1247.2631249999999</v>
      </c>
      <c r="G334" s="84"/>
      <c r="H334" s="14"/>
      <c r="I334" s="31">
        <f>+INDEX('[5]Budget révisé'!$A$2:$AO$496,MATCH($A334,'[5]Budget révisé'!$A$2:$A$496,0),MATCH(I$2,'[5]Budget révisé'!$A$2:$AO$2,0))</f>
        <v>1247.2631249999999</v>
      </c>
      <c r="J334" s="42"/>
      <c r="K334" s="14"/>
      <c r="L334" s="34">
        <f>SUMIFS([5]BV_Data_An_Cour!$O:$O,[5]BV_Data_An_Cour!$U:$U,$B334,[5]BV_Data_An_Cour!$V:$V,$C334,[5]BV_Data_An_Cour!$W:$W,$L$2)</f>
        <v>163.91</v>
      </c>
      <c r="M334" s="42"/>
      <c r="N334" s="60">
        <f t="shared" si="113"/>
        <v>-1083.3531249999999</v>
      </c>
      <c r="O334" s="42"/>
      <c r="P334" s="14"/>
      <c r="Q334" s="34">
        <f>SUMIFS([5]BV_Data_An_Prec!$O:$O,[5]BV_Data_An_Prec!$U:$U,$B334,[5]BV_Data_An_Prec!$V:$V,$C334,[5]BV_Data_An_Prec!$W:$W,$L$2)</f>
        <v>1519.25</v>
      </c>
      <c r="R334" s="42"/>
      <c r="S334" s="86">
        <f t="shared" si="114"/>
        <v>-1355.34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8"/>
        <v>PiècesServices extérieurs</v>
      </c>
      <c r="B335" s="12" t="s">
        <v>104</v>
      </c>
      <c r="C335" s="241" t="s">
        <v>56</v>
      </c>
      <c r="D335" s="89"/>
      <c r="E335" s="117"/>
      <c r="F335" s="23">
        <f>+INDEX('[5]Budget original'!$A$2:$AO$496,MATCH($A335,'[5]Budget original'!$A$2:$A$496,0),MATCH(F$2,'[5]Budget original'!$A$2:$AO$2,0))</f>
        <v>7507.6174083333326</v>
      </c>
      <c r="G335" s="91"/>
      <c r="H335" s="117"/>
      <c r="I335" s="23">
        <f>+INDEX('[5]Budget révisé'!$A$2:$AO$496,MATCH($A335,'[5]Budget révisé'!$A$2:$A$496,0),MATCH(I$2,'[5]Budget révisé'!$A$2:$AO$2,0))</f>
        <v>7507.6174083333326</v>
      </c>
      <c r="J335" s="24"/>
      <c r="K335" s="117"/>
      <c r="L335" s="49">
        <f>SUMIFS([5]BV_Data_An_Cour!$O:$O,[5]BV_Data_An_Cour!$U:$U,$B335,[5]BV_Data_An_Cour!$V:$V,$C335,[5]BV_Data_An_Cour!$W:$W,$L$2)</f>
        <v>7116.18</v>
      </c>
      <c r="M335" s="24"/>
      <c r="N335" s="94">
        <f t="shared" si="113"/>
        <v>-391.43740833333231</v>
      </c>
      <c r="O335" s="24"/>
      <c r="P335" s="117"/>
      <c r="Q335" s="49">
        <f>SUMIFS([5]BV_Data_An_Prec!$O:$O,[5]BV_Data_An_Prec!$U:$U,$B335,[5]BV_Data_An_Prec!$V:$V,$C335,[5]BV_Data_An_Prec!$W:$W,$L$2)</f>
        <v>9050.51</v>
      </c>
      <c r="R335" s="24"/>
      <c r="S335" s="95">
        <f t="shared" si="114"/>
        <v>-1934.33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8"/>
        <v>PiècesFournitures d'atelier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f>SUMIFS([5]BV_Data_An_Cour!$O:$O,[5]BV_Data_An_Cour!$U:$U,$B336,[5]BV_Data_An_Cour!$V:$V,$C336,[5]BV_Data_An_Cour!$W:$W,$L$2)</f>
        <v>0</v>
      </c>
      <c r="M336" s="42"/>
      <c r="N336" s="60">
        <f t="shared" si="113"/>
        <v>0</v>
      </c>
      <c r="O336" s="42"/>
      <c r="P336" s="14"/>
      <c r="Q336" s="34">
        <f>SUMIFS([5]BV_Data_An_Prec!$O:$O,[5]BV_Data_An_Prec!$U:$U,$B336,[5]BV_Data_An_Prec!$V:$V,$C336,[5]BV_Data_An_Prec!$W:$W,$L$2)</f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8"/>
        <v>PiècesFournitures autres</v>
      </c>
      <c r="B337" s="12" t="s">
        <v>104</v>
      </c>
      <c r="C337" s="108" t="s">
        <v>57</v>
      </c>
      <c r="D337" s="82"/>
      <c r="E337" s="14"/>
      <c r="F337" s="31">
        <f>+INDEX('[5]Budget original'!$A$2:$AO$496,MATCH($A337,'[5]Budget original'!$A$2:$A$496,0),MATCH(F$2,'[5]Budget original'!$A$2:$AO$2,0))</f>
        <v>126</v>
      </c>
      <c r="G337" s="84"/>
      <c r="H337" s="14"/>
      <c r="I337" s="31">
        <f>+INDEX('[5]Budget révisé'!$A$2:$AO$496,MATCH($A337,'[5]Budget révisé'!$A$2:$A$496,0),MATCH(I$2,'[5]Budget révisé'!$A$2:$AO$2,0))</f>
        <v>126</v>
      </c>
      <c r="J337" s="42"/>
      <c r="K337" s="14"/>
      <c r="L337" s="34">
        <f>SUMIFS([5]BV_Data_An_Cour!$O:$O,[5]BV_Data_An_Cour!$U:$U,$B337,[5]BV_Data_An_Cour!$V:$V,$C337,[5]BV_Data_An_Cour!$W:$W,$L$2)</f>
        <v>805.11</v>
      </c>
      <c r="M337" s="42"/>
      <c r="N337" s="60">
        <f t="shared" si="113"/>
        <v>679.11</v>
      </c>
      <c r="O337" s="42"/>
      <c r="P337" s="14"/>
      <c r="Q337" s="34">
        <f>SUMIFS([5]BV_Data_An_Prec!$O:$O,[5]BV_Data_An_Prec!$U:$U,$B337,[5]BV_Data_An_Prec!$V:$V,$C337,[5]BV_Data_An_Prec!$W:$W,$L$2)</f>
        <v>105</v>
      </c>
      <c r="R337" s="42"/>
      <c r="S337" s="86">
        <f t="shared" si="114"/>
        <v>700.11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8"/>
        <v>PiècesUniformes</v>
      </c>
      <c r="B338" s="12" t="s">
        <v>104</v>
      </c>
      <c r="C338" s="108" t="s">
        <v>58</v>
      </c>
      <c r="D338" s="82"/>
      <c r="E338" s="14"/>
      <c r="F338" s="31">
        <f>+INDEX('[5]Budget original'!$A$2:$AO$496,MATCH($A338,'[5]Budget original'!$A$2:$A$496,0),MATCH(F$2,'[5]Budget original'!$A$2:$AO$2,0))</f>
        <v>170</v>
      </c>
      <c r="G338" s="84"/>
      <c r="H338" s="14"/>
      <c r="I338" s="31">
        <f>+INDEX('[5]Budget révisé'!$A$2:$AO$496,MATCH($A338,'[5]Budget révisé'!$A$2:$A$496,0),MATCH(I$2,'[5]Budget révisé'!$A$2:$AO$2,0))</f>
        <v>170</v>
      </c>
      <c r="J338" s="42"/>
      <c r="K338" s="14"/>
      <c r="L338" s="34">
        <f>SUMIFS([5]BV_Data_An_Cour!$O:$O,[5]BV_Data_An_Cour!$U:$U,$B338,[5]BV_Data_An_Cour!$V:$V,$C338,[5]BV_Data_An_Cour!$W:$W,$L$2)</f>
        <v>0</v>
      </c>
      <c r="M338" s="42"/>
      <c r="N338" s="60">
        <f t="shared" si="113"/>
        <v>-170</v>
      </c>
      <c r="O338" s="42"/>
      <c r="P338" s="14"/>
      <c r="Q338" s="34">
        <f>SUMIFS([5]BV_Data_An_Prec!$O:$O,[5]BV_Data_An_Prec!$U:$U,$B338,[5]BV_Data_An_Prec!$V:$V,$C338,[5]BV_Data_An_Prec!$W:$W,$L$2)</f>
        <v>170</v>
      </c>
      <c r="R338" s="42"/>
      <c r="S338" s="86">
        <f t="shared" si="114"/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8"/>
        <v>PiècesPapeterie</v>
      </c>
      <c r="B339" s="12" t="s">
        <v>104</v>
      </c>
      <c r="C339" s="108" t="s">
        <v>59</v>
      </c>
      <c r="D339" s="82"/>
      <c r="E339" s="14"/>
      <c r="F339" s="31">
        <f>+INDEX('[5]Budget original'!$A$2:$AO$496,MATCH($A339,'[5]Budget original'!$A$2:$A$496,0),MATCH(F$2,'[5]Budget original'!$A$2:$AO$2,0))</f>
        <v>545</v>
      </c>
      <c r="G339" s="84"/>
      <c r="H339" s="14"/>
      <c r="I339" s="31">
        <f>+INDEX('[5]Budget révisé'!$A$2:$AO$496,MATCH($A339,'[5]Budget révisé'!$A$2:$A$496,0),MATCH(I$2,'[5]Budget révisé'!$A$2:$AO$2,0))</f>
        <v>545</v>
      </c>
      <c r="J339" s="42"/>
      <c r="K339" s="14"/>
      <c r="L339" s="33">
        <f>SUMIFS([5]BV_Data_An_Cour!$O:$O,[5]BV_Data_An_Cour!$U:$U,$B339,[5]BV_Data_An_Cour!$V:$V,$C339,[5]BV_Data_An_Cour!$W:$W,$L$2)</f>
        <v>383.79</v>
      </c>
      <c r="M339" s="42"/>
      <c r="N339" s="60">
        <f t="shared" si="113"/>
        <v>-161.20999999999998</v>
      </c>
      <c r="O339" s="42"/>
      <c r="P339" s="14"/>
      <c r="Q339" s="33">
        <f>SUMIFS([5]BV_Data_An_Prec!$O:$O,[5]BV_Data_An_Prec!$U:$U,$B339,[5]BV_Data_An_Prec!$V:$V,$C339,[5]BV_Data_An_Prec!$W:$W,$L$2)</f>
        <v>462.5</v>
      </c>
      <c r="R339" s="42"/>
      <c r="S339" s="86">
        <f t="shared" si="114"/>
        <v>-78.70999999999998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8"/>
        <v>PiècesTéléphone</v>
      </c>
      <c r="B340" s="12" t="s">
        <v>104</v>
      </c>
      <c r="C340" s="108" t="s">
        <v>60</v>
      </c>
      <c r="D340" s="82"/>
      <c r="E340" s="14"/>
      <c r="F340" s="31">
        <f>+INDEX('[5]Budget original'!$A$2:$AO$496,MATCH($A340,'[5]Budget original'!$A$2:$A$496,0),MATCH(F$2,'[5]Budget original'!$A$2:$AO$2,0))</f>
        <v>452.27499999999998</v>
      </c>
      <c r="G340" s="84"/>
      <c r="H340" s="14"/>
      <c r="I340" s="31">
        <f>+INDEX('[5]Budget révisé'!$A$2:$AO$496,MATCH($A340,'[5]Budget révisé'!$A$2:$A$496,0),MATCH(I$2,'[5]Budget révisé'!$A$2:$AO$2,0))</f>
        <v>452.27499999999998</v>
      </c>
      <c r="J340" s="42"/>
      <c r="K340" s="14"/>
      <c r="L340" s="34">
        <f>SUMIFS([5]BV_Data_An_Cour!$O:$O,[5]BV_Data_An_Cour!$U:$U,$B340,[5]BV_Data_An_Cour!$V:$V,$C340,[5]BV_Data_An_Cour!$W:$W,$L$2)</f>
        <v>101.74</v>
      </c>
      <c r="M340" s="42"/>
      <c r="N340" s="60">
        <f t="shared" si="113"/>
        <v>-350.53499999999997</v>
      </c>
      <c r="O340" s="42"/>
      <c r="P340" s="14"/>
      <c r="Q340" s="34">
        <f>SUMIFS([5]BV_Data_An_Prec!$O:$O,[5]BV_Data_An_Prec!$U:$U,$B340,[5]BV_Data_An_Prec!$V:$V,$C340,[5]BV_Data_An_Prec!$W:$W,$L$2)</f>
        <v>334.06</v>
      </c>
      <c r="R340" s="42"/>
      <c r="S340" s="86">
        <f t="shared" si="114"/>
        <v>-232.32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8"/>
        <v>PiècesFrais postaux</v>
      </c>
      <c r="B341" s="12" t="s">
        <v>104</v>
      </c>
      <c r="C341" s="108" t="s">
        <v>61</v>
      </c>
      <c r="D341" s="82"/>
      <c r="E341" s="14"/>
      <c r="F341" s="31">
        <f>+INDEX('[5]Budget original'!$A$2:$AO$496,MATCH($A341,'[5]Budget original'!$A$2:$A$496,0),MATCH(F$2,'[5]Budget original'!$A$2:$AO$2,0))</f>
        <v>216.25</v>
      </c>
      <c r="G341" s="84"/>
      <c r="H341" s="14"/>
      <c r="I341" s="31">
        <f>+INDEX('[5]Budget révisé'!$A$2:$AO$496,MATCH($A341,'[5]Budget révisé'!$A$2:$A$496,0),MATCH(I$2,'[5]Budget révisé'!$A$2:$AO$2,0))</f>
        <v>216.25</v>
      </c>
      <c r="J341" s="42"/>
      <c r="K341" s="14"/>
      <c r="L341" s="34">
        <f>SUMIFS([5]BV_Data_An_Cour!$O:$O,[5]BV_Data_An_Cour!$U:$U,$B341,[5]BV_Data_An_Cour!$V:$V,$C341,[5]BV_Data_An_Cour!$W:$W,$L$2)</f>
        <v>-1.74</v>
      </c>
      <c r="M341" s="42"/>
      <c r="N341" s="60">
        <f t="shared" si="113"/>
        <v>-217.99</v>
      </c>
      <c r="O341" s="42"/>
      <c r="P341" s="14"/>
      <c r="Q341" s="34">
        <f>SUMIFS([5]BV_Data_An_Prec!$O:$O,[5]BV_Data_An_Prec!$U:$U,$B341,[5]BV_Data_An_Prec!$V:$V,$C341,[5]BV_Data_An_Prec!$W:$W,$L$2)</f>
        <v>139.44</v>
      </c>
      <c r="R341" s="42"/>
      <c r="S341" s="86">
        <f t="shared" si="114"/>
        <v>-141.18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8"/>
        <v>PiècesDivers</v>
      </c>
      <c r="B342" s="12" t="s">
        <v>104</v>
      </c>
      <c r="C342" s="108" t="s">
        <v>62</v>
      </c>
      <c r="D342" s="82"/>
      <c r="E342" s="14"/>
      <c r="F342" s="31">
        <f>+INDEX('[5]Budget original'!$A$2:$AO$496,MATCH($A342,'[5]Budget original'!$A$2:$A$496,0),MATCH(F$2,'[5]Budget original'!$A$2:$AO$2,0))</f>
        <v>897.75</v>
      </c>
      <c r="G342" s="84"/>
      <c r="H342" s="14"/>
      <c r="I342" s="31">
        <f>+INDEX('[5]Budget révisé'!$A$2:$AO$496,MATCH($A342,'[5]Budget révisé'!$A$2:$A$496,0),MATCH(I$2,'[5]Budget révisé'!$A$2:$AO$2,0))</f>
        <v>897.75</v>
      </c>
      <c r="J342" s="42"/>
      <c r="K342" s="14"/>
      <c r="L342" s="34">
        <f>SUMIFS([5]BV_Data_An_Cour!$O:$O,[5]BV_Data_An_Cour!$U:$U,$B342,[5]BV_Data_An_Cour!$V:$V,$C342,[5]BV_Data_An_Cour!$W:$W,$L$2)</f>
        <v>206.28</v>
      </c>
      <c r="M342" s="42"/>
      <c r="N342" s="60">
        <f t="shared" si="113"/>
        <v>-691.47</v>
      </c>
      <c r="O342" s="42"/>
      <c r="P342" s="14"/>
      <c r="Q342" s="34">
        <f>SUMIFS([5]BV_Data_An_Prec!$O:$O,[5]BV_Data_An_Prec!$U:$U,$B342,[5]BV_Data_An_Prec!$V:$V,$C342,[5]BV_Data_An_Prec!$W:$W,$L$2)</f>
        <v>1322.09</v>
      </c>
      <c r="R342" s="42"/>
      <c r="S342" s="86">
        <f t="shared" si="114"/>
        <v>-1115.81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8"/>
        <v>PiècesFormation</v>
      </c>
      <c r="B343" s="12" t="s">
        <v>104</v>
      </c>
      <c r="C343" s="108" t="s">
        <v>63</v>
      </c>
      <c r="D343" s="82"/>
      <c r="E343" s="14"/>
      <c r="F343" s="31">
        <f>+INDEX('[5]Budget original'!$A$2:$AO$496,MATCH($A343,'[5]Budget original'!$A$2:$A$496,0),MATCH(F$2,'[5]Budget original'!$A$2:$AO$2,0))</f>
        <v>247.14583333333334</v>
      </c>
      <c r="G343" s="84"/>
      <c r="H343" s="14"/>
      <c r="I343" s="31">
        <f>+INDEX('[5]Budget révisé'!$A$2:$AO$496,MATCH($A343,'[5]Budget révisé'!$A$2:$A$496,0),MATCH(I$2,'[5]Budget révisé'!$A$2:$AO$2,0))</f>
        <v>247.14583333333334</v>
      </c>
      <c r="J343" s="42"/>
      <c r="K343" s="14"/>
      <c r="L343" s="34">
        <f>SUMIFS([5]BV_Data_An_Cour!$O:$O,[5]BV_Data_An_Cour!$U:$U,$B343,[5]BV_Data_An_Cour!$V:$V,$C343,[5]BV_Data_An_Cour!$W:$W,$L$2)</f>
        <v>22.14</v>
      </c>
      <c r="M343" s="42"/>
      <c r="N343" s="60">
        <f t="shared" si="113"/>
        <v>-225.00583333333333</v>
      </c>
      <c r="O343" s="42"/>
      <c r="P343" s="14"/>
      <c r="Q343" s="34">
        <f>SUMIFS([5]BV_Data_An_Prec!$O:$O,[5]BV_Data_An_Prec!$U:$U,$B343,[5]BV_Data_An_Prec!$V:$V,$C343,[5]BV_Data_An_Prec!$W:$W,$L$2)</f>
        <v>325</v>
      </c>
      <c r="R343" s="42"/>
      <c r="S343" s="86">
        <f t="shared" si="114"/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8"/>
        <v>PiècesFrais bancaires</v>
      </c>
      <c r="B344" s="12" t="s">
        <v>104</v>
      </c>
      <c r="C344" s="108" t="s">
        <v>64</v>
      </c>
      <c r="D344" s="82"/>
      <c r="E344" s="14"/>
      <c r="F344" s="31">
        <f>+INDEX('[5]Budget original'!$A$2:$AO$496,MATCH($A344,'[5]Budget original'!$A$2:$A$496,0),MATCH(F$2,'[5]Budget original'!$A$2:$AO$2,0))</f>
        <v>3128.8953456979134</v>
      </c>
      <c r="G344" s="84"/>
      <c r="H344" s="14"/>
      <c r="I344" s="31">
        <f>+INDEX('[5]Budget révisé'!$A$2:$AO$496,MATCH($A344,'[5]Budget révisé'!$A$2:$A$496,0),MATCH(I$2,'[5]Budget révisé'!$A$2:$AO$2,0))</f>
        <v>3128.8953456979134</v>
      </c>
      <c r="J344" s="42"/>
      <c r="K344" s="14"/>
      <c r="L344" s="33">
        <f>AF447*W7</f>
        <v>1803.06</v>
      </c>
      <c r="M344" s="42"/>
      <c r="N344" s="60">
        <f t="shared" si="113"/>
        <v>-1325.8353456979135</v>
      </c>
      <c r="O344" s="42"/>
      <c r="P344" s="14"/>
      <c r="Q344" s="34">
        <f>AL447*W7</f>
        <v>2497.1800000000003</v>
      </c>
      <c r="R344" s="42"/>
      <c r="S344" s="86">
        <f t="shared" si="114"/>
        <v>-694.12000000000035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8"/>
        <v>Pièces[...]</v>
      </c>
      <c r="B345" s="12" t="s">
        <v>104</v>
      </c>
      <c r="C345" s="108" t="s">
        <v>21</v>
      </c>
      <c r="D345" s="82"/>
      <c r="E345" s="14"/>
      <c r="F345" s="31">
        <f>+INDEX('[5]Budget original'!$A$2:$AO$496,MATCH($A345,'[5]Budget original'!$A$2:$A$496,0),MATCH(F$2,'[5]Budget original'!$A$2:$AO$2,0))</f>
        <v>0</v>
      </c>
      <c r="G345" s="84"/>
      <c r="H345" s="14"/>
      <c r="I345" s="31">
        <f>+INDEX('[5]Budget révisé'!$A$2:$AO$496,MATCH($A345,'[5]Budget révisé'!$A$2:$A$496,0),MATCH(I$2,'[5]Budget révisé'!$A$2:$AO$2,0))</f>
        <v>0</v>
      </c>
      <c r="J345" s="42"/>
      <c r="K345" s="14"/>
      <c r="L345" s="34">
        <f>SUMIFS([5]BV_Data_An_Cour!$O:$O,[5]BV_Data_An_Cour!$U:$U,$B345,[5]BV_Data_An_Cour!$V:$V,$C345,[5]BV_Data_An_Cour!$W:$W,$L$2)</f>
        <v>0</v>
      </c>
      <c r="M345" s="42"/>
      <c r="N345" s="60">
        <f t="shared" si="113"/>
        <v>0</v>
      </c>
      <c r="O345" s="42"/>
      <c r="P345" s="14"/>
      <c r="Q345" s="34">
        <f>SUMIFS([5]BV_Data_An_Prec!$O:$O,[5]BV_Data_An_Prec!$U:$U,$B345,[5]BV_Data_An_Prec!$V:$V,$C345,[5]BV_Data_An_Prec!$W:$W,$L$2)</f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8"/>
        <v>Pièces[...]</v>
      </c>
      <c r="B346" s="12" t="s">
        <v>104</v>
      </c>
      <c r="C346" s="108" t="s">
        <v>21</v>
      </c>
      <c r="D346" s="82"/>
      <c r="E346" s="14"/>
      <c r="F346" s="31">
        <f>+INDEX('[5]Budget original'!$A$2:$AO$496,MATCH($A346,'[5]Budget original'!$A$2:$A$496,0),MATCH(F$2,'[5]Budget original'!$A$2:$AO$2,0))</f>
        <v>0</v>
      </c>
      <c r="G346" s="84"/>
      <c r="H346" s="14"/>
      <c r="I346" s="31">
        <f>+INDEX('[5]Budget révisé'!$A$2:$AO$496,MATCH($A346,'[5]Budget révisé'!$A$2:$A$496,0),MATCH(I$2,'[5]Budget révisé'!$A$2:$AO$2,0))</f>
        <v>0</v>
      </c>
      <c r="J346" s="42"/>
      <c r="K346" s="14"/>
      <c r="L346" s="34">
        <f>SUMIFS([5]BV_Data_An_Cour!$O:$O,[5]BV_Data_An_Cour!$U:$U,$B346,[5]BV_Data_An_Cour!$V:$V,$C346,[5]BV_Data_An_Cour!$W:$W,$L$2)</f>
        <v>0</v>
      </c>
      <c r="M346" s="42"/>
      <c r="N346" s="60">
        <f t="shared" si="113"/>
        <v>0</v>
      </c>
      <c r="O346" s="42"/>
      <c r="P346" s="14"/>
      <c r="Q346" s="34">
        <f>SUMIFS([5]BV_Data_An_Prec!$O:$O,[5]BV_Data_An_Prec!$U:$U,$B346,[5]BV_Data_An_Prec!$V:$V,$C346,[5]BV_Data_An_Prec!$W:$W,$L$2)</f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8"/>
        <v>Pièces[...]</v>
      </c>
      <c r="B347" s="12" t="s">
        <v>104</v>
      </c>
      <c r="C347" s="108" t="s">
        <v>21</v>
      </c>
      <c r="D347" s="82"/>
      <c r="E347" s="14"/>
      <c r="F347" s="31">
        <f>+INDEX('[5]Budget original'!$A$2:$AO$496,MATCH($A347,'[5]Budget original'!$A$2:$A$496,0),MATCH(F$2,'[5]Budget original'!$A$2:$AO$2,0))</f>
        <v>0</v>
      </c>
      <c r="G347" s="84"/>
      <c r="H347" s="14"/>
      <c r="I347" s="31">
        <f>+INDEX('[5]Budget révisé'!$A$2:$AO$496,MATCH($A347,'[5]Budget révisé'!$A$2:$A$496,0),MATCH(I$2,'[5]Budget révisé'!$A$2:$AO$2,0))</f>
        <v>0</v>
      </c>
      <c r="J347" s="42"/>
      <c r="K347" s="14"/>
      <c r="L347" s="34">
        <f>SUMIFS([5]BV_Data_An_Cour!$O:$O,[5]BV_Data_An_Cour!$U:$U,$B347,[5]BV_Data_An_Cour!$V:$V,$C347,[5]BV_Data_An_Cour!$W:$W,$L$2)</f>
        <v>0</v>
      </c>
      <c r="M347" s="42"/>
      <c r="N347" s="60">
        <f t="shared" si="113"/>
        <v>0</v>
      </c>
      <c r="O347" s="42"/>
      <c r="P347" s="14"/>
      <c r="Q347" s="34">
        <f>SUMIFS([5]BV_Data_An_Prec!$O:$O,[5]BV_Data_An_Prec!$U:$U,$B347,[5]BV_Data_An_Prec!$V:$V,$C347,[5]BV_Data_An_Prec!$W:$W,$L$2)</f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0.24478441812406715</v>
      </c>
      <c r="F348" s="102">
        <f>+SUM(F330:F347)</f>
        <v>25743.859967137236</v>
      </c>
      <c r="G348" s="103" t="s">
        <v>40</v>
      </c>
      <c r="H348" s="101">
        <f>I348/I$313</f>
        <v>0.24478441812406715</v>
      </c>
      <c r="I348" s="102">
        <f>+SUM(I330:I347)</f>
        <v>25743.859967137236</v>
      </c>
      <c r="J348" s="103" t="s">
        <v>40</v>
      </c>
      <c r="K348" s="101">
        <f>L348/L$313</f>
        <v>0.12293684303868893</v>
      </c>
      <c r="L348" s="102">
        <f>+SUM(L330:L347)</f>
        <v>13433.910000000002</v>
      </c>
      <c r="M348" s="106"/>
      <c r="N348" s="102">
        <f>+SUM(N330:N347)</f>
        <v>-12309.949967137232</v>
      </c>
      <c r="O348" s="103" t="s">
        <v>40</v>
      </c>
      <c r="P348" s="101">
        <f>Q348/Q$313</f>
        <v>0.32647803958424426</v>
      </c>
      <c r="Q348" s="102">
        <f>+SUM(Q330:Q347)</f>
        <v>31573.59</v>
      </c>
      <c r="R348" s="106"/>
      <c r="S348" s="107">
        <f>+SUM(S330:S347)</f>
        <v>-18139.679999999997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0.61585280711215162</v>
      </c>
      <c r="F350" s="102">
        <f>F329+F348</f>
        <v>64768.944641843635</v>
      </c>
      <c r="G350" s="103" t="s">
        <v>40</v>
      </c>
      <c r="H350" s="101">
        <f>I350/I$313</f>
        <v>0.61585280711215162</v>
      </c>
      <c r="I350" s="102">
        <f>I329+I348</f>
        <v>64768.944641843635</v>
      </c>
      <c r="J350" s="103" t="s">
        <v>40</v>
      </c>
      <c r="K350" s="101">
        <f>L350/L$313</f>
        <v>0.48598191222155424</v>
      </c>
      <c r="L350" s="102">
        <f>L329+L348</f>
        <v>53105.62000000001</v>
      </c>
      <c r="M350" s="106"/>
      <c r="N350" s="119">
        <f t="shared" ref="N350:N352" si="115">L350-I350</f>
        <v>-11663.324641843625</v>
      </c>
      <c r="O350" s="103" t="s">
        <v>40</v>
      </c>
      <c r="P350" s="101">
        <f>Q350/Q$313</f>
        <v>0.83205695313468564</v>
      </c>
      <c r="Q350" s="102">
        <f>Q329+Q348</f>
        <v>80467.97</v>
      </c>
      <c r="R350" s="106"/>
      <c r="S350" s="120">
        <f>L350-Q350</f>
        <v>-27362.349999999991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f>F313-F350</f>
        <v>40400.576214214911</v>
      </c>
      <c r="G352" s="160"/>
      <c r="H352" s="131"/>
      <c r="I352" s="133">
        <f>I313-I350</f>
        <v>40400.576214214911</v>
      </c>
      <c r="J352" s="161"/>
      <c r="K352" s="132"/>
      <c r="L352" s="133">
        <f>L313-L350</f>
        <v>56169.270000000019</v>
      </c>
      <c r="M352" s="161"/>
      <c r="N352" s="133">
        <f t="shared" si="115"/>
        <v>15768.693785785108</v>
      </c>
      <c r="O352" s="161"/>
      <c r="P352" s="132"/>
      <c r="Q352" s="133">
        <f>Q313-Q350</f>
        <v>16241.72000000003</v>
      </c>
      <c r="R352" s="161"/>
      <c r="S352" s="135">
        <f>L352-Q352</f>
        <v>39927.549999999988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Avril 2021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19" t="s">
        <v>5</v>
      </c>
      <c r="E357" s="520"/>
      <c r="F357" s="521"/>
      <c r="G357" s="522" t="s">
        <v>75</v>
      </c>
      <c r="H357" s="520"/>
      <c r="I357" s="521"/>
      <c r="J357" s="522" t="s">
        <v>7</v>
      </c>
      <c r="K357" s="520"/>
      <c r="L357" s="521"/>
      <c r="M357" s="522" t="s">
        <v>8</v>
      </c>
      <c r="N357" s="521"/>
      <c r="O357" s="519" t="s">
        <v>9</v>
      </c>
      <c r="P357" s="520"/>
      <c r="Q357" s="521"/>
      <c r="R357" s="522" t="s">
        <v>10</v>
      </c>
      <c r="S357" s="523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6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6"/>
        <v>BoutiqueBoutique</v>
      </c>
      <c r="B359" s="12" t="s">
        <v>120</v>
      </c>
      <c r="C359" s="63" t="s">
        <v>120</v>
      </c>
      <c r="D359" s="245">
        <f>+INDEX('[5]Budget original'!$A$2:$AO$496,MATCH($A359,'[5]Budget original'!$A$2:$A$496,0),MATCH(D$2,'[5]Budget original'!$A$2:$AO$2,0))</f>
        <v>0</v>
      </c>
      <c r="E359" s="246">
        <f>IFERROR(F359/D359,0)</f>
        <v>0</v>
      </c>
      <c r="F359" s="247">
        <f>+INDEX('[5]Budget original'!$A$2:$AO$496,MATCH($A359,'[5]Budget original'!$A$2:$A$496,0),MATCH(F$2,'[5]Budget original'!$A$2:$AO$2,0))</f>
        <v>0</v>
      </c>
      <c r="G359" s="245">
        <f>+INDEX('[5]Budget révisé'!$A$2:$AO$496,MATCH($A359,'[5]Budget révisé'!$A$2:$A$496,0),MATCH(G$2,'[5]Budget révisé'!$A$2:$AO$2,0))</f>
        <v>0</v>
      </c>
      <c r="H359" s="246">
        <f>IFERROR(I359/G359,0)</f>
        <v>0</v>
      </c>
      <c r="I359" s="245">
        <f>+INDEX('[5]Budget révisé'!$A$2:$AO$496,MATCH($A359,'[5]Budget révisé'!$A$2:$A$496,0),MATCH(I$2,'[5]Budget révisé'!$A$2:$AO$2,0))</f>
        <v>0</v>
      </c>
      <c r="J359" s="248">
        <f>-SUMIFS([5]BV_Data_An_Cour!$O:$O,[5]BV_Data_An_Cour!$X:$X,"Oui",[5]BV_Data_An_Cour!$U:$U,$B359,[5]BV_Data_An_Cour!$V:$V,$C359)</f>
        <v>0</v>
      </c>
      <c r="K359" s="229">
        <f>IF(J359&lt;=0,0,L359/J359)</f>
        <v>0</v>
      </c>
      <c r="L359" s="249">
        <f>-SUMIFS([5]BV_Data_An_Cour!$O:$O,[5]BV_Data_An_Cour!$X:$X,"Oui",[5]BV_Data_An_Cour!$U:$U,$B359,[5]BV_Data_An_Cour!$V:$V,$C359)</f>
        <v>0</v>
      </c>
      <c r="M359" s="230">
        <f>IF(G359=0,0,(+J359-G359)/G359)</f>
        <v>0</v>
      </c>
      <c r="N359" s="231">
        <f>L359-I359</f>
        <v>0</v>
      </c>
      <c r="O359" s="248">
        <f>-SUMIFS([5]BV_Data_An_Prec!$O:$O,[5]BV_Data_An_Prec!$X:$X,"Oui",[5]BV_Data_An_Prec!$U:$U,$B359,[5]BV_Data_An_Prec!$V:$V,$C359)</f>
        <v>0</v>
      </c>
      <c r="P359" s="229">
        <f>IF(O359&lt;=0,0,Q359/O359)</f>
        <v>0</v>
      </c>
      <c r="Q359" s="249">
        <f>-SUMIFS([5]BV_Data_An_Prec!$O:$O,[5]BV_Data_An_Prec!$X:$X,"Oui",[5]BV_Data_An_Prec!$U:$U,$B359,[5]BV_Data_An_Prec!$V:$V,$C359)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V359" s="250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6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6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17">+F359</f>
        <v>0</v>
      </c>
      <c r="G361" s="184">
        <f>+G359</f>
        <v>0</v>
      </c>
      <c r="H361" s="183">
        <f>IF(G361&lt;=0,0,I361/G361)</f>
        <v>0</v>
      </c>
      <c r="I361" s="185">
        <f t="shared" ref="I361:J361" si="118">+I359</f>
        <v>0</v>
      </c>
      <c r="J361" s="184">
        <f t="shared" si="118"/>
        <v>0</v>
      </c>
      <c r="K361" s="183">
        <f>IF(J361&lt;=0,0,L361/J361)</f>
        <v>0</v>
      </c>
      <c r="L361" s="185">
        <f>+L359</f>
        <v>0</v>
      </c>
      <c r="M361" s="252">
        <f>IF(G361=0,0,(+J361-G361)/G361)</f>
        <v>0</v>
      </c>
      <c r="N361" s="253">
        <f>L361-I361</f>
        <v>0</v>
      </c>
      <c r="O361" s="184">
        <f t="shared" ref="O361" si="119">+O359</f>
        <v>0</v>
      </c>
      <c r="P361" s="183">
        <f>IF(O361&lt;=0,0,Q361/O361)</f>
        <v>0</v>
      </c>
      <c r="Q361" s="185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6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6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6"/>
        <v>BoutiqueSalaires cadres</v>
      </c>
      <c r="B364" s="12" t="s">
        <v>120</v>
      </c>
      <c r="C364" s="108" t="s">
        <v>42</v>
      </c>
      <c r="D364" s="14"/>
      <c r="E364" s="14"/>
      <c r="F364" s="31">
        <f>+INDEX('[5]Budget original'!$A$2:$AO$496,MATCH($A364,'[5]Budget original'!$A$2:$A$496,0),MATCH(F$2,'[5]Budget original'!$A$2:$AO$2,0))</f>
        <v>0</v>
      </c>
      <c r="G364" s="42"/>
      <c r="H364" s="14"/>
      <c r="I364" s="31">
        <f>+INDEX('[5]Budget révisé'!$A$2:$AO$496,MATCH($A364,'[5]Budget révisé'!$A$2:$A$496,0),MATCH(I$2,'[5]Budget révisé'!$A$2:$AO$2,0))</f>
        <v>0</v>
      </c>
      <c r="J364" s="42"/>
      <c r="K364" s="14"/>
      <c r="L364" s="34">
        <f>-SUMIFS([5]BV_Data_An_Cour!$O:$O,[5]BV_Data_An_Cour!$U:$U,$B364,[5]BV_Data_An_Cour!$V:$V,$C364,[5]BV_Data_An_Cour!$W:$W,$L$2)</f>
        <v>0</v>
      </c>
      <c r="M364" s="42"/>
      <c r="N364" s="41"/>
      <c r="O364" s="42"/>
      <c r="P364" s="14"/>
      <c r="Q364" s="34">
        <f>-SUMIFS([5]BV_Data_An_Prec!$O:$O,[5]BV_Data_An_Prec!$U:$U,$B364,[5]BV_Data_An_Prec!$V:$V,$C364,[5]BV_Data_An_Prec!$W:$W,$L$2)</f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6"/>
        <v>BoutiqueSalaires commis</v>
      </c>
      <c r="B365" s="12" t="s">
        <v>120</v>
      </c>
      <c r="C365" s="109" t="s">
        <v>43</v>
      </c>
      <c r="D365" s="82"/>
      <c r="E365" s="14"/>
      <c r="F365" s="23">
        <f>+INDEX('[5]Budget original'!$A$2:$AO$496,MATCH($A365,'[5]Budget original'!$A$2:$A$496,0),MATCH(F$2,'[5]Budget original'!$A$2:$AO$2,0))</f>
        <v>0</v>
      </c>
      <c r="G365" s="84"/>
      <c r="H365" s="14"/>
      <c r="I365" s="23">
        <f>+INDEX('[5]Budget révisé'!$A$2:$AO$496,MATCH($A365,'[5]Budget révisé'!$A$2:$A$496,0),MATCH(I$2,'[5]Budget révisé'!$A$2:$AO$2,0))</f>
        <v>0</v>
      </c>
      <c r="J365" s="42"/>
      <c r="K365" s="14"/>
      <c r="L365" s="23">
        <f>-SUMIFS([5]BV_Data_An_Cour!$O:$O,[5]BV_Data_An_Cour!$U:$U,$B365,[5]BV_Data_An_Cour!$V:$V,$C365,[5]BV_Data_An_Cour!$W:$W,$L$2)</f>
        <v>0</v>
      </c>
      <c r="M365" s="42"/>
      <c r="N365" s="60">
        <f t="shared" ref="N365:N393" si="120">L365-I365</f>
        <v>0</v>
      </c>
      <c r="O365" s="42"/>
      <c r="P365" s="14"/>
      <c r="Q365" s="23">
        <f>-SUMIFS([5]BV_Data_An_Prec!$O:$O,[5]BV_Data_An_Prec!$U:$U,$B365,[5]BV_Data_An_Prec!$V:$V,$C365,[5]BV_Data_An_Prec!$W:$W,$L$2)</f>
        <v>0</v>
      </c>
      <c r="R365" s="42"/>
      <c r="S365" s="86">
        <f t="shared" ref="S365:S393" si="121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6"/>
        <v>BoutiqueSalaires autres</v>
      </c>
      <c r="B366" s="12" t="s">
        <v>120</v>
      </c>
      <c r="C366" s="108" t="s">
        <v>44</v>
      </c>
      <c r="D366" s="110"/>
      <c r="E366" s="111"/>
      <c r="F366" s="31">
        <f>+INDEX('[5]Budget original'!$A$2:$AO$496,MATCH($A366,'[5]Budget original'!$A$2:$A$496,0),MATCH(F$2,'[5]Budget original'!$A$2:$AO$2,0))</f>
        <v>0</v>
      </c>
      <c r="G366" s="112"/>
      <c r="H366" s="111"/>
      <c r="I366" s="31">
        <f>+INDEX('[5]Budget révisé'!$A$2:$AO$496,MATCH($A366,'[5]Budget révisé'!$A$2:$A$496,0),MATCH(I$2,'[5]Budget révisé'!$A$2:$AO$2,0))</f>
        <v>0</v>
      </c>
      <c r="J366" s="113"/>
      <c r="K366" s="111"/>
      <c r="L366" s="34">
        <f>-SUMIFS([5]BV_Data_An_Cour!$O:$O,[5]BV_Data_An_Cour!$U:$U,$B366,[5]BV_Data_An_Cour!$V:$V,$C366,[5]BV_Data_An_Cour!$W:$W,$L$2)</f>
        <v>0</v>
      </c>
      <c r="M366" s="113"/>
      <c r="N366" s="115">
        <f t="shared" si="120"/>
        <v>0</v>
      </c>
      <c r="O366" s="113"/>
      <c r="P366" s="111"/>
      <c r="Q366" s="34">
        <f>-SUMIFS([5]BV_Data_An_Prec!$O:$O,[5]BV_Data_An_Prec!$U:$U,$B366,[5]BV_Data_An_Prec!$V:$V,$C366,[5]BV_Data_An_Prec!$W:$W,$L$2)</f>
        <v>0</v>
      </c>
      <c r="R366" s="113"/>
      <c r="S366" s="116">
        <f t="shared" si="121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6"/>
        <v>BoutiqueSalaires spécialistes</v>
      </c>
      <c r="B367" s="12" t="s">
        <v>120</v>
      </c>
      <c r="C367" s="108" t="s">
        <v>45</v>
      </c>
      <c r="D367" s="82"/>
      <c r="E367" s="14"/>
      <c r="F367" s="31">
        <f>+INDEX('[5]Budget original'!$A$2:$AO$496,MATCH($A367,'[5]Budget original'!$A$2:$A$496,0),MATCH(F$2,'[5]Budget original'!$A$2:$AO$2,0))</f>
        <v>0</v>
      </c>
      <c r="G367" s="84"/>
      <c r="H367" s="14"/>
      <c r="I367" s="31">
        <f>+INDEX('[5]Budget révisé'!$A$2:$AO$496,MATCH($A367,'[5]Budget révisé'!$A$2:$A$496,0),MATCH(I$2,'[5]Budget révisé'!$A$2:$AO$2,0))</f>
        <v>0</v>
      </c>
      <c r="J367" s="42"/>
      <c r="K367" s="14"/>
      <c r="L367" s="34">
        <f>-SUMIFS([5]BV_Data_An_Cour!$O:$O,[5]BV_Data_An_Cour!$U:$U,$B367,[5]BV_Data_An_Cour!$V:$V,$C367,[5]BV_Data_An_Cour!$W:$W,$L$2)</f>
        <v>0</v>
      </c>
      <c r="M367" s="42"/>
      <c r="N367" s="60">
        <f t="shared" si="120"/>
        <v>0</v>
      </c>
      <c r="O367" s="42"/>
      <c r="P367" s="14"/>
      <c r="Q367" s="34">
        <f>-SUMIFS([5]BV_Data_An_Prec!$O:$O,[5]BV_Data_An_Prec!$U:$U,$B367,[5]BV_Data_An_Prec!$V:$V,$C367,[5]BV_Data_An_Prec!$W:$W,$L$2)</f>
        <v>0</v>
      </c>
      <c r="R367" s="42"/>
      <c r="S367" s="86">
        <f t="shared" si="121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6"/>
        <v>Boutique[...]</v>
      </c>
      <c r="B368" s="12" t="s">
        <v>120</v>
      </c>
      <c r="C368" s="30" t="s">
        <v>21</v>
      </c>
      <c r="D368" s="82"/>
      <c r="E368" s="14"/>
      <c r="F368" s="31">
        <f>+INDEX('[5]Budget original'!$A$2:$AO$496,MATCH($A368,'[5]Budget original'!$A$2:$A$496,0),MATCH(F$2,'[5]Budget original'!$A$2:$AO$2,0))</f>
        <v>0</v>
      </c>
      <c r="G368" s="84"/>
      <c r="H368" s="14"/>
      <c r="I368" s="31">
        <f>+INDEX('[5]Budget révisé'!$A$2:$AO$496,MATCH($A368,'[5]Budget révisé'!$A$2:$A$496,0),MATCH(I$2,'[5]Budget révisé'!$A$2:$AO$2,0))</f>
        <v>0</v>
      </c>
      <c r="J368" s="42"/>
      <c r="K368" s="14"/>
      <c r="L368" s="34">
        <f>-SUMIFS([5]BV_Data_An_Cour!$O:$O,[5]BV_Data_An_Cour!$U:$U,$B368,[5]BV_Data_An_Cour!$V:$V,$C368,[5]BV_Data_An_Cour!$W:$W,$L$2)</f>
        <v>0</v>
      </c>
      <c r="M368" s="42"/>
      <c r="N368" s="60">
        <f t="shared" si="120"/>
        <v>0</v>
      </c>
      <c r="O368" s="42"/>
      <c r="P368" s="14"/>
      <c r="Q368" s="34">
        <f>-SUMIFS([5]BV_Data_An_Prec!$O:$O,[5]BV_Data_An_Prec!$U:$U,$B368,[5]BV_Data_An_Prec!$V:$V,$C368,[5]BV_Data_An_Prec!$W:$W,$L$2)</f>
        <v>0</v>
      </c>
      <c r="R368" s="42"/>
      <c r="S368" s="86">
        <f t="shared" si="121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6"/>
        <v>Boutique[...]</v>
      </c>
      <c r="B369" s="12" t="s">
        <v>120</v>
      </c>
      <c r="C369" s="30" t="s">
        <v>21</v>
      </c>
      <c r="D369" s="82"/>
      <c r="E369" s="14"/>
      <c r="F369" s="31">
        <f>+INDEX('[5]Budget original'!$A$2:$AO$496,MATCH($A369,'[5]Budget original'!$A$2:$A$496,0),MATCH(F$2,'[5]Budget original'!$A$2:$AO$2,0))</f>
        <v>0</v>
      </c>
      <c r="G369" s="84"/>
      <c r="H369" s="14"/>
      <c r="I369" s="31">
        <f>+INDEX('[5]Budget révisé'!$A$2:$AO$496,MATCH($A369,'[5]Budget révisé'!$A$2:$A$496,0),MATCH(I$2,'[5]Budget révisé'!$A$2:$AO$2,0))</f>
        <v>0</v>
      </c>
      <c r="J369" s="42"/>
      <c r="K369" s="14"/>
      <c r="L369" s="34">
        <f>-SUMIFS([5]BV_Data_An_Cour!$O:$O,[5]BV_Data_An_Cour!$U:$U,$B369,[5]BV_Data_An_Cour!$V:$V,$C369,[5]BV_Data_An_Cour!$W:$W,$L$2)</f>
        <v>0</v>
      </c>
      <c r="M369" s="42"/>
      <c r="N369" s="60">
        <f t="shared" si="120"/>
        <v>0</v>
      </c>
      <c r="O369" s="42"/>
      <c r="P369" s="14"/>
      <c r="Q369" s="34">
        <f>-SUMIFS([5]BV_Data_An_Prec!$O:$O,[5]BV_Data_An_Prec!$U:$U,$B369,[5]BV_Data_An_Prec!$V:$V,$C369,[5]BV_Data_An_Prec!$W:$W,$L$2)</f>
        <v>0</v>
      </c>
      <c r="R369" s="42"/>
      <c r="S369" s="86">
        <f t="shared" si="121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6"/>
        <v>Boutique[...]</v>
      </c>
      <c r="B370" s="12" t="s">
        <v>120</v>
      </c>
      <c r="C370" s="30" t="s">
        <v>21</v>
      </c>
      <c r="D370" s="82"/>
      <c r="E370" s="14"/>
      <c r="F370" s="31">
        <f>+INDEX('[5]Budget original'!$A$2:$AO$496,MATCH($A370,'[5]Budget original'!$A$2:$A$496,0),MATCH(F$2,'[5]Budget original'!$A$2:$AO$2,0))</f>
        <v>0</v>
      </c>
      <c r="G370" s="84"/>
      <c r="H370" s="14"/>
      <c r="I370" s="31">
        <f>+INDEX('[5]Budget révisé'!$A$2:$AO$496,MATCH($A370,'[5]Budget révisé'!$A$2:$A$496,0),MATCH(I$2,'[5]Budget révisé'!$A$2:$AO$2,0))</f>
        <v>0</v>
      </c>
      <c r="J370" s="42"/>
      <c r="K370" s="14"/>
      <c r="L370" s="34">
        <f>-SUMIFS([5]BV_Data_An_Cour!$O:$O,[5]BV_Data_An_Cour!$U:$U,$B370,[5]BV_Data_An_Cour!$V:$V,$C370,[5]BV_Data_An_Cour!$W:$W,$L$2)</f>
        <v>0</v>
      </c>
      <c r="M370" s="42"/>
      <c r="N370" s="60">
        <f t="shared" si="120"/>
        <v>0</v>
      </c>
      <c r="O370" s="42"/>
      <c r="P370" s="14"/>
      <c r="Q370" s="34">
        <f>-SUMIFS([5]BV_Data_An_Prec!$O:$O,[5]BV_Data_An_Prec!$U:$U,$B370,[5]BV_Data_An_Prec!$V:$V,$C370,[5]BV_Data_An_Prec!$W:$W,$L$2)</f>
        <v>0</v>
      </c>
      <c r="R370" s="42"/>
      <c r="S370" s="86">
        <f t="shared" si="121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6"/>
        <v>BoutiqueSalaires en absences</v>
      </c>
      <c r="B371" s="12" t="s">
        <v>120</v>
      </c>
      <c r="C371" s="109" t="s">
        <v>46</v>
      </c>
      <c r="D371" s="82"/>
      <c r="E371" s="14"/>
      <c r="F371" s="23">
        <f>+INDEX('[5]Budget original'!$A$2:$AO$496,MATCH($A371,'[5]Budget original'!$A$2:$A$496,0),MATCH(F$2,'[5]Budget original'!$A$2:$AO$2,0))</f>
        <v>0</v>
      </c>
      <c r="G371" s="84"/>
      <c r="H371" s="14"/>
      <c r="I371" s="23">
        <f>+INDEX('[5]Budget révisé'!$A$2:$AO$496,MATCH($A371,'[5]Budget révisé'!$A$2:$A$496,0),MATCH(I$2,'[5]Budget révisé'!$A$2:$AO$2,0))</f>
        <v>0</v>
      </c>
      <c r="J371" s="42"/>
      <c r="K371" s="14"/>
      <c r="L371" s="23">
        <f>-SUMIFS([5]BV_Data_An_Cour!$O:$O,[5]BV_Data_An_Cour!$U:$U,$B371,[5]BV_Data_An_Cour!$V:$V,$C371,[5]BV_Data_An_Cour!$W:$W,$L$2)</f>
        <v>0</v>
      </c>
      <c r="M371" s="42"/>
      <c r="N371" s="60">
        <f t="shared" si="120"/>
        <v>0</v>
      </c>
      <c r="O371" s="42"/>
      <c r="P371" s="14"/>
      <c r="Q371" s="23">
        <f>-SUMIFS([5]BV_Data_An_Prec!$O:$O,[5]BV_Data_An_Prec!$U:$U,$B371,[5]BV_Data_An_Prec!$V:$V,$C371,[5]BV_Data_An_Prec!$W:$W,$L$2)</f>
        <v>0</v>
      </c>
      <c r="R371" s="42"/>
      <c r="S371" s="86">
        <f t="shared" si="121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6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+INDEX('[5]Budget original'!$A$2:$AO$496,MATCH($A372,'[5]Budget original'!$A$2:$A$496,0),MATCH(F$2,'[5]Budget original'!$A$2:$AO$2,0))</f>
        <v>0</v>
      </c>
      <c r="G372" s="112"/>
      <c r="H372" s="111"/>
      <c r="I372" s="31">
        <f>+INDEX('[5]Budget révisé'!$A$2:$AO$496,MATCH($A372,'[5]Budget révisé'!$A$2:$A$496,0),MATCH(I$2,'[5]Budget révisé'!$A$2:$AO$2,0))</f>
        <v>0</v>
      </c>
      <c r="J372" s="113"/>
      <c r="K372" s="111"/>
      <c r="L372" s="34">
        <f>-SUMIFS([5]BV_Data_An_Cour!$O:$O,[5]BV_Data_An_Cour!$U:$U,$B372,[5]BV_Data_An_Cour!$V:$V,$C372,[5]BV_Data_An_Cour!$W:$W,$L$2)</f>
        <v>0</v>
      </c>
      <c r="M372" s="113"/>
      <c r="N372" s="115">
        <f t="shared" si="120"/>
        <v>0</v>
      </c>
      <c r="O372" s="113"/>
      <c r="P372" s="111"/>
      <c r="Q372" s="34">
        <f>-SUMIFS([5]BV_Data_An_Prec!$O:$O,[5]BV_Data_An_Prec!$U:$U,$B372,[5]BV_Data_An_Prec!$V:$V,$C372,[5]BV_Data_An_Prec!$W:$W,$L$2)</f>
        <v>0</v>
      </c>
      <c r="R372" s="113"/>
      <c r="S372" s="116">
        <f t="shared" si="121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6"/>
        <v>BoutiqueBénéfices marginaux</v>
      </c>
      <c r="B373" s="12" t="s">
        <v>120</v>
      </c>
      <c r="C373" s="108" t="s">
        <v>48</v>
      </c>
      <c r="D373" s="82"/>
      <c r="E373" s="14"/>
      <c r="F373" s="31">
        <f>+INDEX('[5]Budget original'!$A$2:$AO$496,MATCH($A373,'[5]Budget original'!$A$2:$A$496,0),MATCH(F$2,'[5]Budget original'!$A$2:$AO$2,0))</f>
        <v>0</v>
      </c>
      <c r="G373" s="84"/>
      <c r="H373" s="14"/>
      <c r="I373" s="31">
        <f>+INDEX('[5]Budget révisé'!$A$2:$AO$496,MATCH($A373,'[5]Budget révisé'!$A$2:$A$496,0),MATCH(I$2,'[5]Budget révisé'!$A$2:$AO$2,0))</f>
        <v>0</v>
      </c>
      <c r="J373" s="42"/>
      <c r="K373" s="14"/>
      <c r="L373" s="34">
        <f>-SUMIFS([5]BV_Data_An_Cour!$O:$O,[5]BV_Data_An_Cour!$U:$U,$B373,[5]BV_Data_An_Cour!$V:$V,$C373,[5]BV_Data_An_Cour!$W:$W,$L$2)</f>
        <v>0</v>
      </c>
      <c r="M373" s="42"/>
      <c r="N373" s="60">
        <f t="shared" si="120"/>
        <v>0</v>
      </c>
      <c r="O373" s="42"/>
      <c r="P373" s="14"/>
      <c r="Q373" s="34">
        <f>-SUMIFS([5]BV_Data_An_Prec!$O:$O,[5]BV_Data_An_Prec!$U:$U,$B373,[5]BV_Data_An_Prec!$V:$V,$C373,[5]BV_Data_An_Prec!$W:$W,$L$2)</f>
        <v>0</v>
      </c>
      <c r="R373" s="42"/>
      <c r="S373" s="86">
        <f t="shared" si="121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6"/>
        <v>BoutiqueCsst</v>
      </c>
      <c r="B374" s="12" t="s">
        <v>120</v>
      </c>
      <c r="C374" s="108" t="s">
        <v>49</v>
      </c>
      <c r="D374" s="82"/>
      <c r="E374" s="14"/>
      <c r="F374" s="31">
        <f>+INDEX('[5]Budget original'!$A$2:$AO$496,MATCH($A374,'[5]Budget original'!$A$2:$A$496,0),MATCH(F$2,'[5]Budget original'!$A$2:$AO$2,0))</f>
        <v>0</v>
      </c>
      <c r="G374" s="84"/>
      <c r="H374" s="14"/>
      <c r="I374" s="31">
        <f>+INDEX('[5]Budget révisé'!$A$2:$AO$496,MATCH($A374,'[5]Budget révisé'!$A$2:$A$496,0),MATCH(I$2,'[5]Budget révisé'!$A$2:$AO$2,0))</f>
        <v>0</v>
      </c>
      <c r="J374" s="42"/>
      <c r="K374" s="14"/>
      <c r="L374" s="34">
        <f>-SUMIFS([5]BV_Data_An_Cour!$O:$O,[5]BV_Data_An_Cour!$U:$U,$B374,[5]BV_Data_An_Cour!$V:$V,$C374,[5]BV_Data_An_Cour!$W:$W,$L$2)</f>
        <v>0</v>
      </c>
      <c r="M374" s="42"/>
      <c r="N374" s="60">
        <f t="shared" si="120"/>
        <v>0</v>
      </c>
      <c r="O374" s="42"/>
      <c r="P374" s="14"/>
      <c r="Q374" s="34">
        <f>-SUMIFS([5]BV_Data_An_Prec!$O:$O,[5]BV_Data_An_Prec!$U:$U,$B374,[5]BV_Data_An_Prec!$V:$V,$C374,[5]BV_Data_An_Prec!$W:$W,$L$2)</f>
        <v>0</v>
      </c>
      <c r="R374" s="42"/>
      <c r="S374" s="86">
        <f t="shared" si="121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6"/>
        <v>Boutique[...]</v>
      </c>
      <c r="B375" s="12" t="s">
        <v>120</v>
      </c>
      <c r="C375" s="30" t="s">
        <v>21</v>
      </c>
      <c r="D375" s="89"/>
      <c r="E375" s="117"/>
      <c r="F375" s="31">
        <f>+INDEX('[5]Budget original'!$A$2:$AO$496,MATCH($A375,'[5]Budget original'!$A$2:$A$496,0),MATCH(F$2,'[5]Budget original'!$A$2:$AO$2,0))</f>
        <v>0</v>
      </c>
      <c r="G375" s="91"/>
      <c r="H375" s="117"/>
      <c r="I375" s="31">
        <f>+INDEX('[5]Budget révisé'!$A$2:$AO$496,MATCH($A375,'[5]Budget révisé'!$A$2:$A$496,0),MATCH(I$2,'[5]Budget révisé'!$A$2:$AO$2,0))</f>
        <v>0</v>
      </c>
      <c r="J375" s="24"/>
      <c r="K375" s="117"/>
      <c r="L375" s="34">
        <f>-SUMIFS([5]BV_Data_An_Cour!$O:$O,[5]BV_Data_An_Cour!$U:$U,$B375,[5]BV_Data_An_Cour!$V:$V,$C375,[5]BV_Data_An_Cour!$W:$W,$L$2)</f>
        <v>0</v>
      </c>
      <c r="M375" s="24"/>
      <c r="N375" s="94">
        <f t="shared" si="120"/>
        <v>0</v>
      </c>
      <c r="O375" s="24"/>
      <c r="P375" s="117"/>
      <c r="Q375" s="34">
        <f>-SUMIFS([5]BV_Data_An_Prec!$O:$O,[5]BV_Data_An_Prec!$U:$U,$B375,[5]BV_Data_An_Prec!$V:$V,$C375,[5]BV_Data_An_Prec!$W:$W,$L$2)</f>
        <v>0</v>
      </c>
      <c r="R375" s="24"/>
      <c r="S375" s="95">
        <f t="shared" si="121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6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20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21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6"/>
        <v>BoutiquePublicité 2</v>
      </c>
      <c r="B377" s="12" t="s">
        <v>120</v>
      </c>
      <c r="C377" s="221" t="s">
        <v>51</v>
      </c>
      <c r="D377" s="82"/>
      <c r="E377" s="14"/>
      <c r="F377" s="31">
        <f>+INDEX('[5]Budget original'!$A$2:$AO$496,MATCH($A377,'[5]Budget original'!$A$2:$A$496,0),MATCH(F$2,'[5]Budget original'!$A$2:$AO$2,0))</f>
        <v>0</v>
      </c>
      <c r="G377" s="84"/>
      <c r="H377" s="14"/>
      <c r="I377" s="31">
        <f>+INDEX('[5]Budget révisé'!$A$2:$AO$496,MATCH($A377,'[5]Budget révisé'!$A$2:$A$496,0),MATCH(I$2,'[5]Budget révisé'!$A$2:$AO$2,0))</f>
        <v>0</v>
      </c>
      <c r="J377" s="42"/>
      <c r="K377" s="14"/>
      <c r="L377" s="34">
        <f>-SUMIFS([5]BV_Data_An_Cour!$O:$O,[5]BV_Data_An_Cour!$U:$U,$B377,[5]BV_Data_An_Cour!$V:$V,$C377,[5]BV_Data_An_Cour!$W:$W,$L$2)</f>
        <v>0</v>
      </c>
      <c r="M377" s="42"/>
      <c r="N377" s="60">
        <f t="shared" si="120"/>
        <v>0</v>
      </c>
      <c r="O377" s="42"/>
      <c r="P377" s="14"/>
      <c r="Q377" s="34">
        <f>-SUMIFS([5]BV_Data_An_Prec!$O:$O,[5]BV_Data_An_Prec!$U:$U,$B377,[5]BV_Data_An_Prec!$V:$V,$C377,[5]BV_Data_An_Prec!$W:$W,$L$2)</f>
        <v>0</v>
      </c>
      <c r="R377" s="42"/>
      <c r="S377" s="86">
        <f t="shared" si="121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6"/>
        <v>BoutiqueService gratuit 2</v>
      </c>
      <c r="B378" s="12" t="s">
        <v>120</v>
      </c>
      <c r="C378" s="108" t="s">
        <v>52</v>
      </c>
      <c r="D378" s="82"/>
      <c r="E378" s="14"/>
      <c r="F378" s="31">
        <f>+INDEX('[5]Budget original'!$A$2:$AO$496,MATCH($A378,'[5]Budget original'!$A$2:$A$496,0),MATCH(F$2,'[5]Budget original'!$A$2:$AO$2,0))</f>
        <v>0</v>
      </c>
      <c r="G378" s="84"/>
      <c r="H378" s="14"/>
      <c r="I378" s="31">
        <f>+INDEX('[5]Budget révisé'!$A$2:$AO$496,MATCH($A378,'[5]Budget révisé'!$A$2:$A$496,0),MATCH(I$2,'[5]Budget révisé'!$A$2:$AO$2,0))</f>
        <v>0</v>
      </c>
      <c r="J378" s="42"/>
      <c r="K378" s="14"/>
      <c r="L378" s="34">
        <f>-SUMIFS([5]BV_Data_An_Cour!$O:$O,[5]BV_Data_An_Cour!$U:$U,$B378,[5]BV_Data_An_Cour!$V:$V,$C378,[5]BV_Data_An_Cour!$W:$W,$L$2)</f>
        <v>0</v>
      </c>
      <c r="M378" s="42"/>
      <c r="N378" s="60">
        <f t="shared" si="120"/>
        <v>0</v>
      </c>
      <c r="O378" s="42"/>
      <c r="P378" s="14"/>
      <c r="Q378" s="34">
        <f>-SUMIFS([5]BV_Data_An_Prec!$O:$O,[5]BV_Data_An_Prec!$U:$U,$B378,[5]BV_Data_An_Prec!$V:$V,$C378,[5]BV_Data_An_Prec!$W:$W,$L$2)</f>
        <v>0</v>
      </c>
      <c r="R378" s="42"/>
      <c r="S378" s="86">
        <f t="shared" si="121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6"/>
        <v>BoutiqueFrais véhicules de cie</v>
      </c>
      <c r="B379" s="12" t="s">
        <v>120</v>
      </c>
      <c r="C379" s="109" t="s">
        <v>53</v>
      </c>
      <c r="D379" s="89"/>
      <c r="E379" s="117"/>
      <c r="F379" s="23">
        <f>+INDEX('[5]Budget original'!$A$2:$AO$496,MATCH($A379,'[5]Budget original'!$A$2:$A$496,0),MATCH(F$2,'[5]Budget original'!$A$2:$AO$2,0))</f>
        <v>0</v>
      </c>
      <c r="G379" s="91"/>
      <c r="H379" s="117"/>
      <c r="I379" s="23">
        <f>+INDEX('[5]Budget révisé'!$A$2:$AO$496,MATCH($A379,'[5]Budget révisé'!$A$2:$A$496,0),MATCH(I$2,'[5]Budget révisé'!$A$2:$AO$2,0))</f>
        <v>0</v>
      </c>
      <c r="J379" s="24"/>
      <c r="K379" s="117"/>
      <c r="L379" s="23">
        <f>-SUMIFS([5]BV_Data_An_Cour!$O:$O,[5]BV_Data_An_Cour!$U:$U,$B379,[5]BV_Data_An_Cour!$V:$V,$C379,[5]BV_Data_An_Cour!$W:$W,$L$2)</f>
        <v>0</v>
      </c>
      <c r="M379" s="24"/>
      <c r="N379" s="94">
        <f t="shared" si="120"/>
        <v>0</v>
      </c>
      <c r="O379" s="24"/>
      <c r="P379" s="117"/>
      <c r="Q379" s="23">
        <f>-SUMIFS([5]BV_Data_An_Prec!$O:$O,[5]BV_Data_An_Prec!$U:$U,$B379,[5]BV_Data_An_Prec!$V:$V,$C379,[5]BV_Data_An_Prec!$W:$W,$L$2)</f>
        <v>0</v>
      </c>
      <c r="R379" s="24"/>
      <c r="S379" s="95">
        <f t="shared" si="121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6"/>
        <v>BoutiqueInformatique</v>
      </c>
      <c r="B380" s="12" t="s">
        <v>120</v>
      </c>
      <c r="C380" s="108" t="s">
        <v>54</v>
      </c>
      <c r="D380" s="82"/>
      <c r="E380" s="14"/>
      <c r="F380" s="31">
        <f>+INDEX('[5]Budget original'!$A$2:$AO$496,MATCH($A380,'[5]Budget original'!$A$2:$A$496,0),MATCH(F$2,'[5]Budget original'!$A$2:$AO$2,0))</f>
        <v>0</v>
      </c>
      <c r="G380" s="84"/>
      <c r="H380" s="14"/>
      <c r="I380" s="31">
        <f>+INDEX('[5]Budget révisé'!$A$2:$AO$496,MATCH($A380,'[5]Budget révisé'!$A$2:$A$496,0),MATCH(I$2,'[5]Budget révisé'!$A$2:$AO$2,0))</f>
        <v>0</v>
      </c>
      <c r="J380" s="42"/>
      <c r="K380" s="14"/>
      <c r="L380" s="34">
        <f>-SUMIFS([5]BV_Data_An_Cour!$O:$O,[5]BV_Data_An_Cour!$U:$U,$B380,[5]BV_Data_An_Cour!$V:$V,$C380,[5]BV_Data_An_Cour!$W:$W,$L$2)</f>
        <v>0</v>
      </c>
      <c r="M380" s="42"/>
      <c r="N380" s="60">
        <f t="shared" si="120"/>
        <v>0</v>
      </c>
      <c r="O380" s="42"/>
      <c r="P380" s="14"/>
      <c r="Q380" s="34">
        <f>-SUMIFS([5]BV_Data_An_Prec!$O:$O,[5]BV_Data_An_Prec!$U:$U,$B380,[5]BV_Data_An_Prec!$V:$V,$C380,[5]BV_Data_An_Prec!$W:$W,$L$2)</f>
        <v>0</v>
      </c>
      <c r="R380" s="42"/>
      <c r="S380" s="86">
        <f t="shared" si="121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6"/>
        <v>BoutiqueFrais de déplacement</v>
      </c>
      <c r="B381" s="12" t="s">
        <v>120</v>
      </c>
      <c r="C381" s="108" t="s">
        <v>55</v>
      </c>
      <c r="D381" s="82"/>
      <c r="E381" s="14"/>
      <c r="F381" s="31">
        <f>+INDEX('[5]Budget original'!$A$2:$AO$496,MATCH($A381,'[5]Budget original'!$A$2:$A$496,0),MATCH(F$2,'[5]Budget original'!$A$2:$AO$2,0))</f>
        <v>0</v>
      </c>
      <c r="G381" s="84"/>
      <c r="H381" s="14"/>
      <c r="I381" s="31">
        <f>+INDEX('[5]Budget révisé'!$A$2:$AO$496,MATCH($A381,'[5]Budget révisé'!$A$2:$A$496,0),MATCH(I$2,'[5]Budget révisé'!$A$2:$AO$2,0))</f>
        <v>0</v>
      </c>
      <c r="J381" s="42"/>
      <c r="K381" s="14"/>
      <c r="L381" s="34">
        <f>-SUMIFS([5]BV_Data_An_Cour!$O:$O,[5]BV_Data_An_Cour!$U:$U,$B381,[5]BV_Data_An_Cour!$V:$V,$C381,[5]BV_Data_An_Cour!$W:$W,$L$2)</f>
        <v>0</v>
      </c>
      <c r="M381" s="42"/>
      <c r="N381" s="60">
        <f t="shared" si="120"/>
        <v>0</v>
      </c>
      <c r="O381" s="42"/>
      <c r="P381" s="14"/>
      <c r="Q381" s="34">
        <f>-SUMIFS([5]BV_Data_An_Prec!$O:$O,[5]BV_Data_An_Prec!$U:$U,$B381,[5]BV_Data_An_Prec!$V:$V,$C381,[5]BV_Data_An_Prec!$W:$W,$L$2)</f>
        <v>0</v>
      </c>
      <c r="R381" s="42"/>
      <c r="S381" s="86">
        <f t="shared" si="121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6"/>
        <v>BoutiqueServices extérieurs</v>
      </c>
      <c r="B382" s="12" t="s">
        <v>120</v>
      </c>
      <c r="C382" s="108" t="s">
        <v>56</v>
      </c>
      <c r="D382" s="89"/>
      <c r="E382" s="117"/>
      <c r="F382" s="23">
        <f>+INDEX('[5]Budget original'!$A$2:$AO$496,MATCH($A382,'[5]Budget original'!$A$2:$A$496,0),MATCH(F$2,'[5]Budget original'!$A$2:$AO$2,0))</f>
        <v>0</v>
      </c>
      <c r="G382" s="91"/>
      <c r="H382" s="117"/>
      <c r="I382" s="23">
        <f>+INDEX('[5]Budget révisé'!$A$2:$AO$496,MATCH($A382,'[5]Budget révisé'!$A$2:$A$496,0),MATCH(I$2,'[5]Budget révisé'!$A$2:$AO$2,0))</f>
        <v>0</v>
      </c>
      <c r="J382" s="24"/>
      <c r="K382" s="117"/>
      <c r="L382" s="23">
        <f>-SUMIFS([5]BV_Data_An_Cour!$O:$O,[5]BV_Data_An_Cour!$U:$U,$B382,[5]BV_Data_An_Cour!$V:$V,$C382,[5]BV_Data_An_Cour!$W:$W,$L$2)</f>
        <v>0</v>
      </c>
      <c r="M382" s="24"/>
      <c r="N382" s="94">
        <f t="shared" si="120"/>
        <v>0</v>
      </c>
      <c r="O382" s="24"/>
      <c r="P382" s="117"/>
      <c r="Q382" s="23">
        <f>-SUMIFS([5]BV_Data_An_Prec!$O:$O,[5]BV_Data_An_Prec!$U:$U,$B382,[5]BV_Data_An_Prec!$V:$V,$C382,[5]BV_Data_An_Prec!$W:$W,$L$2)</f>
        <v>0</v>
      </c>
      <c r="R382" s="24"/>
      <c r="S382" s="95">
        <f t="shared" si="121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6"/>
        <v>BoutiqueFournitures autres</v>
      </c>
      <c r="B383" s="12" t="s">
        <v>120</v>
      </c>
      <c r="C383" s="221" t="s">
        <v>57</v>
      </c>
      <c r="D383" s="82"/>
      <c r="E383" s="14"/>
      <c r="F383" s="31">
        <f>+INDEX('[5]Budget original'!$A$2:$AO$496,MATCH($A383,'[5]Budget original'!$A$2:$A$496,0),MATCH(F$2,'[5]Budget original'!$A$2:$AO$2,0))</f>
        <v>0</v>
      </c>
      <c r="G383" s="84"/>
      <c r="H383" s="14"/>
      <c r="I383" s="31">
        <f>+INDEX('[5]Budget révisé'!$A$2:$AO$496,MATCH($A383,'[5]Budget révisé'!$A$2:$A$496,0),MATCH(I$2,'[5]Budget révisé'!$A$2:$AO$2,0))</f>
        <v>0</v>
      </c>
      <c r="J383" s="42"/>
      <c r="K383" s="14"/>
      <c r="L383" s="34">
        <f>-SUMIFS([5]BV_Data_An_Cour!$O:$O,[5]BV_Data_An_Cour!$U:$U,$B383,[5]BV_Data_An_Cour!$V:$V,$C383,[5]BV_Data_An_Cour!$W:$W,$L$2)</f>
        <v>0</v>
      </c>
      <c r="M383" s="42"/>
      <c r="N383" s="60">
        <f t="shared" si="120"/>
        <v>0</v>
      </c>
      <c r="O383" s="42"/>
      <c r="P383" s="14"/>
      <c r="Q383" s="34">
        <f>-SUMIFS([5]BV_Data_An_Prec!$O:$O,[5]BV_Data_An_Prec!$U:$U,$B383,[5]BV_Data_An_Prec!$V:$V,$C383,[5]BV_Data_An_Prec!$W:$W,$L$2)</f>
        <v>0</v>
      </c>
      <c r="R383" s="42"/>
      <c r="S383" s="86">
        <f t="shared" si="121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6"/>
        <v>BoutiqueUniformes</v>
      </c>
      <c r="B384" s="12" t="s">
        <v>120</v>
      </c>
      <c r="C384" s="108" t="s">
        <v>58</v>
      </c>
      <c r="D384" s="82"/>
      <c r="E384" s="14"/>
      <c r="F384" s="31">
        <f>+INDEX('[5]Budget original'!$A$2:$AO$496,MATCH($A384,'[5]Budget original'!$A$2:$A$496,0),MATCH(F$2,'[5]Budget original'!$A$2:$AO$2,0))</f>
        <v>0</v>
      </c>
      <c r="G384" s="84"/>
      <c r="H384" s="14"/>
      <c r="I384" s="31">
        <f>+INDEX('[5]Budget révisé'!$A$2:$AO$496,MATCH($A384,'[5]Budget révisé'!$A$2:$A$496,0),MATCH(I$2,'[5]Budget révisé'!$A$2:$AO$2,0))</f>
        <v>0</v>
      </c>
      <c r="J384" s="42"/>
      <c r="K384" s="14"/>
      <c r="L384" s="34">
        <f>-SUMIFS([5]BV_Data_An_Cour!$O:$O,[5]BV_Data_An_Cour!$U:$U,$B384,[5]BV_Data_An_Cour!$V:$V,$C384,[5]BV_Data_An_Cour!$W:$W,$L$2)</f>
        <v>0</v>
      </c>
      <c r="M384" s="42"/>
      <c r="N384" s="60">
        <f t="shared" si="120"/>
        <v>0</v>
      </c>
      <c r="O384" s="42"/>
      <c r="P384" s="14"/>
      <c r="Q384" s="34">
        <f>-SUMIFS([5]BV_Data_An_Prec!$O:$O,[5]BV_Data_An_Prec!$U:$U,$B384,[5]BV_Data_An_Prec!$V:$V,$C384,[5]BV_Data_An_Prec!$W:$W,$L$2)</f>
        <v>0</v>
      </c>
      <c r="R384" s="42"/>
      <c r="S384" s="86">
        <f t="shared" si="121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6"/>
        <v>BoutiquePapeterie</v>
      </c>
      <c r="B385" s="12" t="s">
        <v>120</v>
      </c>
      <c r="C385" s="108" t="s">
        <v>59</v>
      </c>
      <c r="D385" s="82"/>
      <c r="E385" s="14"/>
      <c r="F385" s="31">
        <f>+INDEX('[5]Budget original'!$A$2:$AO$496,MATCH($A385,'[5]Budget original'!$A$2:$A$496,0),MATCH(F$2,'[5]Budget original'!$A$2:$AO$2,0))</f>
        <v>0</v>
      </c>
      <c r="G385" s="84"/>
      <c r="H385" s="14"/>
      <c r="I385" s="31">
        <f>+INDEX('[5]Budget révisé'!$A$2:$AO$496,MATCH($A385,'[5]Budget révisé'!$A$2:$A$496,0),MATCH(I$2,'[5]Budget révisé'!$A$2:$AO$2,0))</f>
        <v>0</v>
      </c>
      <c r="J385" s="42"/>
      <c r="K385" s="14"/>
      <c r="L385" s="34">
        <f>-SUMIFS([5]BV_Data_An_Cour!$O:$O,[5]BV_Data_An_Cour!$U:$U,$B385,[5]BV_Data_An_Cour!$V:$V,$C385,[5]BV_Data_An_Cour!$W:$W,$L$2)</f>
        <v>0</v>
      </c>
      <c r="M385" s="42"/>
      <c r="N385" s="60">
        <f t="shared" si="120"/>
        <v>0</v>
      </c>
      <c r="O385" s="42"/>
      <c r="P385" s="14"/>
      <c r="Q385" s="34">
        <f>-SUMIFS([5]BV_Data_An_Prec!$O:$O,[5]BV_Data_An_Prec!$U:$U,$B385,[5]BV_Data_An_Prec!$V:$V,$C385,[5]BV_Data_An_Prec!$W:$W,$L$2)</f>
        <v>0</v>
      </c>
      <c r="R385" s="42"/>
      <c r="S385" s="86">
        <f t="shared" si="121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6"/>
        <v>BoutiqueTéléphone</v>
      </c>
      <c r="B386" s="12" t="s">
        <v>120</v>
      </c>
      <c r="C386" s="108" t="s">
        <v>60</v>
      </c>
      <c r="D386" s="82"/>
      <c r="E386" s="14"/>
      <c r="F386" s="31">
        <f>+INDEX('[5]Budget original'!$A$2:$AO$496,MATCH($A386,'[5]Budget original'!$A$2:$A$496,0),MATCH(F$2,'[5]Budget original'!$A$2:$AO$2,0))</f>
        <v>0</v>
      </c>
      <c r="G386" s="84"/>
      <c r="H386" s="14"/>
      <c r="I386" s="31">
        <f>+INDEX('[5]Budget révisé'!$A$2:$AO$496,MATCH($A386,'[5]Budget révisé'!$A$2:$A$496,0),MATCH(I$2,'[5]Budget révisé'!$A$2:$AO$2,0))</f>
        <v>0</v>
      </c>
      <c r="J386" s="42"/>
      <c r="K386" s="14"/>
      <c r="L386" s="34">
        <f>-SUMIFS([5]BV_Data_An_Cour!$O:$O,[5]BV_Data_An_Cour!$U:$U,$B386,[5]BV_Data_An_Cour!$V:$V,$C386,[5]BV_Data_An_Cour!$W:$W,$L$2)</f>
        <v>0</v>
      </c>
      <c r="M386" s="42"/>
      <c r="N386" s="60">
        <f t="shared" si="120"/>
        <v>0</v>
      </c>
      <c r="O386" s="42"/>
      <c r="P386" s="14"/>
      <c r="Q386" s="34">
        <f>-SUMIFS([5]BV_Data_An_Prec!$O:$O,[5]BV_Data_An_Prec!$U:$U,$B386,[5]BV_Data_An_Prec!$V:$V,$C386,[5]BV_Data_An_Prec!$W:$W,$L$2)</f>
        <v>0</v>
      </c>
      <c r="R386" s="42"/>
      <c r="S386" s="86">
        <f t="shared" si="121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6"/>
        <v>BoutiqueFrais postaux</v>
      </c>
      <c r="B387" s="12" t="s">
        <v>120</v>
      </c>
      <c r="C387" s="108" t="s">
        <v>61</v>
      </c>
      <c r="D387" s="82"/>
      <c r="E387" s="14"/>
      <c r="F387" s="31">
        <f>+INDEX('[5]Budget original'!$A$2:$AO$496,MATCH($A387,'[5]Budget original'!$A$2:$A$496,0),MATCH(F$2,'[5]Budget original'!$A$2:$AO$2,0))</f>
        <v>0</v>
      </c>
      <c r="G387" s="84"/>
      <c r="H387" s="14"/>
      <c r="I387" s="31">
        <f>+INDEX('[5]Budget révisé'!$A$2:$AO$496,MATCH($A387,'[5]Budget révisé'!$A$2:$A$496,0),MATCH(I$2,'[5]Budget révisé'!$A$2:$AO$2,0))</f>
        <v>0</v>
      </c>
      <c r="J387" s="42"/>
      <c r="K387" s="14"/>
      <c r="L387" s="34">
        <f>-SUMIFS([5]BV_Data_An_Cour!$O:$O,[5]BV_Data_An_Cour!$U:$U,$B387,[5]BV_Data_An_Cour!$V:$V,$C387,[5]BV_Data_An_Cour!$W:$W,$L$2)</f>
        <v>0</v>
      </c>
      <c r="M387" s="42"/>
      <c r="N387" s="60">
        <f t="shared" si="120"/>
        <v>0</v>
      </c>
      <c r="O387" s="42"/>
      <c r="P387" s="14"/>
      <c r="Q387" s="34">
        <f>-SUMIFS([5]BV_Data_An_Prec!$O:$O,[5]BV_Data_An_Prec!$U:$U,$B387,[5]BV_Data_An_Prec!$V:$V,$C387,[5]BV_Data_An_Prec!$W:$W,$L$2)</f>
        <v>0</v>
      </c>
      <c r="R387" s="42"/>
      <c r="S387" s="86">
        <f t="shared" si="121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6"/>
        <v>BoutiqueDivers</v>
      </c>
      <c r="B388" s="12" t="s">
        <v>120</v>
      </c>
      <c r="C388" s="108" t="s">
        <v>62</v>
      </c>
      <c r="D388" s="82"/>
      <c r="E388" s="14"/>
      <c r="F388" s="31">
        <f>+INDEX('[5]Budget original'!$A$2:$AO$496,MATCH($A388,'[5]Budget original'!$A$2:$A$496,0),MATCH(F$2,'[5]Budget original'!$A$2:$AO$2,0))</f>
        <v>0</v>
      </c>
      <c r="G388" s="84"/>
      <c r="H388" s="14"/>
      <c r="I388" s="31">
        <f>+INDEX('[5]Budget révisé'!$A$2:$AO$496,MATCH($A388,'[5]Budget révisé'!$A$2:$A$496,0),MATCH(I$2,'[5]Budget révisé'!$A$2:$AO$2,0))</f>
        <v>0</v>
      </c>
      <c r="J388" s="42"/>
      <c r="K388" s="14"/>
      <c r="L388" s="34">
        <f>-SUMIFS([5]BV_Data_An_Cour!$O:$O,[5]BV_Data_An_Cour!$U:$U,$B388,[5]BV_Data_An_Cour!$V:$V,$C388,[5]BV_Data_An_Cour!$W:$W,$L$2)</f>
        <v>0</v>
      </c>
      <c r="M388" s="42"/>
      <c r="N388" s="60">
        <f t="shared" si="120"/>
        <v>0</v>
      </c>
      <c r="O388" s="42"/>
      <c r="P388" s="14"/>
      <c r="Q388" s="34">
        <f>-SUMIFS([5]BV_Data_An_Prec!$O:$O,[5]BV_Data_An_Prec!$U:$U,$B388,[5]BV_Data_An_Prec!$V:$V,$C388,[5]BV_Data_An_Prec!$W:$W,$L$2)</f>
        <v>0</v>
      </c>
      <c r="R388" s="42"/>
      <c r="S388" s="86">
        <f t="shared" si="121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6"/>
        <v>BoutiqueFormation</v>
      </c>
      <c r="B389" s="12" t="s">
        <v>120</v>
      </c>
      <c r="C389" s="108" t="s">
        <v>63</v>
      </c>
      <c r="D389" s="82"/>
      <c r="E389" s="14"/>
      <c r="F389" s="31">
        <f>+INDEX('[5]Budget original'!$A$2:$AO$496,MATCH($A389,'[5]Budget original'!$A$2:$A$496,0),MATCH(F$2,'[5]Budget original'!$A$2:$AO$2,0))</f>
        <v>0</v>
      </c>
      <c r="G389" s="84"/>
      <c r="H389" s="14"/>
      <c r="I389" s="31">
        <f>+INDEX('[5]Budget révisé'!$A$2:$AO$496,MATCH($A389,'[5]Budget révisé'!$A$2:$A$496,0),MATCH(I$2,'[5]Budget révisé'!$A$2:$AO$2,0))</f>
        <v>0</v>
      </c>
      <c r="J389" s="42"/>
      <c r="K389" s="14"/>
      <c r="L389" s="34">
        <f>-SUMIFS([5]BV_Data_An_Cour!$O:$O,[5]BV_Data_An_Cour!$U:$U,$B389,[5]BV_Data_An_Cour!$V:$V,$C389,[5]BV_Data_An_Cour!$W:$W,$L$2)</f>
        <v>0</v>
      </c>
      <c r="M389" s="42"/>
      <c r="N389" s="60">
        <f t="shared" si="120"/>
        <v>0</v>
      </c>
      <c r="O389" s="42"/>
      <c r="P389" s="14"/>
      <c r="Q389" s="34">
        <f>-SUMIFS([5]BV_Data_An_Prec!$O:$O,[5]BV_Data_An_Prec!$U:$U,$B389,[5]BV_Data_An_Prec!$V:$V,$C389,[5]BV_Data_An_Prec!$W:$W,$L$2)</f>
        <v>0</v>
      </c>
      <c r="R389" s="42"/>
      <c r="S389" s="86">
        <f t="shared" si="121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6"/>
        <v>BoutiqueFrais bancaires</v>
      </c>
      <c r="B390" s="12" t="s">
        <v>120</v>
      </c>
      <c r="C390" s="108" t="s">
        <v>64</v>
      </c>
      <c r="D390" s="82"/>
      <c r="E390" s="14"/>
      <c r="F390" s="31">
        <f>+INDEX('[5]Budget original'!$A$2:$AO$496,MATCH($A390,'[5]Budget original'!$A$2:$A$496,0),MATCH(F$2,'[5]Budget original'!$A$2:$AO$2,0))</f>
        <v>0</v>
      </c>
      <c r="G390" s="84"/>
      <c r="H390" s="14"/>
      <c r="I390" s="31">
        <f>+INDEX('[5]Budget révisé'!$A$2:$AO$496,MATCH($A390,'[5]Budget révisé'!$A$2:$A$496,0),MATCH(I$2,'[5]Budget révisé'!$A$2:$AO$2,0))</f>
        <v>0</v>
      </c>
      <c r="J390" s="42"/>
      <c r="K390" s="14"/>
      <c r="L390" s="34">
        <f>-SUMIFS([5]BV_Data_An_Cour!$O:$O,[5]BV_Data_An_Cour!$U:$U,$B390,[5]BV_Data_An_Cour!$V:$V,$C390,[5]BV_Data_An_Cour!$W:$W,$L$2)</f>
        <v>0</v>
      </c>
      <c r="M390" s="42"/>
      <c r="N390" s="60">
        <f t="shared" si="120"/>
        <v>0</v>
      </c>
      <c r="O390" s="42"/>
      <c r="P390" s="14"/>
      <c r="Q390" s="34">
        <f>-SUMIFS([5]BV_Data_An_Prec!$O:$O,[5]BV_Data_An_Prec!$U:$U,$B390,[5]BV_Data_An_Prec!$V:$V,$C390,[5]BV_Data_An_Prec!$W:$W,$L$2)</f>
        <v>0</v>
      </c>
      <c r="R390" s="42"/>
      <c r="S390" s="86">
        <f t="shared" si="121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6"/>
        <v>Boutique[...]</v>
      </c>
      <c r="B391" s="12" t="s">
        <v>120</v>
      </c>
      <c r="C391" s="108" t="s">
        <v>21</v>
      </c>
      <c r="D391" s="82"/>
      <c r="E391" s="14"/>
      <c r="F391" s="31">
        <f>+INDEX('[5]Budget original'!$A$2:$AO$496,MATCH($A391,'[5]Budget original'!$A$2:$A$496,0),MATCH(F$2,'[5]Budget original'!$A$2:$AO$2,0))</f>
        <v>0</v>
      </c>
      <c r="G391" s="84"/>
      <c r="H391" s="14"/>
      <c r="I391" s="31">
        <f>+INDEX('[5]Budget révisé'!$A$2:$AO$496,MATCH($A391,'[5]Budget révisé'!$A$2:$A$496,0),MATCH(I$2,'[5]Budget révisé'!$A$2:$AO$2,0))</f>
        <v>0</v>
      </c>
      <c r="J391" s="42"/>
      <c r="K391" s="14"/>
      <c r="L391" s="34">
        <f>-SUMIFS([5]BV_Data_An_Cour!$O:$O,[5]BV_Data_An_Cour!$U:$U,$B391,[5]BV_Data_An_Cour!$V:$V,$C391,[5]BV_Data_An_Cour!$W:$W,$L$2)</f>
        <v>0</v>
      </c>
      <c r="M391" s="42"/>
      <c r="N391" s="60">
        <f t="shared" si="120"/>
        <v>0</v>
      </c>
      <c r="O391" s="42"/>
      <c r="P391" s="14"/>
      <c r="Q391" s="34">
        <f>-SUMIFS([5]BV_Data_An_Prec!$O:$O,[5]BV_Data_An_Prec!$U:$U,$B391,[5]BV_Data_An_Prec!$V:$V,$C391,[5]BV_Data_An_Prec!$W:$W,$L$2)</f>
        <v>0</v>
      </c>
      <c r="R391" s="42"/>
      <c r="S391" s="86">
        <f t="shared" si="121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6"/>
        <v>Boutique[...]</v>
      </c>
      <c r="B392" s="12" t="s">
        <v>120</v>
      </c>
      <c r="C392" s="108" t="s">
        <v>21</v>
      </c>
      <c r="D392" s="82"/>
      <c r="E392" s="14"/>
      <c r="F392" s="31">
        <f>+INDEX('[5]Budget original'!$A$2:$AO$496,MATCH($A392,'[5]Budget original'!$A$2:$A$496,0),MATCH(F$2,'[5]Budget original'!$A$2:$AO$2,0))</f>
        <v>0</v>
      </c>
      <c r="G392" s="84"/>
      <c r="H392" s="14"/>
      <c r="I392" s="31">
        <f>+INDEX('[5]Budget révisé'!$A$2:$AO$496,MATCH($A392,'[5]Budget révisé'!$A$2:$A$496,0),MATCH(I$2,'[5]Budget révisé'!$A$2:$AO$2,0))</f>
        <v>0</v>
      </c>
      <c r="J392" s="42"/>
      <c r="K392" s="14"/>
      <c r="L392" s="34">
        <f>-SUMIFS([5]BV_Data_An_Cour!$O:$O,[5]BV_Data_An_Cour!$U:$U,$B392,[5]BV_Data_An_Cour!$V:$V,$C392,[5]BV_Data_An_Cour!$W:$W,$L$2)</f>
        <v>0</v>
      </c>
      <c r="M392" s="42"/>
      <c r="N392" s="60">
        <f t="shared" si="120"/>
        <v>0</v>
      </c>
      <c r="O392" s="42"/>
      <c r="P392" s="14"/>
      <c r="Q392" s="34">
        <f>-SUMIFS([5]BV_Data_An_Prec!$O:$O,[5]BV_Data_An_Prec!$U:$U,$B392,[5]BV_Data_An_Prec!$V:$V,$C392,[5]BV_Data_An_Prec!$W:$W,$L$2)</f>
        <v>0</v>
      </c>
      <c r="R392" s="42"/>
      <c r="S392" s="86">
        <f t="shared" si="121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6"/>
        <v>Boutique[...]</v>
      </c>
      <c r="B393" s="12" t="s">
        <v>120</v>
      </c>
      <c r="C393" s="108" t="s">
        <v>21</v>
      </c>
      <c r="D393" s="89"/>
      <c r="E393" s="117"/>
      <c r="F393" s="31">
        <f>+INDEX('[5]Budget original'!$A$2:$AO$496,MATCH($A393,'[5]Budget original'!$A$2:$A$496,0),MATCH(F$2,'[5]Budget original'!$A$2:$AO$2,0))</f>
        <v>0</v>
      </c>
      <c r="G393" s="91"/>
      <c r="H393" s="117"/>
      <c r="I393" s="31">
        <f>+INDEX('[5]Budget révisé'!$A$2:$AO$496,MATCH($A393,'[5]Budget révisé'!$A$2:$A$496,0),MATCH(I$2,'[5]Budget révisé'!$A$2:$AO$2,0))</f>
        <v>0</v>
      </c>
      <c r="J393" s="24"/>
      <c r="K393" s="117"/>
      <c r="L393" s="34">
        <f>-SUMIFS([5]BV_Data_An_Cour!$O:$O,[5]BV_Data_An_Cour!$U:$U,$B393,[5]BV_Data_An_Cour!$V:$V,$C393,[5]BV_Data_An_Cour!$W:$W,$L$2)</f>
        <v>0</v>
      </c>
      <c r="M393" s="24"/>
      <c r="N393" s="94">
        <f t="shared" si="120"/>
        <v>0</v>
      </c>
      <c r="O393" s="24"/>
      <c r="P393" s="117"/>
      <c r="Q393" s="34">
        <f>-SUMIFS([5]BV_Data_An_Prec!$O:$O,[5]BV_Data_An_Prec!$U:$U,$B393,[5]BV_Data_An_Prec!$V:$V,$C393,[5]BV_Data_An_Prec!$W:$W,$L$2)</f>
        <v>0</v>
      </c>
      <c r="R393" s="24"/>
      <c r="S393" s="95">
        <f t="shared" si="121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 t="s">
        <v>219</v>
      </c>
      <c r="M400" s="14"/>
      <c r="N400" s="14"/>
      <c r="O400" s="14"/>
      <c r="P400" s="14"/>
      <c r="Q400" s="14"/>
      <c r="R400" s="11" t="s">
        <v>220</v>
      </c>
      <c r="S400" s="496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221</v>
      </c>
      <c r="M401" s="495">
        <f>L50</f>
        <v>10566.27</v>
      </c>
      <c r="N401" s="497">
        <f>I50/($I$50+$I$51+$I$52)</f>
        <v>0.53097345132743368</v>
      </c>
      <c r="O401" s="495">
        <f>($M$439*$O$405)*N401</f>
        <v>11342.833162932409</v>
      </c>
      <c r="P401" s="11"/>
      <c r="Q401" s="495">
        <f>O401-M401</f>
        <v>776.56316293240889</v>
      </c>
      <c r="R401" s="11">
        <v>6132</v>
      </c>
      <c r="S401" s="498">
        <f>Q401</f>
        <v>776.56316293240889</v>
      </c>
      <c r="T401" s="11"/>
      <c r="U401" s="11"/>
      <c r="V401" s="6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>Réalisé, Avril 2021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222</v>
      </c>
      <c r="M402" s="495">
        <f>L51</f>
        <v>7572.49</v>
      </c>
      <c r="N402" s="497">
        <f t="shared" ref="N402:N403" si="122">I51/($I$50+$I$51+$I$52)</f>
        <v>0.38053097345132736</v>
      </c>
      <c r="O402" s="495">
        <f t="shared" ref="O402:O404" si="123">($M$439*$O$405)*N402</f>
        <v>8129.0304334348912</v>
      </c>
      <c r="P402" s="499"/>
      <c r="Q402" s="495">
        <f t="shared" ref="Q402:Q403" si="124">O402-M402</f>
        <v>556.54043343489138</v>
      </c>
      <c r="R402" s="11">
        <v>6139</v>
      </c>
      <c r="S402" s="498">
        <f>Q402</f>
        <v>556.54043343489138</v>
      </c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223</v>
      </c>
      <c r="M403" s="495">
        <f>L52</f>
        <v>1761.05</v>
      </c>
      <c r="N403" s="497">
        <f t="shared" si="122"/>
        <v>8.8495575221238937E-2</v>
      </c>
      <c r="O403" s="495">
        <f t="shared" si="123"/>
        <v>1890.472193822068</v>
      </c>
      <c r="P403" s="499"/>
      <c r="Q403" s="495">
        <f t="shared" si="124"/>
        <v>129.42219382206804</v>
      </c>
      <c r="R403" s="11">
        <v>6131</v>
      </c>
      <c r="S403" s="498">
        <f>Q403</f>
        <v>129.42219382206804</v>
      </c>
      <c r="T403" s="11"/>
      <c r="U403" s="11"/>
      <c r="V403" s="268"/>
      <c r="W403" s="511"/>
      <c r="X403" s="524" t="s">
        <v>123</v>
      </c>
      <c r="Y403" s="517"/>
      <c r="Z403" s="525"/>
      <c r="AA403" s="516" t="s">
        <v>75</v>
      </c>
      <c r="AB403" s="517"/>
      <c r="AC403" s="525"/>
      <c r="AD403" s="516" t="s">
        <v>7</v>
      </c>
      <c r="AE403" s="517"/>
      <c r="AF403" s="525"/>
      <c r="AG403" s="516" t="s">
        <v>124</v>
      </c>
      <c r="AH403" s="517"/>
      <c r="AI403" s="525"/>
      <c r="AJ403" s="516" t="s">
        <v>125</v>
      </c>
      <c r="AK403" s="517"/>
      <c r="AL403" s="517"/>
      <c r="AM403" s="516" t="s">
        <v>126</v>
      </c>
      <c r="AN403" s="517"/>
      <c r="AO403" s="518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25">+U404&amp;V404</f>
        <v/>
      </c>
      <c r="B404" s="7"/>
      <c r="C404" s="11"/>
      <c r="D404" s="11"/>
      <c r="E404" s="11"/>
      <c r="F404" s="11"/>
      <c r="G404" s="11" t="s">
        <v>224</v>
      </c>
      <c r="H404" s="11"/>
      <c r="I404" s="11"/>
      <c r="J404" s="11"/>
      <c r="K404" s="11"/>
      <c r="M404" s="500"/>
      <c r="N404" s="501">
        <f>SUM(N401:N403)</f>
        <v>1</v>
      </c>
      <c r="O404" s="495">
        <f t="shared" si="123"/>
        <v>21362.335790189369</v>
      </c>
      <c r="P404" s="499"/>
      <c r="Q404" s="502">
        <f>SUM(Q401:Q403)</f>
        <v>1462.5257901893683</v>
      </c>
      <c r="R404" s="11"/>
      <c r="S404" s="498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25"/>
        <v>Ventes nettes</v>
      </c>
      <c r="B405" s="7"/>
      <c r="C405" s="11"/>
      <c r="D405" s="11"/>
      <c r="E405" s="11"/>
      <c r="F405" s="11"/>
      <c r="G405" s="11" t="s">
        <v>219</v>
      </c>
      <c r="H405" s="11"/>
      <c r="I405" s="11"/>
      <c r="J405" s="495">
        <f>L31+L32+L42+L43+L44+L45</f>
        <v>103015.53</v>
      </c>
      <c r="K405" s="503">
        <f t="shared" ref="K405:K410" si="126">J405/$J$410</f>
        <v>0.27745732696484315</v>
      </c>
      <c r="L405" s="11" t="s">
        <v>225</v>
      </c>
      <c r="M405" s="495">
        <f>SUM(M401:M403)</f>
        <v>19899.810000000001</v>
      </c>
      <c r="N405" s="497">
        <f>M405/$M$439</f>
        <v>0.25846181540896523</v>
      </c>
      <c r="O405" s="497">
        <f>K405</f>
        <v>0.27745732696484315</v>
      </c>
      <c r="P405" s="499">
        <f>O405*$M$439</f>
        <v>21362.335790189369</v>
      </c>
      <c r="Q405" s="315">
        <f>P405-M405</f>
        <v>1462.5257901893674</v>
      </c>
      <c r="R405" s="257"/>
      <c r="S405" s="498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2470120.3212222797</v>
      </c>
      <c r="AA405" s="274"/>
      <c r="AB405" s="274"/>
      <c r="AC405" s="275">
        <f>I5+I93+H193+H249+G313+G361</f>
        <v>2470120.3212222797</v>
      </c>
      <c r="AD405" s="276"/>
      <c r="AE405" s="277"/>
      <c r="AF405" s="277">
        <f>L5+L93+K193+K249+J313+J361</f>
        <v>5121135.46</v>
      </c>
      <c r="AG405" s="276"/>
      <c r="AH405" s="277"/>
      <c r="AI405" s="278"/>
      <c r="AJ405" s="276"/>
      <c r="AK405" s="277"/>
      <c r="AL405" s="277">
        <f>Q5+Q93+P193+P249+O313+O361</f>
        <v>4604575.2200000007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25"/>
        <v>Profit brut</v>
      </c>
      <c r="B406" s="7"/>
      <c r="C406" s="11"/>
      <c r="D406" s="11"/>
      <c r="E406" s="11"/>
      <c r="F406" s="11"/>
      <c r="G406" s="11" t="s">
        <v>225</v>
      </c>
      <c r="H406" s="11"/>
      <c r="I406" s="11"/>
      <c r="J406" s="495">
        <f>L111+L112+L122+L123+L124+L125</f>
        <v>56808.71</v>
      </c>
      <c r="K406" s="503">
        <f t="shared" si="126"/>
        <v>0.15300598681500696</v>
      </c>
      <c r="L406" s="11" t="s">
        <v>221</v>
      </c>
      <c r="M406" s="495">
        <f>L130</f>
        <v>5854.93</v>
      </c>
      <c r="N406" s="497">
        <f>I130/(I$130+I$131+I$132)</f>
        <v>0.53097345132743357</v>
      </c>
      <c r="O406" s="495">
        <f>($K$406*$M$439)*N406</f>
        <v>6255.0929916237856</v>
      </c>
      <c r="P406" s="499"/>
      <c r="Q406" s="495">
        <f>O406-M406</f>
        <v>400.16299162378527</v>
      </c>
      <c r="R406" s="257">
        <v>6232</v>
      </c>
      <c r="S406" s="498">
        <f>Q406</f>
        <v>400.16299162378527</v>
      </c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545848.99954707432</v>
      </c>
      <c r="AA406" s="282"/>
      <c r="AB406" s="282"/>
      <c r="AC406" s="283">
        <f>I27+I107+I193+I249+I313+I361</f>
        <v>574246.67272441753</v>
      </c>
      <c r="AD406" s="284"/>
      <c r="AE406" s="285"/>
      <c r="AF406" s="285">
        <f>L27+L107+L193+L249+L313+L361</f>
        <v>640912.73999999987</v>
      </c>
      <c r="AG406" s="284"/>
      <c r="AH406" s="285">
        <f>AF406-AC406</f>
        <v>66666.067275582347</v>
      </c>
      <c r="AI406" s="286">
        <f>AH406/AC406</f>
        <v>0.11609308410843082</v>
      </c>
      <c r="AJ406" s="284"/>
      <c r="AK406" s="285"/>
      <c r="AL406" s="285">
        <f>Q27+Q107+Q193+Q249+Q313+Q361</f>
        <v>538002.03000000038</v>
      </c>
      <c r="AM406" s="287"/>
      <c r="AN406" s="285">
        <f>AF406-AL406</f>
        <v>102910.7099999995</v>
      </c>
      <c r="AO406" s="288">
        <f>IF(AL406=0,0,AN406/AL406)</f>
        <v>0.19128312582760965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25"/>
        <v>DÉPENSES</v>
      </c>
      <c r="B407" s="7"/>
      <c r="C407" s="11"/>
      <c r="D407" s="11"/>
      <c r="E407" s="11"/>
      <c r="F407" s="11"/>
      <c r="G407" s="11" t="s">
        <v>84</v>
      </c>
      <c r="H407" s="11"/>
      <c r="I407" s="11"/>
      <c r="J407" s="162">
        <f>(K193-L193)+L197+L198+L199+L200</f>
        <v>173031.18999999994</v>
      </c>
      <c r="K407" s="503">
        <f t="shared" si="126"/>
        <v>0.46603431015639951</v>
      </c>
      <c r="L407" s="11" t="s">
        <v>222</v>
      </c>
      <c r="M407" s="495">
        <f>L131</f>
        <v>4196.03</v>
      </c>
      <c r="N407" s="497">
        <f>I131/(I$130+I$131+I$132)</f>
        <v>0.38053097345132736</v>
      </c>
      <c r="O407" s="495">
        <f t="shared" ref="O407:O408" si="127">($K$406*$M$439)*N407</f>
        <v>4482.8166439970455</v>
      </c>
      <c r="P407" s="499"/>
      <c r="Q407" s="495">
        <f t="shared" ref="Q407:Q408" si="128">O407-M407</f>
        <v>286.78664399704576</v>
      </c>
      <c r="R407" s="257">
        <v>6239</v>
      </c>
      <c r="S407" s="498">
        <f>Q407</f>
        <v>286.78664399704576</v>
      </c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25"/>
        <v>Comm. vendeurs</v>
      </c>
      <c r="B408" s="7"/>
      <c r="C408" s="11"/>
      <c r="D408" s="11"/>
      <c r="E408" s="11"/>
      <c r="F408" s="11"/>
      <c r="G408" s="11" t="s">
        <v>226</v>
      </c>
      <c r="H408" s="11"/>
      <c r="I408" s="11"/>
      <c r="J408" s="495">
        <f>L253+L254+L255+L256</f>
        <v>7942.74</v>
      </c>
      <c r="K408" s="503">
        <f t="shared" si="126"/>
        <v>2.1392613416411469E-2</v>
      </c>
      <c r="L408" s="11" t="s">
        <v>223</v>
      </c>
      <c r="M408" s="495">
        <f>L132</f>
        <v>975.82</v>
      </c>
      <c r="N408" s="497">
        <f>I132/(I$130+I$131+I$132)</f>
        <v>8.8495575221238937E-2</v>
      </c>
      <c r="O408" s="495">
        <f t="shared" si="127"/>
        <v>1042.5154986039643</v>
      </c>
      <c r="P408" s="499"/>
      <c r="Q408" s="495">
        <f t="shared" si="128"/>
        <v>66.695498603964211</v>
      </c>
      <c r="R408" s="257">
        <v>6231</v>
      </c>
      <c r="S408" s="498">
        <f>Q408</f>
        <v>66.695498603964211</v>
      </c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29">Z408/(D$13+D$96)</f>
        <v>420.22465912639564</v>
      </c>
      <c r="Z408" s="291">
        <f t="shared" ref="Z408:Z417" si="130">+SUMIF($C:$C,$V408,F:F)</f>
        <v>40210.849310440237</v>
      </c>
      <c r="AA408" s="290"/>
      <c r="AB408" s="298">
        <f t="shared" ref="AB408:AB417" si="131">IF(AC408=0,0,AC408/(G$13+G$96))</f>
        <v>425.69385735300864</v>
      </c>
      <c r="AC408" s="291">
        <f t="shared" ref="AC408:AC417" si="132">+SUMIF($C:$C,$V408,I:I)</f>
        <v>40734.191053869705</v>
      </c>
      <c r="AD408" s="299"/>
      <c r="AE408" s="298">
        <f t="shared" ref="AE408:AE413" si="133">IF(AF408=0,0,AF408/(J$13+J$96))</f>
        <v>557.68518867924536</v>
      </c>
      <c r="AF408" s="291">
        <f t="shared" ref="AF408:AF417" si="134">+SUMIF($C:$C,$V408,L:L)</f>
        <v>59114.630000000005</v>
      </c>
      <c r="AG408" s="292">
        <f t="shared" ref="AG408:AH417" si="135">AE408-AB408</f>
        <v>131.99133132623672</v>
      </c>
      <c r="AH408" s="293">
        <f t="shared" si="135"/>
        <v>18380.4389461303</v>
      </c>
      <c r="AI408" s="294">
        <f>IF(AC408=0,0,AH408/AC408)</f>
        <v>0.45122877048970333</v>
      </c>
      <c r="AJ408" s="299"/>
      <c r="AK408" s="293">
        <f t="shared" ref="AK408:AK417" si="136">AL408/(O$13+O$96)</f>
        <v>321.2756910569106</v>
      </c>
      <c r="AL408" s="291">
        <f t="shared" ref="AL408:AL417" si="137">+SUMIF($C:$C,$V408,Q:Q)</f>
        <v>39516.910000000003</v>
      </c>
      <c r="AM408" s="295">
        <f t="shared" ref="AM408:AM417" si="138">AE408-Y408</f>
        <v>137.46052955284972</v>
      </c>
      <c r="AN408" s="293">
        <f t="shared" ref="AN408:AN430" si="139">AF408-AL408</f>
        <v>19597.72</v>
      </c>
      <c r="AO408" s="300">
        <f>IF(AL408=0,0,AN408/AL408)</f>
        <v>0.49593250079522916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25"/>
        <v>Comm. F&amp;I</v>
      </c>
      <c r="B409" s="7"/>
      <c r="C409" s="11"/>
      <c r="D409" s="11"/>
      <c r="E409" s="11"/>
      <c r="F409" s="11"/>
      <c r="G409" s="11" t="s">
        <v>227</v>
      </c>
      <c r="H409" s="11"/>
      <c r="I409" s="11"/>
      <c r="J409" s="495">
        <f>L317+L318+L319+L320</f>
        <v>30486.059999999998</v>
      </c>
      <c r="K409" s="503">
        <f t="shared" si="126"/>
        <v>8.2109762647338949E-2</v>
      </c>
      <c r="M409" s="500">
        <f>SUM(M406:M408)</f>
        <v>11026.779999999999</v>
      </c>
      <c r="N409" s="497">
        <f>SUM(N406:N408)</f>
        <v>0.99999999999999989</v>
      </c>
      <c r="O409" s="500">
        <f t="shared" ref="O409" si="140">SUM(O406:O408)</f>
        <v>11780.425134224795</v>
      </c>
      <c r="Q409" s="502">
        <f>SUM(Q406:Q408)</f>
        <v>753.64513422479524</v>
      </c>
      <c r="R409" s="257"/>
      <c r="S409" s="498"/>
      <c r="T409" s="257"/>
      <c r="U409" s="257"/>
      <c r="V409" s="109" t="s">
        <v>33</v>
      </c>
      <c r="W409" s="301" t="s">
        <v>137</v>
      </c>
      <c r="X409" s="274"/>
      <c r="Y409" s="302">
        <f t="shared" si="129"/>
        <v>358.44743114823154</v>
      </c>
      <c r="Z409" s="275">
        <f t="shared" si="130"/>
        <v>34299.452272934417</v>
      </c>
      <c r="AA409" s="274"/>
      <c r="AB409" s="302">
        <f t="shared" si="131"/>
        <v>358.44743114823154</v>
      </c>
      <c r="AC409" s="275">
        <f t="shared" si="132"/>
        <v>34299.452272934417</v>
      </c>
      <c r="AD409" s="303"/>
      <c r="AE409" s="302">
        <f t="shared" si="133"/>
        <v>370.11273584905655</v>
      </c>
      <c r="AF409" s="275">
        <f t="shared" si="134"/>
        <v>39231.949999999997</v>
      </c>
      <c r="AG409" s="276">
        <f t="shared" si="135"/>
        <v>11.665304700825004</v>
      </c>
      <c r="AH409" s="277">
        <f t="shared" si="135"/>
        <v>4932.49772706558</v>
      </c>
      <c r="AI409" s="304">
        <f t="shared" ref="AI409:AI417" si="141">IF(AC409=0,0,AH409/AC409)</f>
        <v>0.14380689486863316</v>
      </c>
      <c r="AJ409" s="303"/>
      <c r="AK409" s="277">
        <f t="shared" si="136"/>
        <v>223.22398373983739</v>
      </c>
      <c r="AL409" s="275">
        <f t="shared" si="137"/>
        <v>27456.55</v>
      </c>
      <c r="AM409" s="279">
        <f t="shared" si="138"/>
        <v>11.665304700825004</v>
      </c>
      <c r="AN409" s="277">
        <f t="shared" si="139"/>
        <v>11775.399999999998</v>
      </c>
      <c r="AO409" s="305">
        <f t="shared" ref="AO409:AO417" si="142">IF(AL409=0,0,AN409/AL409)</f>
        <v>0.42887398453192399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2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495">
        <f>SUM(J405:J409)</f>
        <v>371284.22999999992</v>
      </c>
      <c r="K410" s="11">
        <f t="shared" si="126"/>
        <v>1</v>
      </c>
      <c r="L410" s="11" t="s">
        <v>84</v>
      </c>
      <c r="M410" s="500">
        <f>SUM(M406:M408)</f>
        <v>11026.779999999999</v>
      </c>
      <c r="N410" s="497">
        <f>M409/$M$439</f>
        <v>0.14321752704750793</v>
      </c>
      <c r="O410" s="497">
        <f>K406</f>
        <v>0.15300598681500696</v>
      </c>
      <c r="P410" s="499">
        <f>O410*$M$439</f>
        <v>11780.425134224797</v>
      </c>
      <c r="Q410" s="315">
        <f>P410-M409</f>
        <v>753.64513422479831</v>
      </c>
      <c r="R410" s="257"/>
      <c r="S410" s="498"/>
      <c r="T410" s="257"/>
      <c r="U410" s="257"/>
      <c r="V410" s="108" t="s">
        <v>34</v>
      </c>
      <c r="W410" s="297" t="s">
        <v>138</v>
      </c>
      <c r="X410" s="290"/>
      <c r="Y410" s="298">
        <f t="shared" si="129"/>
        <v>163.5905851973032</v>
      </c>
      <c r="Z410" s="291">
        <f t="shared" si="130"/>
        <v>15653.808569089519</v>
      </c>
      <c r="AA410" s="290"/>
      <c r="AB410" s="298">
        <f t="shared" si="131"/>
        <v>163.5905851973032</v>
      </c>
      <c r="AC410" s="291">
        <f t="shared" si="132"/>
        <v>15653.808569089519</v>
      </c>
      <c r="AD410" s="299"/>
      <c r="AE410" s="298">
        <f t="shared" si="133"/>
        <v>157.61283018867923</v>
      </c>
      <c r="AF410" s="291">
        <f t="shared" si="134"/>
        <v>16706.96</v>
      </c>
      <c r="AG410" s="292">
        <f t="shared" si="135"/>
        <v>-5.9777550086239728</v>
      </c>
      <c r="AH410" s="293">
        <f t="shared" si="135"/>
        <v>1053.1514309104805</v>
      </c>
      <c r="AI410" s="294">
        <f t="shared" si="141"/>
        <v>6.7277648519994362E-2</v>
      </c>
      <c r="AJ410" s="299"/>
      <c r="AK410" s="293">
        <f t="shared" si="136"/>
        <v>116.62674796747967</v>
      </c>
      <c r="AL410" s="291">
        <f t="shared" si="137"/>
        <v>14345.09</v>
      </c>
      <c r="AM410" s="295">
        <f t="shared" si="138"/>
        <v>-5.9777550086239728</v>
      </c>
      <c r="AN410" s="293">
        <f t="shared" si="139"/>
        <v>2361.869999999999</v>
      </c>
      <c r="AO410" s="300">
        <f t="shared" si="142"/>
        <v>0.16464657942194849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2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221</v>
      </c>
      <c r="M411" s="495">
        <f>L205</f>
        <v>20070.72</v>
      </c>
      <c r="N411" s="497">
        <f>$N$406</f>
        <v>0.53097345132743357</v>
      </c>
      <c r="O411" s="495">
        <f>($K$407*$M$439)*N411</f>
        <v>19052.116900759112</v>
      </c>
      <c r="P411" s="499"/>
      <c r="Q411" s="495">
        <f>O411-M411</f>
        <v>-1018.6030992408887</v>
      </c>
      <c r="R411" s="257">
        <v>6432</v>
      </c>
      <c r="S411" s="498">
        <f>Q411</f>
        <v>-1018.6030992408887</v>
      </c>
      <c r="T411" s="257"/>
      <c r="U411" s="257"/>
      <c r="V411" s="108" t="s">
        <v>35</v>
      </c>
      <c r="W411" s="297" t="s">
        <v>139</v>
      </c>
      <c r="X411" s="290"/>
      <c r="Y411" s="298">
        <f t="shared" si="129"/>
        <v>39.074620063295917</v>
      </c>
      <c r="Z411" s="291">
        <f t="shared" si="130"/>
        <v>3739.0087066625533</v>
      </c>
      <c r="AA411" s="290"/>
      <c r="AB411" s="298">
        <f t="shared" si="131"/>
        <v>39.074620063295917</v>
      </c>
      <c r="AC411" s="291">
        <f t="shared" si="132"/>
        <v>3739.0087066625533</v>
      </c>
      <c r="AD411" s="299"/>
      <c r="AE411" s="298">
        <f t="shared" si="133"/>
        <v>-5.0150000000000015</v>
      </c>
      <c r="AF411" s="291">
        <f t="shared" si="134"/>
        <v>-531.59000000000015</v>
      </c>
      <c r="AG411" s="292">
        <f t="shared" si="135"/>
        <v>-44.089620063295918</v>
      </c>
      <c r="AH411" s="293">
        <f t="shared" si="135"/>
        <v>-4270.598706662553</v>
      </c>
      <c r="AI411" s="294">
        <f t="shared" si="141"/>
        <v>-1.1421740471084643</v>
      </c>
      <c r="AJ411" s="299"/>
      <c r="AK411" s="293">
        <f t="shared" si="136"/>
        <v>49.421788617886179</v>
      </c>
      <c r="AL411" s="291">
        <f t="shared" si="137"/>
        <v>6078.88</v>
      </c>
      <c r="AM411" s="295">
        <f t="shared" si="138"/>
        <v>-44.089620063295918</v>
      </c>
      <c r="AN411" s="293">
        <f t="shared" si="139"/>
        <v>-6610.47</v>
      </c>
      <c r="AO411" s="306">
        <f t="shared" si="142"/>
        <v>-1.087448674755876</v>
      </c>
      <c r="AP411" s="257"/>
      <c r="AQ411" s="257" t="s">
        <v>247</v>
      </c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2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222</v>
      </c>
      <c r="M412" s="495">
        <f>L206</f>
        <v>14384.01</v>
      </c>
      <c r="N412" s="497">
        <f>$N$407</f>
        <v>0.38053097345132736</v>
      </c>
      <c r="O412" s="495">
        <f t="shared" ref="O412:O413" si="143">($K$407*$M$439)*N412</f>
        <v>13654.017112210697</v>
      </c>
      <c r="P412" s="499"/>
      <c r="Q412" s="495">
        <f t="shared" ref="Q412:Q413" si="144">O412-M412</f>
        <v>-729.9928877893035</v>
      </c>
      <c r="R412" s="257">
        <v>6439</v>
      </c>
      <c r="S412" s="498">
        <f>Q412</f>
        <v>-729.9928877893035</v>
      </c>
      <c r="T412" s="257"/>
      <c r="U412" s="257"/>
      <c r="V412" s="109" t="s">
        <v>36</v>
      </c>
      <c r="W412" s="301"/>
      <c r="X412" s="274"/>
      <c r="Y412" s="302">
        <f t="shared" si="129"/>
        <v>45.280828143832579</v>
      </c>
      <c r="Z412" s="275">
        <f t="shared" si="130"/>
        <v>4332.8741367267949</v>
      </c>
      <c r="AA412" s="274"/>
      <c r="AB412" s="302">
        <f t="shared" si="131"/>
        <v>45.280828143832579</v>
      </c>
      <c r="AC412" s="275">
        <f t="shared" si="132"/>
        <v>4332.8741367267949</v>
      </c>
      <c r="AD412" s="303"/>
      <c r="AE412" s="302">
        <f t="shared" si="133"/>
        <v>63.652547169811321</v>
      </c>
      <c r="AF412" s="275">
        <f t="shared" si="134"/>
        <v>6747.17</v>
      </c>
      <c r="AG412" s="276">
        <f t="shared" si="135"/>
        <v>18.371719025978742</v>
      </c>
      <c r="AH412" s="277">
        <f t="shared" si="135"/>
        <v>2414.2958632732052</v>
      </c>
      <c r="AI412" s="304">
        <f t="shared" si="141"/>
        <v>0.55720424528579748</v>
      </c>
      <c r="AJ412" s="303"/>
      <c r="AK412" s="277">
        <f t="shared" si="136"/>
        <v>27.737804878048781</v>
      </c>
      <c r="AL412" s="275">
        <f t="shared" si="137"/>
        <v>3411.75</v>
      </c>
      <c r="AM412" s="279">
        <f t="shared" si="138"/>
        <v>18.371719025978742</v>
      </c>
      <c r="AN412" s="277">
        <f t="shared" si="139"/>
        <v>3335.42</v>
      </c>
      <c r="AO412" s="305">
        <f t="shared" si="142"/>
        <v>0.97762731735912656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2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223</v>
      </c>
      <c r="M413" s="495">
        <f>L207</f>
        <v>3345.12</v>
      </c>
      <c r="N413" s="497">
        <f>$N$408</f>
        <v>8.8495575221238937E-2</v>
      </c>
      <c r="O413" s="495">
        <f t="shared" si="143"/>
        <v>3175.3528167931859</v>
      </c>
      <c r="P413" s="499"/>
      <c r="Q413" s="495">
        <f t="shared" si="144"/>
        <v>-169.76718320681402</v>
      </c>
      <c r="R413" s="257">
        <v>6431</v>
      </c>
      <c r="S413" s="498">
        <f>Q413</f>
        <v>-169.76718320681402</v>
      </c>
      <c r="T413" s="257"/>
      <c r="U413" s="257"/>
      <c r="V413" s="108" t="s">
        <v>37</v>
      </c>
      <c r="W413" s="297" t="s">
        <v>140</v>
      </c>
      <c r="X413" s="294"/>
      <c r="Y413" s="298">
        <f t="shared" si="129"/>
        <v>142.73560426405712</v>
      </c>
      <c r="Z413" s="291">
        <f t="shared" si="130"/>
        <v>13658.217692956216</v>
      </c>
      <c r="AA413" s="294"/>
      <c r="AB413" s="298">
        <f t="shared" si="131"/>
        <v>142.73560426405712</v>
      </c>
      <c r="AC413" s="291">
        <f t="shared" si="132"/>
        <v>13658.217692956216</v>
      </c>
      <c r="AD413" s="299"/>
      <c r="AE413" s="298">
        <f t="shared" si="133"/>
        <v>157.09886792452829</v>
      </c>
      <c r="AF413" s="291">
        <f t="shared" si="134"/>
        <v>16652.48</v>
      </c>
      <c r="AG413" s="292">
        <f t="shared" si="135"/>
        <v>14.363263660471176</v>
      </c>
      <c r="AH413" s="293">
        <f t="shared" si="135"/>
        <v>2994.2623070437839</v>
      </c>
      <c r="AI413" s="294">
        <f t="shared" si="141"/>
        <v>0.21922789447029958</v>
      </c>
      <c r="AJ413" s="299"/>
      <c r="AK413" s="293">
        <f t="shared" si="136"/>
        <v>101.54471544715447</v>
      </c>
      <c r="AL413" s="291">
        <f t="shared" si="137"/>
        <v>12490</v>
      </c>
      <c r="AM413" s="295">
        <f t="shared" si="138"/>
        <v>14.363263660471176</v>
      </c>
      <c r="AN413" s="293">
        <f t="shared" si="139"/>
        <v>4162.4799999999996</v>
      </c>
      <c r="AO413" s="300">
        <f t="shared" si="142"/>
        <v>0.33326501200960768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25"/>
        <v>Intérêt de gros</v>
      </c>
      <c r="B414" s="7"/>
      <c r="C414" s="11"/>
      <c r="D414" s="11"/>
      <c r="E414" s="11"/>
      <c r="F414" s="11"/>
      <c r="G414" s="11" t="s">
        <v>221</v>
      </c>
      <c r="H414" s="11"/>
      <c r="I414" s="11"/>
      <c r="J414" s="11"/>
      <c r="K414" s="11"/>
      <c r="L414" s="11"/>
      <c r="M414" s="495">
        <f>SUM(M411:M413)</f>
        <v>37799.850000000006</v>
      </c>
      <c r="N414" s="495"/>
      <c r="O414" s="495">
        <f t="shared" ref="O414" si="145">SUM(O411:O413)</f>
        <v>35881.486829762995</v>
      </c>
      <c r="Q414" s="495">
        <f>O414-M414</f>
        <v>-1918.3631702370112</v>
      </c>
      <c r="R414" s="257"/>
      <c r="S414" s="498"/>
      <c r="T414" s="257"/>
      <c r="U414" s="257"/>
      <c r="V414" s="108" t="s">
        <v>38</v>
      </c>
      <c r="W414" s="297" t="s">
        <v>141</v>
      </c>
      <c r="X414" s="290"/>
      <c r="Y414" s="298">
        <f t="shared" si="129"/>
        <v>175.05617999055076</v>
      </c>
      <c r="Z414" s="291">
        <f t="shared" si="130"/>
        <v>16750.939102657692</v>
      </c>
      <c r="AA414" s="290"/>
      <c r="AB414" s="298">
        <f t="shared" si="131"/>
        <v>176.61268649918139</v>
      </c>
      <c r="AC414" s="291">
        <f t="shared" si="132"/>
        <v>16899.879549892226</v>
      </c>
      <c r="AD414" s="299"/>
      <c r="AE414" s="298">
        <f>IF(AF414=0,0,AF414/(J$13+J$13))</f>
        <v>123.10530769230768</v>
      </c>
      <c r="AF414" s="291">
        <f t="shared" si="134"/>
        <v>16003.689999999999</v>
      </c>
      <c r="AG414" s="292">
        <f t="shared" si="135"/>
        <v>-53.507378806873717</v>
      </c>
      <c r="AH414" s="293">
        <f t="shared" si="135"/>
        <v>-896.18954989222766</v>
      </c>
      <c r="AI414" s="294">
        <f t="shared" si="141"/>
        <v>-5.3029345401337066E-2</v>
      </c>
      <c r="AJ414" s="299"/>
      <c r="AK414" s="293">
        <f t="shared" si="136"/>
        <v>166.18349593495935</v>
      </c>
      <c r="AL414" s="291">
        <f t="shared" si="137"/>
        <v>20440.57</v>
      </c>
      <c r="AM414" s="295">
        <f t="shared" si="138"/>
        <v>-51.950872298243084</v>
      </c>
      <c r="AN414" s="293">
        <f t="shared" si="139"/>
        <v>-4436.880000000001</v>
      </c>
      <c r="AO414" s="300">
        <f t="shared" si="142"/>
        <v>-0.21706244003958799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2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223</v>
      </c>
      <c r="M415" s="11"/>
      <c r="N415" s="11"/>
      <c r="O415" s="497"/>
      <c r="P415" s="499"/>
      <c r="Q415" s="495">
        <f t="shared" ref="Q415:Q416" si="146">O415-M415</f>
        <v>0</v>
      </c>
      <c r="R415" s="257"/>
      <c r="S415" s="498"/>
      <c r="T415" s="257"/>
      <c r="U415" s="257"/>
      <c r="V415" s="108" t="s">
        <v>21</v>
      </c>
      <c r="W415" s="297"/>
      <c r="X415" s="294"/>
      <c r="Y415" s="298">
        <f t="shared" si="129"/>
        <v>0</v>
      </c>
      <c r="Z415" s="291">
        <f t="shared" si="130"/>
        <v>0</v>
      </c>
      <c r="AA415" s="290"/>
      <c r="AB415" s="298">
        <f t="shared" si="131"/>
        <v>0</v>
      </c>
      <c r="AC415" s="291">
        <f t="shared" si="132"/>
        <v>0</v>
      </c>
      <c r="AD415" s="299"/>
      <c r="AE415" s="298">
        <f t="shared" ref="AE415:AE417" si="147">IF(AF415=0,0,AF415/(J$13+J$13))</f>
        <v>0</v>
      </c>
      <c r="AF415" s="291">
        <f t="shared" si="134"/>
        <v>0</v>
      </c>
      <c r="AG415" s="292">
        <f t="shared" si="135"/>
        <v>0</v>
      </c>
      <c r="AH415" s="293">
        <f t="shared" si="135"/>
        <v>0</v>
      </c>
      <c r="AI415" s="294">
        <f t="shared" si="141"/>
        <v>0</v>
      </c>
      <c r="AJ415" s="299"/>
      <c r="AK415" s="293">
        <f t="shared" si="136"/>
        <v>0</v>
      </c>
      <c r="AL415" s="291">
        <f t="shared" si="137"/>
        <v>0</v>
      </c>
      <c r="AM415" s="295">
        <f t="shared" si="138"/>
        <v>0</v>
      </c>
      <c r="AN415" s="293">
        <f t="shared" si="139"/>
        <v>0</v>
      </c>
      <c r="AO415" s="300">
        <f t="shared" si="142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2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497"/>
      <c r="P416" s="499"/>
      <c r="Q416" s="495">
        <f t="shared" si="146"/>
        <v>0</v>
      </c>
      <c r="R416" s="257"/>
      <c r="S416" s="498"/>
      <c r="T416" s="257"/>
      <c r="U416" s="257"/>
      <c r="V416" s="108" t="s">
        <v>21</v>
      </c>
      <c r="W416" s="297"/>
      <c r="X416" s="294"/>
      <c r="Y416" s="298">
        <f t="shared" si="129"/>
        <v>0</v>
      </c>
      <c r="Z416" s="291">
        <f t="shared" si="130"/>
        <v>0</v>
      </c>
      <c r="AA416" s="290"/>
      <c r="AB416" s="298">
        <f t="shared" si="131"/>
        <v>0</v>
      </c>
      <c r="AC416" s="291">
        <f t="shared" si="132"/>
        <v>0</v>
      </c>
      <c r="AD416" s="299"/>
      <c r="AE416" s="298">
        <f t="shared" si="147"/>
        <v>0</v>
      </c>
      <c r="AF416" s="291">
        <f t="shared" si="134"/>
        <v>0</v>
      </c>
      <c r="AG416" s="292">
        <f t="shared" si="135"/>
        <v>0</v>
      </c>
      <c r="AH416" s="293">
        <f t="shared" si="135"/>
        <v>0</v>
      </c>
      <c r="AI416" s="294">
        <f t="shared" si="141"/>
        <v>0</v>
      </c>
      <c r="AJ416" s="299"/>
      <c r="AK416" s="293">
        <f t="shared" si="136"/>
        <v>0</v>
      </c>
      <c r="AL416" s="291">
        <f t="shared" si="137"/>
        <v>0</v>
      </c>
      <c r="AM416" s="295">
        <f t="shared" si="138"/>
        <v>0</v>
      </c>
      <c r="AN416" s="293">
        <f t="shared" si="139"/>
        <v>0</v>
      </c>
      <c r="AO416" s="300">
        <f t="shared" si="142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2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497"/>
      <c r="P417" s="499"/>
      <c r="Q417" s="11"/>
      <c r="R417" s="257"/>
      <c r="S417" s="498"/>
      <c r="T417" s="257"/>
      <c r="U417" s="257"/>
      <c r="V417" s="108" t="s">
        <v>21</v>
      </c>
      <c r="W417" s="297" t="s">
        <v>141</v>
      </c>
      <c r="X417" s="290"/>
      <c r="Y417" s="298">
        <f t="shared" si="129"/>
        <v>0</v>
      </c>
      <c r="Z417" s="291">
        <f t="shared" si="130"/>
        <v>0</v>
      </c>
      <c r="AA417" s="290"/>
      <c r="AB417" s="298">
        <f t="shared" si="131"/>
        <v>0</v>
      </c>
      <c r="AC417" s="291">
        <f t="shared" si="132"/>
        <v>0</v>
      </c>
      <c r="AD417" s="299"/>
      <c r="AE417" s="298">
        <f t="shared" si="147"/>
        <v>0</v>
      </c>
      <c r="AF417" s="291">
        <f t="shared" si="134"/>
        <v>0</v>
      </c>
      <c r="AG417" s="292">
        <f t="shared" si="135"/>
        <v>0</v>
      </c>
      <c r="AH417" s="293">
        <f t="shared" si="135"/>
        <v>0</v>
      </c>
      <c r="AI417" s="294">
        <f t="shared" si="141"/>
        <v>0</v>
      </c>
      <c r="AJ417" s="299"/>
      <c r="AK417" s="293">
        <f t="shared" si="136"/>
        <v>0</v>
      </c>
      <c r="AL417" s="291">
        <f t="shared" si="137"/>
        <v>0</v>
      </c>
      <c r="AM417" s="295">
        <f t="shared" si="138"/>
        <v>0</v>
      </c>
      <c r="AN417" s="293">
        <f t="shared" si="139"/>
        <v>0</v>
      </c>
      <c r="AO417" s="300">
        <f t="shared" si="142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25"/>
        <v>TOTAL VARIABLES</v>
      </c>
      <c r="B418" s="7"/>
      <c r="C418" s="11"/>
      <c r="D418" s="11"/>
      <c r="E418" s="11"/>
      <c r="F418" s="11"/>
      <c r="G418" s="11" t="s">
        <v>228</v>
      </c>
      <c r="H418" s="11"/>
      <c r="I418" s="11"/>
      <c r="J418" s="11"/>
      <c r="K418" s="11"/>
      <c r="L418" s="11" t="s">
        <v>226</v>
      </c>
      <c r="M418" s="495">
        <f>SUM(M411:M413)</f>
        <v>37799.850000000006</v>
      </c>
      <c r="N418" s="497">
        <f>M414/$M$439</f>
        <v>0.49095030822839886</v>
      </c>
      <c r="O418" s="497">
        <f>K407</f>
        <v>0.46603431015639951</v>
      </c>
      <c r="P418" s="499">
        <f>O418*$M$439</f>
        <v>35881.486829763002</v>
      </c>
      <c r="Q418" s="315">
        <f>P418-M414</f>
        <v>-1918.3631702370039</v>
      </c>
      <c r="R418" s="257"/>
      <c r="S418" s="498"/>
      <c r="T418" s="257"/>
      <c r="U418" s="257"/>
      <c r="V418" s="307" t="s">
        <v>39</v>
      </c>
      <c r="W418" s="308"/>
      <c r="X418" s="309">
        <f>Z418/Z406</f>
        <v>0.23567900627868238</v>
      </c>
      <c r="Y418" s="308"/>
      <c r="Z418" s="310">
        <f>SUM(Z408:Z417)</f>
        <v>128645.14979146743</v>
      </c>
      <c r="AA418" s="309">
        <f>AC418/AC406</f>
        <v>0.22519491731420307</v>
      </c>
      <c r="AB418" s="308"/>
      <c r="AC418" s="310">
        <f>SUM(AC408:AC417)</f>
        <v>129317.43198213144</v>
      </c>
      <c r="AD418" s="311">
        <f>AF418/AF406</f>
        <v>0.24016575173712421</v>
      </c>
      <c r="AE418" s="308"/>
      <c r="AF418" s="310">
        <f>SUM(AF408:AF417)</f>
        <v>153925.29</v>
      </c>
      <c r="AG418" s="312"/>
      <c r="AH418" s="313">
        <f>AF418-AC418</f>
        <v>24607.858017868566</v>
      </c>
      <c r="AI418" s="309">
        <f>AH418/AC418</f>
        <v>0.1902903393663801</v>
      </c>
      <c r="AJ418" s="311">
        <f>IF($AL$406=0,0,AL418/$AL$406)</f>
        <v>0.22999866747714673</v>
      </c>
      <c r="AK418" s="308"/>
      <c r="AL418" s="310">
        <f>SUM(AL408:AL417)</f>
        <v>123739.75</v>
      </c>
      <c r="AM418" s="314"/>
      <c r="AN418" s="313">
        <f t="shared" si="139"/>
        <v>30185.540000000008</v>
      </c>
      <c r="AO418" s="288">
        <f>IF(AL418=0,0,AN418/AL418)</f>
        <v>0.2439437609983858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25"/>
        <v>Salaires propriétaire</v>
      </c>
      <c r="B419" s="7"/>
      <c r="C419" s="11"/>
      <c r="D419" s="11"/>
      <c r="E419" s="11"/>
      <c r="F419" s="11"/>
      <c r="G419" s="11" t="s">
        <v>223</v>
      </c>
      <c r="H419" s="11"/>
      <c r="I419" s="11"/>
      <c r="J419" s="11"/>
      <c r="K419" s="11"/>
      <c r="L419" s="11" t="s">
        <v>221</v>
      </c>
      <c r="M419" s="315">
        <f>L261</f>
        <v>894.88</v>
      </c>
      <c r="N419" s="497">
        <f>$N$406</f>
        <v>0.53097345132743357</v>
      </c>
      <c r="O419" s="315">
        <f>($K$408*$M$439)*N419</f>
        <v>874.55915313496655</v>
      </c>
      <c r="P419" s="499"/>
      <c r="Q419" s="495">
        <f>O419-M419</f>
        <v>-20.320846865033445</v>
      </c>
      <c r="R419" s="257">
        <v>6532</v>
      </c>
      <c r="S419" s="498">
        <f>Q419</f>
        <v>-20.320846865033445</v>
      </c>
      <c r="T419" s="257"/>
      <c r="U419" s="257"/>
      <c r="V419" s="108" t="s">
        <v>142</v>
      </c>
      <c r="W419" s="297" t="s">
        <v>143</v>
      </c>
      <c r="X419" s="290"/>
      <c r="Y419" s="290"/>
      <c r="Z419" s="291">
        <f>+INDEX('[5]Budget original'!$A$2:$AO$496,MATCH($A419,'[5]Budget original'!$A$2:$A$496,0),MATCH(F$2,'[5]Budget original'!$A$2:$AO$2,0))</f>
        <v>0</v>
      </c>
      <c r="AA419" s="290"/>
      <c r="AB419" s="290"/>
      <c r="AC419" s="291">
        <f>+INDEX('[5]Budget révisé'!$A$2:$AO$496,MATCH($A419,'[5]Budget révisé'!$A$2:$A$496,0),MATCH(I$2,'[5]Budget révisé'!$A$2:$AO$2,0))</f>
        <v>0</v>
      </c>
      <c r="AD419" s="299"/>
      <c r="AE419" s="298"/>
      <c r="AF419" s="291">
        <f>SUMIFS([5]BV_Data_An_Cour!$O:$O,[5]BV_Data_An_Cour!$V:$V,$V419)</f>
        <v>2916.67</v>
      </c>
      <c r="AG419" s="292"/>
      <c r="AH419" s="293">
        <f t="shared" ref="AH419:AH430" si="148">AF419-AC419</f>
        <v>2916.67</v>
      </c>
      <c r="AI419" s="294">
        <f>IF(AC419=0,0,AH419/AC419)</f>
        <v>0</v>
      </c>
      <c r="AJ419" s="299"/>
      <c r="AK419" s="290"/>
      <c r="AL419" s="291">
        <f>SUMIFS([5]BV_Data_An_Prec!$O:$O,[5]BV_Data_An_Prec!$V:$V,$V419)</f>
        <v>9108.43</v>
      </c>
      <c r="AM419" s="295"/>
      <c r="AN419" s="293">
        <f t="shared" si="139"/>
        <v>-6191.76</v>
      </c>
      <c r="AO419" s="300">
        <f t="shared" ref="AO419:AO430" si="149">IF(AL419=0,0,AN419/AL419)</f>
        <v>-0.67978345335035784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2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222</v>
      </c>
      <c r="M420" s="315">
        <f>L262</f>
        <v>641.33000000000004</v>
      </c>
      <c r="N420" s="497">
        <f>$N$407</f>
        <v>0.38053097345132736</v>
      </c>
      <c r="O420" s="315">
        <f>($K$408*$M$439)*N420</f>
        <v>626.76739308005938</v>
      </c>
      <c r="P420" s="499"/>
      <c r="Q420" s="495">
        <f t="shared" ref="Q420:Q421" si="150">O420-M420</f>
        <v>-14.562606919940663</v>
      </c>
      <c r="R420" s="257">
        <v>6539</v>
      </c>
      <c r="S420" s="498">
        <f>Q420</f>
        <v>-14.562606919940663</v>
      </c>
      <c r="T420" s="257"/>
      <c r="U420" s="257"/>
      <c r="V420" s="108" t="s">
        <v>42</v>
      </c>
      <c r="W420" s="297" t="s">
        <v>144</v>
      </c>
      <c r="X420" s="290"/>
      <c r="Y420" s="290"/>
      <c r="Z420" s="291">
        <f t="shared" ref="Z420:Z431" si="151">+SUMIF($C:$C,$V420,F:F)</f>
        <v>51976.551080722333</v>
      </c>
      <c r="AA420" s="290"/>
      <c r="AB420" s="290"/>
      <c r="AC420" s="291">
        <f t="shared" ref="AC420:AC431" si="152">+SUMIF($C:$C,$V420,I:I)</f>
        <v>51976.551080722333</v>
      </c>
      <c r="AD420" s="299"/>
      <c r="AE420" s="298"/>
      <c r="AF420" s="291">
        <f t="shared" ref="AF420:AF431" si="153">+SUMIF($C:$C,$V420,L:L)</f>
        <v>52734.41</v>
      </c>
      <c r="AG420" s="292"/>
      <c r="AH420" s="293">
        <f t="shared" si="148"/>
        <v>757.85891927767079</v>
      </c>
      <c r="AI420" s="294">
        <f t="shared" ref="AI420:AI430" si="154">IF(AC420=0,0,AH420/AC420)</f>
        <v>1.4580785056335805E-2</v>
      </c>
      <c r="AJ420" s="299"/>
      <c r="AK420" s="290"/>
      <c r="AL420" s="291">
        <f t="shared" ref="AL420:AL431" si="155">+SUMIF($C:$C,$V420,Q:Q)</f>
        <v>56421.890000000007</v>
      </c>
      <c r="AM420" s="295"/>
      <c r="AN420" s="293">
        <f t="shared" si="139"/>
        <v>-3687.4800000000032</v>
      </c>
      <c r="AO420" s="300">
        <f t="shared" si="149"/>
        <v>-6.5355485255811224E-2</v>
      </c>
      <c r="AP420" s="257"/>
      <c r="AQ420" s="257" t="s">
        <v>248</v>
      </c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2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11" t="s">
        <v>223</v>
      </c>
      <c r="M421" s="315">
        <f>L263</f>
        <v>149.15</v>
      </c>
      <c r="N421" s="497">
        <f>$N$408</f>
        <v>8.8495575221238937E-2</v>
      </c>
      <c r="O421" s="315">
        <f>($K$408*$M$439)*N421</f>
        <v>145.75985885582779</v>
      </c>
      <c r="P421" s="504"/>
      <c r="Q421" s="495">
        <f t="shared" si="150"/>
        <v>-3.3901411441722189</v>
      </c>
      <c r="R421" s="257">
        <v>6531</v>
      </c>
      <c r="S421" s="498">
        <f>Q421</f>
        <v>-3.3901411441722189</v>
      </c>
      <c r="T421" s="257"/>
      <c r="U421" s="257"/>
      <c r="V421" s="109" t="s">
        <v>43</v>
      </c>
      <c r="W421" s="301" t="s">
        <v>145</v>
      </c>
      <c r="X421" s="274"/>
      <c r="Y421" s="274"/>
      <c r="Z421" s="275">
        <f t="shared" si="151"/>
        <v>25233.696925057473</v>
      </c>
      <c r="AA421" s="274"/>
      <c r="AB421" s="274"/>
      <c r="AC421" s="275">
        <f t="shared" si="152"/>
        <v>25233.696925057473</v>
      </c>
      <c r="AD421" s="303"/>
      <c r="AE421" s="302"/>
      <c r="AF421" s="275">
        <f t="shared" si="153"/>
        <v>25721.96</v>
      </c>
      <c r="AG421" s="276"/>
      <c r="AH421" s="277">
        <f t="shared" si="148"/>
        <v>488.26307494252615</v>
      </c>
      <c r="AI421" s="304">
        <f t="shared" si="154"/>
        <v>1.9349644897164193E-2</v>
      </c>
      <c r="AJ421" s="303"/>
      <c r="AK421" s="274"/>
      <c r="AL421" s="275">
        <f t="shared" si="155"/>
        <v>28486.59</v>
      </c>
      <c r="AM421" s="279"/>
      <c r="AN421" s="277">
        <f t="shared" si="139"/>
        <v>-2764.630000000001</v>
      </c>
      <c r="AO421" s="280">
        <f t="shared" si="149"/>
        <v>-9.7050226088836927E-2</v>
      </c>
      <c r="AP421" s="257"/>
      <c r="AQ421" s="257" t="s">
        <v>249</v>
      </c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2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316">
        <f>SUM(M419:M421)</f>
        <v>1685.3600000000001</v>
      </c>
      <c r="N422" s="316"/>
      <c r="O422" s="316">
        <f t="shared" ref="O422" si="156">SUM(O419:O421)</f>
        <v>1647.0864050708537</v>
      </c>
      <c r="Q422" s="502">
        <f>SUM(Q419:Q421)</f>
        <v>-38.273594929146327</v>
      </c>
      <c r="R422" s="257"/>
      <c r="S422" s="498"/>
      <c r="T422" s="257"/>
      <c r="U422" s="257"/>
      <c r="V422" s="108" t="s">
        <v>44</v>
      </c>
      <c r="W422" s="297" t="s">
        <v>146</v>
      </c>
      <c r="X422" s="290"/>
      <c r="Y422" s="290"/>
      <c r="Z422" s="291">
        <f t="shared" si="151"/>
        <v>43666.343229793099</v>
      </c>
      <c r="AA422" s="290"/>
      <c r="AB422" s="290"/>
      <c r="AC422" s="291">
        <f t="shared" si="152"/>
        <v>43666.343229793099</v>
      </c>
      <c r="AD422" s="299"/>
      <c r="AE422" s="298"/>
      <c r="AF422" s="291">
        <f t="shared" si="153"/>
        <v>54300.15</v>
      </c>
      <c r="AG422" s="292"/>
      <c r="AH422" s="293">
        <f t="shared" si="148"/>
        <v>10633.806770206902</v>
      </c>
      <c r="AI422" s="294">
        <f t="shared" si="154"/>
        <v>0.24352409621860813</v>
      </c>
      <c r="AJ422" s="299"/>
      <c r="AK422" s="290"/>
      <c r="AL422" s="291">
        <f t="shared" si="155"/>
        <v>46355.619999999995</v>
      </c>
      <c r="AM422" s="295"/>
      <c r="AN422" s="293">
        <f t="shared" si="139"/>
        <v>7944.5300000000061</v>
      </c>
      <c r="AO422" s="300">
        <f t="shared" si="149"/>
        <v>0.17138224016850614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2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316">
        <f>SUM(M419:M421)</f>
        <v>1685.3600000000001</v>
      </c>
      <c r="N423" s="497">
        <f>M422/$M$439</f>
        <v>2.1889716797178143E-2</v>
      </c>
      <c r="O423" s="505">
        <f>K408</f>
        <v>2.1392613416411469E-2</v>
      </c>
      <c r="P423" s="499">
        <f>O423*$M$439</f>
        <v>1647.086405070854</v>
      </c>
      <c r="Q423" s="315">
        <f>P423-M422</f>
        <v>-38.273594929146157</v>
      </c>
      <c r="R423" s="257"/>
      <c r="S423" s="498"/>
      <c r="T423" s="257"/>
      <c r="U423" s="257"/>
      <c r="V423" s="108" t="s">
        <v>45</v>
      </c>
      <c r="W423" s="297" t="s">
        <v>147</v>
      </c>
      <c r="X423" s="290"/>
      <c r="Y423" s="290"/>
      <c r="Z423" s="291">
        <f t="shared" si="151"/>
        <v>33973.008648275863</v>
      </c>
      <c r="AA423" s="290"/>
      <c r="AB423" s="290"/>
      <c r="AC423" s="291">
        <f t="shared" si="152"/>
        <v>33973.008648275863</v>
      </c>
      <c r="AD423" s="299"/>
      <c r="AE423" s="298"/>
      <c r="AF423" s="291">
        <f t="shared" si="153"/>
        <v>30258.53</v>
      </c>
      <c r="AG423" s="292"/>
      <c r="AH423" s="293">
        <f t="shared" si="148"/>
        <v>-3714.4786482758645</v>
      </c>
      <c r="AI423" s="294">
        <f t="shared" si="154"/>
        <v>-0.10933616997929252</v>
      </c>
      <c r="AJ423" s="299"/>
      <c r="AK423" s="290"/>
      <c r="AL423" s="291">
        <f t="shared" si="155"/>
        <v>32797.089999999997</v>
      </c>
      <c r="AM423" s="295"/>
      <c r="AN423" s="293">
        <f t="shared" si="139"/>
        <v>-2538.5599999999977</v>
      </c>
      <c r="AO423" s="300">
        <f t="shared" si="149"/>
        <v>-7.7401989017928052E-2</v>
      </c>
      <c r="AP423" s="257"/>
      <c r="AQ423" s="257" t="s">
        <v>250</v>
      </c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2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316"/>
      <c r="N424" s="162"/>
      <c r="O424" s="505"/>
      <c r="P424" s="504"/>
      <c r="Q424" s="257"/>
      <c r="R424" s="257"/>
      <c r="S424" s="498"/>
      <c r="T424" s="257"/>
      <c r="U424" s="257"/>
      <c r="V424" s="108" t="s">
        <v>21</v>
      </c>
      <c r="W424" s="297"/>
      <c r="X424" s="290"/>
      <c r="Y424" s="290"/>
      <c r="Z424" s="291">
        <f t="shared" si="151"/>
        <v>0</v>
      </c>
      <c r="AA424" s="290"/>
      <c r="AB424" s="290"/>
      <c r="AC424" s="291">
        <f t="shared" si="152"/>
        <v>0</v>
      </c>
      <c r="AD424" s="299"/>
      <c r="AE424" s="298"/>
      <c r="AF424" s="291">
        <f t="shared" si="153"/>
        <v>0</v>
      </c>
      <c r="AG424" s="292"/>
      <c r="AH424" s="293">
        <f t="shared" si="148"/>
        <v>0</v>
      </c>
      <c r="AI424" s="294">
        <f t="shared" si="154"/>
        <v>0</v>
      </c>
      <c r="AJ424" s="299"/>
      <c r="AK424" s="290"/>
      <c r="AL424" s="291">
        <f t="shared" si="155"/>
        <v>0</v>
      </c>
      <c r="AM424" s="295"/>
      <c r="AN424" s="293">
        <f t="shared" si="139"/>
        <v>0</v>
      </c>
      <c r="AO424" s="300">
        <f t="shared" si="149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2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316"/>
      <c r="N425" s="162"/>
      <c r="O425" s="505"/>
      <c r="P425" s="504"/>
      <c r="Q425" s="257"/>
      <c r="R425" s="257"/>
      <c r="S425" s="498"/>
      <c r="T425" s="257"/>
      <c r="U425" s="257"/>
      <c r="V425" s="108" t="s">
        <v>21</v>
      </c>
      <c r="W425" s="297"/>
      <c r="X425" s="290"/>
      <c r="Y425" s="290"/>
      <c r="Z425" s="291">
        <f t="shared" si="151"/>
        <v>0</v>
      </c>
      <c r="AA425" s="290"/>
      <c r="AB425" s="290"/>
      <c r="AC425" s="291">
        <f t="shared" si="152"/>
        <v>0</v>
      </c>
      <c r="AD425" s="299"/>
      <c r="AE425" s="298"/>
      <c r="AF425" s="291">
        <f t="shared" si="153"/>
        <v>0</v>
      </c>
      <c r="AG425" s="292"/>
      <c r="AH425" s="293">
        <f t="shared" si="148"/>
        <v>0</v>
      </c>
      <c r="AI425" s="294">
        <f t="shared" si="154"/>
        <v>0</v>
      </c>
      <c r="AJ425" s="299"/>
      <c r="AK425" s="290"/>
      <c r="AL425" s="291">
        <f t="shared" si="155"/>
        <v>0</v>
      </c>
      <c r="AM425" s="295"/>
      <c r="AN425" s="293">
        <f t="shared" si="139"/>
        <v>0</v>
      </c>
      <c r="AO425" s="300">
        <f t="shared" si="149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2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316"/>
      <c r="N426" s="162"/>
      <c r="O426" s="505"/>
      <c r="P426" s="504"/>
      <c r="Q426" s="257"/>
      <c r="R426" s="257"/>
      <c r="S426" s="498"/>
      <c r="T426" s="257"/>
      <c r="U426" s="257"/>
      <c r="V426" s="108" t="s">
        <v>21</v>
      </c>
      <c r="W426" s="297"/>
      <c r="X426" s="290"/>
      <c r="Y426" s="290"/>
      <c r="Z426" s="291">
        <f t="shared" si="151"/>
        <v>0</v>
      </c>
      <c r="AA426" s="290"/>
      <c r="AB426" s="290"/>
      <c r="AC426" s="291">
        <f t="shared" si="152"/>
        <v>0</v>
      </c>
      <c r="AD426" s="299"/>
      <c r="AE426" s="298"/>
      <c r="AF426" s="291">
        <f t="shared" si="153"/>
        <v>0</v>
      </c>
      <c r="AG426" s="292"/>
      <c r="AH426" s="293">
        <f t="shared" si="148"/>
        <v>0</v>
      </c>
      <c r="AI426" s="294">
        <f t="shared" si="154"/>
        <v>0</v>
      </c>
      <c r="AJ426" s="299"/>
      <c r="AK426" s="290"/>
      <c r="AL426" s="291">
        <f t="shared" si="155"/>
        <v>0</v>
      </c>
      <c r="AM426" s="295"/>
      <c r="AN426" s="293">
        <f t="shared" si="139"/>
        <v>0</v>
      </c>
      <c r="AO426" s="300">
        <f t="shared" si="149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2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11" t="s">
        <v>227</v>
      </c>
      <c r="M427" s="316"/>
      <c r="N427" s="162"/>
      <c r="O427" s="505"/>
      <c r="P427" s="504"/>
      <c r="Q427" s="257"/>
      <c r="R427" s="257"/>
      <c r="S427" s="498"/>
      <c r="T427" s="257"/>
      <c r="U427" s="257"/>
      <c r="V427" s="109" t="s">
        <v>46</v>
      </c>
      <c r="W427" s="301" t="s">
        <v>148</v>
      </c>
      <c r="X427" s="274"/>
      <c r="Y427" s="274"/>
      <c r="Z427" s="275">
        <f t="shared" si="151"/>
        <v>36623.008976066805</v>
      </c>
      <c r="AA427" s="274"/>
      <c r="AB427" s="274"/>
      <c r="AC427" s="275">
        <f t="shared" si="152"/>
        <v>36685.809985278342</v>
      </c>
      <c r="AD427" s="303"/>
      <c r="AE427" s="302"/>
      <c r="AF427" s="275">
        <f t="shared" si="153"/>
        <v>34661.589999999997</v>
      </c>
      <c r="AG427" s="276"/>
      <c r="AH427" s="277">
        <f t="shared" si="148"/>
        <v>-2024.2199852783451</v>
      </c>
      <c r="AI427" s="304">
        <f t="shared" si="154"/>
        <v>-5.517719211026402E-2</v>
      </c>
      <c r="AJ427" s="303"/>
      <c r="AK427" s="274"/>
      <c r="AL427" s="275">
        <f t="shared" si="155"/>
        <v>42196.04</v>
      </c>
      <c r="AM427" s="279"/>
      <c r="AN427" s="277">
        <f t="shared" si="139"/>
        <v>-7534.4500000000044</v>
      </c>
      <c r="AO427" s="305">
        <f t="shared" si="149"/>
        <v>-0.17855822489503764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2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11" t="s">
        <v>221</v>
      </c>
      <c r="M428" s="316">
        <f>L325</f>
        <v>47.62</v>
      </c>
      <c r="N428" s="497">
        <f>$N$406</f>
        <v>0.53097345132743357</v>
      </c>
      <c r="O428" s="316">
        <f>($K$409*$M$439)*N428</f>
        <v>3356.7588534966239</v>
      </c>
      <c r="P428" s="504"/>
      <c r="Q428" s="495">
        <f>O428-M428</f>
        <v>3309.1388534966241</v>
      </c>
      <c r="R428" s="257">
        <v>6732</v>
      </c>
      <c r="S428" s="498">
        <f>Q428</f>
        <v>3309.1388534966241</v>
      </c>
      <c r="T428" s="257"/>
      <c r="U428" s="257"/>
      <c r="V428" s="108" t="s">
        <v>47</v>
      </c>
      <c r="W428" s="297" t="s">
        <v>149</v>
      </c>
      <c r="X428" s="290"/>
      <c r="Y428" s="290"/>
      <c r="Z428" s="291">
        <f t="shared" si="151"/>
        <v>36623.008976066805</v>
      </c>
      <c r="AA428" s="290"/>
      <c r="AB428" s="290"/>
      <c r="AC428" s="291">
        <f t="shared" si="152"/>
        <v>36685.809985278342</v>
      </c>
      <c r="AD428" s="299"/>
      <c r="AE428" s="298"/>
      <c r="AF428" s="291">
        <f t="shared" si="153"/>
        <v>37434.42</v>
      </c>
      <c r="AG428" s="292"/>
      <c r="AH428" s="293">
        <f t="shared" si="148"/>
        <v>748.61001472165663</v>
      </c>
      <c r="AI428" s="294">
        <f t="shared" si="154"/>
        <v>2.0405982995116274E-2</v>
      </c>
      <c r="AJ428" s="299"/>
      <c r="AK428" s="290"/>
      <c r="AL428" s="291">
        <f t="shared" si="155"/>
        <v>33353.760000000002</v>
      </c>
      <c r="AM428" s="295"/>
      <c r="AN428" s="293">
        <f t="shared" si="139"/>
        <v>4080.6599999999962</v>
      </c>
      <c r="AO428" s="300">
        <f t="shared" si="149"/>
        <v>0.12234482708995915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2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11" t="s">
        <v>222</v>
      </c>
      <c r="M429" s="316">
        <f>L326</f>
        <v>2504.44</v>
      </c>
      <c r="N429" s="497">
        <f>$N$407</f>
        <v>0.38053097345132736</v>
      </c>
      <c r="O429" s="316">
        <f>($K$409*$M$439)*N429</f>
        <v>2405.6771783392469</v>
      </c>
      <c r="P429" s="504"/>
      <c r="Q429" s="495">
        <f t="shared" ref="Q429:Q430" si="157">O429-M429</f>
        <v>-98.762821660753161</v>
      </c>
      <c r="R429" s="257">
        <v>6739</v>
      </c>
      <c r="S429" s="498">
        <f>Q429</f>
        <v>-98.762821660753161</v>
      </c>
      <c r="T429" s="257"/>
      <c r="U429" s="257"/>
      <c r="V429" s="108" t="s">
        <v>48</v>
      </c>
      <c r="W429" s="297" t="s">
        <v>150</v>
      </c>
      <c r="X429" s="290"/>
      <c r="Y429" s="290"/>
      <c r="Z429" s="291">
        <f t="shared" si="151"/>
        <v>26246.489766181214</v>
      </c>
      <c r="AA429" s="290"/>
      <c r="AB429" s="290"/>
      <c r="AC429" s="291">
        <f t="shared" si="152"/>
        <v>26291.497156116147</v>
      </c>
      <c r="AD429" s="299"/>
      <c r="AE429" s="298"/>
      <c r="AF429" s="291">
        <f t="shared" si="153"/>
        <v>29298.3</v>
      </c>
      <c r="AG429" s="292"/>
      <c r="AH429" s="293">
        <f t="shared" si="148"/>
        <v>3006.8028438838519</v>
      </c>
      <c r="AI429" s="294">
        <f t="shared" si="154"/>
        <v>0.1143640784710651</v>
      </c>
      <c r="AJ429" s="299"/>
      <c r="AK429" s="290"/>
      <c r="AL429" s="291">
        <f t="shared" si="155"/>
        <v>26107.39</v>
      </c>
      <c r="AM429" s="295"/>
      <c r="AN429" s="293">
        <f t="shared" si="139"/>
        <v>3190.91</v>
      </c>
      <c r="AO429" s="300">
        <f t="shared" si="149"/>
        <v>0.1222224818336877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2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11" t="s">
        <v>223</v>
      </c>
      <c r="M430" s="316">
        <f>L327</f>
        <v>4029.37</v>
      </c>
      <c r="N430" s="497">
        <f>$N$408</f>
        <v>8.8495575221238937E-2</v>
      </c>
      <c r="O430" s="316">
        <f>($K$409*$M$439)*N430</f>
        <v>559.45980891610407</v>
      </c>
      <c r="P430" s="504"/>
      <c r="Q430" s="495">
        <f t="shared" si="157"/>
        <v>-3469.9101910838958</v>
      </c>
      <c r="R430" s="257">
        <v>6731</v>
      </c>
      <c r="S430" s="498">
        <f>Q430</f>
        <v>-3469.9101910838958</v>
      </c>
      <c r="T430" s="257"/>
      <c r="U430" s="257"/>
      <c r="V430" s="108" t="s">
        <v>49</v>
      </c>
      <c r="W430" s="297"/>
      <c r="X430" s="290"/>
      <c r="Y430" s="290"/>
      <c r="Z430" s="291">
        <f t="shared" si="151"/>
        <v>6103.8348293444678</v>
      </c>
      <c r="AA430" s="290"/>
      <c r="AB430" s="290"/>
      <c r="AC430" s="291">
        <f t="shared" si="152"/>
        <v>6114.3016642130569</v>
      </c>
      <c r="AD430" s="299"/>
      <c r="AE430" s="298"/>
      <c r="AF430" s="291">
        <f t="shared" si="153"/>
        <v>10260.509999999998</v>
      </c>
      <c r="AG430" s="292"/>
      <c r="AH430" s="293">
        <f t="shared" si="148"/>
        <v>4146.2083357869415</v>
      </c>
      <c r="AI430" s="317">
        <f t="shared" si="154"/>
        <v>0.67811641680269963</v>
      </c>
      <c r="AJ430" s="299"/>
      <c r="AK430" s="290"/>
      <c r="AL430" s="291">
        <f t="shared" si="155"/>
        <v>12543.849999999999</v>
      </c>
      <c r="AM430" s="295"/>
      <c r="AN430" s="293">
        <f t="shared" si="139"/>
        <v>-2283.34</v>
      </c>
      <c r="AO430" s="300">
        <f t="shared" si="149"/>
        <v>-0.18202864351853701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2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499"/>
      <c r="Q431" s="502">
        <f>SUM(Q428:Q430)</f>
        <v>-259.53415924802493</v>
      </c>
      <c r="R431" s="257"/>
      <c r="T431" s="257"/>
      <c r="U431" s="257"/>
      <c r="V431" s="30" t="s">
        <v>21</v>
      </c>
      <c r="W431" s="297"/>
      <c r="X431" s="290"/>
      <c r="Y431" s="298"/>
      <c r="Z431" s="291">
        <f t="shared" si="151"/>
        <v>0</v>
      </c>
      <c r="AA431" s="290"/>
      <c r="AB431" s="298"/>
      <c r="AC431" s="291">
        <f t="shared" si="152"/>
        <v>0</v>
      </c>
      <c r="AD431" s="299"/>
      <c r="AE431" s="298"/>
      <c r="AF431" s="291">
        <f t="shared" si="153"/>
        <v>0</v>
      </c>
      <c r="AG431" s="292"/>
      <c r="AH431" s="293"/>
      <c r="AI431" s="294"/>
      <c r="AJ431" s="299"/>
      <c r="AK431" s="293"/>
      <c r="AL431" s="291">
        <f t="shared" si="155"/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2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O432" s="506">
        <f>SUM(O428:O431)</f>
        <v>6321.8958407519749</v>
      </c>
      <c r="Q432" s="500">
        <f>SUM(Q428:Q430)</f>
        <v>-259.53415924802493</v>
      </c>
      <c r="R432" s="257"/>
      <c r="T432" s="257"/>
      <c r="U432" s="257"/>
      <c r="V432" s="307" t="s">
        <v>50</v>
      </c>
      <c r="W432" s="308"/>
      <c r="X432" s="309">
        <f>Z432/Z406</f>
        <v>0.47713917703910175</v>
      </c>
      <c r="Y432" s="308"/>
      <c r="Z432" s="310">
        <f>SUM(Z419:Z431)</f>
        <v>260445.94243150807</v>
      </c>
      <c r="AA432" s="309">
        <f>AC432/AC406</f>
        <v>0.45385899658457451</v>
      </c>
      <c r="AB432" s="308"/>
      <c r="AC432" s="310">
        <f>SUM(AC419:AC431)</f>
        <v>260627.01867473469</v>
      </c>
      <c r="AD432" s="311">
        <f>AF432/AF406</f>
        <v>0.4331112843848291</v>
      </c>
      <c r="AE432" s="318"/>
      <c r="AF432" s="310">
        <f>SUM(AF419:AF431)</f>
        <v>277586.53999999998</v>
      </c>
      <c r="AG432" s="319"/>
      <c r="AH432" s="313">
        <f t="shared" ref="AH432:AH450" si="158">AF432-AC432</f>
        <v>16959.52132526529</v>
      </c>
      <c r="AI432" s="309">
        <f>AH432/AC432</f>
        <v>6.5071999869786928E-2</v>
      </c>
      <c r="AJ432" s="311">
        <f>IF($AL$406=0,0,AL432/$AL$406)</f>
        <v>0.53414419272730207</v>
      </c>
      <c r="AK432" s="308"/>
      <c r="AL432" s="310">
        <f>SUM(AL419:AL431)</f>
        <v>287370.65999999997</v>
      </c>
      <c r="AM432" s="320"/>
      <c r="AN432" s="313">
        <f t="shared" ref="AN432:AN450" si="159">AF432-AL432</f>
        <v>-9784.1199999999953</v>
      </c>
      <c r="AO432" s="288">
        <f>IF(AL432=0,0,AN432/AL432)</f>
        <v>-3.4047038761716303E-2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2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506">
        <f>SUM(M428:M431)</f>
        <v>6581.43</v>
      </c>
      <c r="N433" s="497">
        <f>M433/$M$439</f>
        <v>8.5480632517949962E-2</v>
      </c>
      <c r="O433" s="507">
        <f>K409</f>
        <v>8.2109762647338949E-2</v>
      </c>
      <c r="P433" s="499">
        <f>O433*$M$439</f>
        <v>6321.8958407519758</v>
      </c>
      <c r="Q433" s="315">
        <f>P433-M433</f>
        <v>-259.53415924802448</v>
      </c>
      <c r="R433" s="257"/>
      <c r="T433" s="257"/>
      <c r="U433" s="257"/>
      <c r="V433" s="221" t="s">
        <v>51</v>
      </c>
      <c r="W433" s="322" t="s">
        <v>140</v>
      </c>
      <c r="X433" s="323"/>
      <c r="Y433" s="323"/>
      <c r="Z433" s="324">
        <f t="shared" ref="Z433:Z450" si="160">+SUMIF($C:$C,$V433,F:F)</f>
        <v>10881.833333333332</v>
      </c>
      <c r="AA433" s="323"/>
      <c r="AB433" s="323"/>
      <c r="AC433" s="324">
        <f t="shared" ref="AC433:AC450" si="161">+SUMIF($C:$C,$V433,I:I)</f>
        <v>10881.833333333332</v>
      </c>
      <c r="AD433" s="325"/>
      <c r="AE433" s="326"/>
      <c r="AF433" s="324">
        <f t="shared" ref="AF433:AF450" si="162">+SUMIF($C:$C,$V433,L:L)</f>
        <v>3826.1099999999997</v>
      </c>
      <c r="AG433" s="325"/>
      <c r="AH433" s="327">
        <f t="shared" si="158"/>
        <v>-7055.7233333333324</v>
      </c>
      <c r="AI433" s="328">
        <f>IF(AC433=0,0,AH433/AC433)</f>
        <v>-0.64839472515354335</v>
      </c>
      <c r="AJ433" s="325"/>
      <c r="AK433" s="323"/>
      <c r="AL433" s="324">
        <f t="shared" ref="AL433:AL450" si="163">+SUMIF($C:$C,$V433,Q:Q)</f>
        <v>18970.739999999998</v>
      </c>
      <c r="AM433" s="329"/>
      <c r="AN433" s="327">
        <f t="shared" si="159"/>
        <v>-15144.629999999997</v>
      </c>
      <c r="AO433" s="296">
        <f t="shared" ref="AO433:AO450" si="164">IF(AL433=0,0,AN433/AL433)</f>
        <v>-0.79831519487378977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2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 t="s">
        <v>206</v>
      </c>
      <c r="M434" s="257"/>
      <c r="O434" s="505"/>
      <c r="P434" s="508"/>
      <c r="Q434" s="257"/>
      <c r="R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 t="shared" si="160"/>
        <v>7916.2334333176977</v>
      </c>
      <c r="AA434" s="290"/>
      <c r="AB434" s="290"/>
      <c r="AC434" s="291">
        <f t="shared" si="161"/>
        <v>7916.2334333176977</v>
      </c>
      <c r="AD434" s="299"/>
      <c r="AE434" s="298"/>
      <c r="AF434" s="291">
        <f t="shared" si="162"/>
        <v>3117.66</v>
      </c>
      <c r="AG434" s="292"/>
      <c r="AH434" s="293">
        <f t="shared" si="158"/>
        <v>-4798.5734333176979</v>
      </c>
      <c r="AI434" s="294">
        <f t="shared" ref="AI434:AI450" si="165">IF(AC434=0,0,AH434/AC434)</f>
        <v>-0.606168763685208</v>
      </c>
      <c r="AJ434" s="299"/>
      <c r="AK434" s="290"/>
      <c r="AL434" s="291">
        <f t="shared" si="163"/>
        <v>7421.85</v>
      </c>
      <c r="AM434" s="295"/>
      <c r="AN434" s="293">
        <f t="shared" si="159"/>
        <v>-4304.1900000000005</v>
      </c>
      <c r="AO434" s="300">
        <f t="shared" si="164"/>
        <v>-0.57993492188605267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2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11" t="s">
        <v>221</v>
      </c>
      <c r="M435" s="316">
        <f>M401+M406+M411+M419+M428</f>
        <v>37434.42</v>
      </c>
      <c r="N435" s="497">
        <f>$N$406</f>
        <v>0.53097345132743357</v>
      </c>
      <c r="O435" s="316">
        <f t="shared" ref="O435:O437" si="166">O401+O406+O411+O419+O428</f>
        <v>40881.361061946904</v>
      </c>
      <c r="P435" s="508"/>
      <c r="Q435" s="316">
        <f>Q401+Q406+Q411+Q419+Q428</f>
        <v>3446.9410619468963</v>
      </c>
      <c r="R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 t="shared" si="160"/>
        <v>30952.437500000004</v>
      </c>
      <c r="AA435" s="274"/>
      <c r="AB435" s="274"/>
      <c r="AC435" s="275">
        <f t="shared" si="161"/>
        <v>30952.437500000004</v>
      </c>
      <c r="AD435" s="303"/>
      <c r="AE435" s="302"/>
      <c r="AF435" s="275">
        <f t="shared" si="162"/>
        <v>17388.189999999999</v>
      </c>
      <c r="AG435" s="276"/>
      <c r="AH435" s="277">
        <f t="shared" si="158"/>
        <v>-13564.247500000005</v>
      </c>
      <c r="AI435" s="304">
        <f t="shared" si="165"/>
        <v>-0.43822873400519757</v>
      </c>
      <c r="AJ435" s="303"/>
      <c r="AK435" s="274"/>
      <c r="AL435" s="275">
        <f t="shared" si="163"/>
        <v>25906.799999999999</v>
      </c>
      <c r="AM435" s="279"/>
      <c r="AN435" s="277">
        <f t="shared" si="159"/>
        <v>-8518.61</v>
      </c>
      <c r="AO435" s="280">
        <f t="shared" si="164"/>
        <v>-0.32881753053252433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2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11" t="s">
        <v>222</v>
      </c>
      <c r="M436" s="316">
        <f>M402+M407+M412+M420+M429</f>
        <v>29298.3</v>
      </c>
      <c r="N436" s="497">
        <f>$N$407</f>
        <v>0.38053097345132736</v>
      </c>
      <c r="O436" s="316">
        <f t="shared" si="166"/>
        <v>29298.30876106194</v>
      </c>
      <c r="P436" s="508"/>
      <c r="Q436" s="316">
        <f>Q402+Q407+Q412+Q420+Q429</f>
        <v>8.7610619398219569E-3</v>
      </c>
      <c r="R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 t="shared" si="160"/>
        <v>19483.113333333335</v>
      </c>
      <c r="AA436" s="290"/>
      <c r="AB436" s="290"/>
      <c r="AC436" s="291">
        <f t="shared" si="161"/>
        <v>19483.113333333335</v>
      </c>
      <c r="AD436" s="299"/>
      <c r="AE436" s="298"/>
      <c r="AF436" s="291">
        <f t="shared" si="162"/>
        <v>14013.07</v>
      </c>
      <c r="AG436" s="292"/>
      <c r="AH436" s="293">
        <f t="shared" si="158"/>
        <v>-5470.0433333333349</v>
      </c>
      <c r="AI436" s="294">
        <f t="shared" si="165"/>
        <v>-0.28075817451488766</v>
      </c>
      <c r="AJ436" s="299"/>
      <c r="AK436" s="290"/>
      <c r="AL436" s="291">
        <f t="shared" si="163"/>
        <v>19886.48</v>
      </c>
      <c r="AM436" s="295"/>
      <c r="AN436" s="293">
        <f t="shared" si="159"/>
        <v>-5873.41</v>
      </c>
      <c r="AO436" s="300">
        <f t="shared" si="164"/>
        <v>-0.29534688894163269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2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11" t="s">
        <v>223</v>
      </c>
      <c r="M437" s="316">
        <f>M403+M408+M413+M421+M430</f>
        <v>10260.509999999998</v>
      </c>
      <c r="N437" s="497">
        <f>$N$408</f>
        <v>8.8495575221238937E-2</v>
      </c>
      <c r="O437" s="316">
        <f t="shared" si="166"/>
        <v>6813.56017699115</v>
      </c>
      <c r="P437" s="508"/>
      <c r="Q437" s="316">
        <f t="shared" ref="Q437" si="167">Q403+Q408+Q413+Q421+Q430</f>
        <v>-3446.9498230088498</v>
      </c>
      <c r="R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 t="shared" si="160"/>
        <v>4989.0524999999998</v>
      </c>
      <c r="AA437" s="290"/>
      <c r="AB437" s="290"/>
      <c r="AC437" s="291">
        <f t="shared" si="161"/>
        <v>4989.0524999999998</v>
      </c>
      <c r="AD437" s="299"/>
      <c r="AE437" s="298"/>
      <c r="AF437" s="291">
        <f t="shared" si="162"/>
        <v>655.68</v>
      </c>
      <c r="AG437" s="292"/>
      <c r="AH437" s="293">
        <f t="shared" si="158"/>
        <v>-4333.3724999999995</v>
      </c>
      <c r="AI437" s="294">
        <f t="shared" si="165"/>
        <v>-0.86857624769432662</v>
      </c>
      <c r="AJ437" s="299"/>
      <c r="AK437" s="290"/>
      <c r="AL437" s="291">
        <f t="shared" si="163"/>
        <v>6077.0000000000009</v>
      </c>
      <c r="AM437" s="295"/>
      <c r="AN437" s="293">
        <f t="shared" si="159"/>
        <v>-5421.3200000000006</v>
      </c>
      <c r="AO437" s="300">
        <f t="shared" si="164"/>
        <v>-0.89210465690307716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2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11"/>
      <c r="M438" s="11"/>
      <c r="N438" s="11"/>
      <c r="O438" s="315">
        <f>SUM(O435:O437)</f>
        <v>76993.23</v>
      </c>
      <c r="P438" s="508"/>
      <c r="Q438" s="315">
        <f>SUM(Q435:Q437)</f>
        <v>-1.3642420526593924E-11</v>
      </c>
      <c r="R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 t="shared" si="160"/>
        <v>25272.370533333331</v>
      </c>
      <c r="AA438" s="290"/>
      <c r="AB438" s="290"/>
      <c r="AC438" s="291">
        <f t="shared" si="161"/>
        <v>25272.370533333331</v>
      </c>
      <c r="AD438" s="299"/>
      <c r="AE438" s="298"/>
      <c r="AF438" s="291">
        <f t="shared" si="162"/>
        <v>21607.97</v>
      </c>
      <c r="AG438" s="292"/>
      <c r="AH438" s="293">
        <f t="shared" si="158"/>
        <v>-3664.4005333333298</v>
      </c>
      <c r="AI438" s="294">
        <f t="shared" si="165"/>
        <v>-0.14499631241557334</v>
      </c>
      <c r="AJ438" s="299"/>
      <c r="AK438" s="290"/>
      <c r="AL438" s="291">
        <f t="shared" si="163"/>
        <v>29420</v>
      </c>
      <c r="AM438" s="295"/>
      <c r="AN438" s="293">
        <f t="shared" si="159"/>
        <v>-7812.0299999999988</v>
      </c>
      <c r="AO438" s="300">
        <f t="shared" si="164"/>
        <v>-0.26553467029231809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M439" s="506">
        <f>SUM(M435:M438)</f>
        <v>76993.23</v>
      </c>
      <c r="N439" s="497">
        <f>M439/$M$439</f>
        <v>1</v>
      </c>
      <c r="O439" s="505"/>
      <c r="P439" s="508"/>
      <c r="Q439" s="257"/>
      <c r="R439" s="257"/>
      <c r="T439" s="257"/>
      <c r="U439" s="257"/>
      <c r="V439" s="222" t="s">
        <v>99</v>
      </c>
      <c r="W439" s="330"/>
      <c r="X439" s="331"/>
      <c r="Y439" s="331"/>
      <c r="Z439" s="332">
        <f t="shared" si="160"/>
        <v>0</v>
      </c>
      <c r="AA439" s="331"/>
      <c r="AB439" s="331"/>
      <c r="AC439" s="332">
        <f t="shared" si="161"/>
        <v>0</v>
      </c>
      <c r="AD439" s="333"/>
      <c r="AE439" s="334"/>
      <c r="AF439" s="332">
        <f t="shared" si="162"/>
        <v>0</v>
      </c>
      <c r="AG439" s="335"/>
      <c r="AH439" s="336">
        <f t="shared" si="158"/>
        <v>0</v>
      </c>
      <c r="AI439" s="337">
        <f t="shared" si="165"/>
        <v>0</v>
      </c>
      <c r="AJ439" s="333"/>
      <c r="AK439" s="331"/>
      <c r="AL439" s="332">
        <f t="shared" si="163"/>
        <v>0</v>
      </c>
      <c r="AM439" s="338"/>
      <c r="AN439" s="336">
        <f t="shared" si="159"/>
        <v>0</v>
      </c>
      <c r="AO439" s="339">
        <f t="shared" si="164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2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 t="shared" si="160"/>
        <v>1081.48976835963</v>
      </c>
      <c r="AA440" s="290"/>
      <c r="AB440" s="298"/>
      <c r="AC440" s="291">
        <f t="shared" si="161"/>
        <v>1081.48976835963</v>
      </c>
      <c r="AD440" s="299"/>
      <c r="AE440" s="298"/>
      <c r="AF440" s="291">
        <f t="shared" si="162"/>
        <v>1867.0900000000001</v>
      </c>
      <c r="AG440" s="292"/>
      <c r="AH440" s="293">
        <f t="shared" si="158"/>
        <v>785.60023164037011</v>
      </c>
      <c r="AI440" s="294">
        <f t="shared" si="165"/>
        <v>0.72640560699149659</v>
      </c>
      <c r="AJ440" s="299"/>
      <c r="AK440" s="290"/>
      <c r="AL440" s="291">
        <f t="shared" si="163"/>
        <v>2355.59</v>
      </c>
      <c r="AM440" s="295"/>
      <c r="AN440" s="293">
        <f t="shared" si="159"/>
        <v>-488.5</v>
      </c>
      <c r="AO440" s="300">
        <f t="shared" si="164"/>
        <v>-0.20737904304229512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2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 t="shared" si="160"/>
        <v>1515</v>
      </c>
      <c r="AA441" s="290"/>
      <c r="AB441" s="290"/>
      <c r="AC441" s="291">
        <f t="shared" si="161"/>
        <v>1515</v>
      </c>
      <c r="AD441" s="299"/>
      <c r="AE441" s="298"/>
      <c r="AF441" s="291">
        <f t="shared" si="162"/>
        <v>626.04</v>
      </c>
      <c r="AG441" s="292"/>
      <c r="AH441" s="293">
        <f t="shared" si="158"/>
        <v>-888.96</v>
      </c>
      <c r="AI441" s="317">
        <f t="shared" si="165"/>
        <v>-0.58677227722772285</v>
      </c>
      <c r="AJ441" s="299"/>
      <c r="AK441" s="290"/>
      <c r="AL441" s="291">
        <f t="shared" si="163"/>
        <v>1515</v>
      </c>
      <c r="AM441" s="295"/>
      <c r="AN441" s="293">
        <f t="shared" si="159"/>
        <v>-888.96</v>
      </c>
      <c r="AO441" s="300">
        <f t="shared" si="164"/>
        <v>-0.58677227722772285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2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 t="shared" si="160"/>
        <v>2180</v>
      </c>
      <c r="AA442" s="290"/>
      <c r="AB442" s="290"/>
      <c r="AC442" s="291">
        <f t="shared" si="161"/>
        <v>2180</v>
      </c>
      <c r="AD442" s="299"/>
      <c r="AE442" s="298"/>
      <c r="AF442" s="291">
        <f t="shared" si="162"/>
        <v>2120.67</v>
      </c>
      <c r="AG442" s="292"/>
      <c r="AH442" s="293">
        <f t="shared" si="158"/>
        <v>-59.329999999999927</v>
      </c>
      <c r="AI442" s="294">
        <f t="shared" si="165"/>
        <v>-2.7215596330275198E-2</v>
      </c>
      <c r="AJ442" s="299"/>
      <c r="AK442" s="290"/>
      <c r="AL442" s="291">
        <f t="shared" si="163"/>
        <v>1850</v>
      </c>
      <c r="AM442" s="295"/>
      <c r="AN442" s="293">
        <f t="shared" si="159"/>
        <v>270.67000000000007</v>
      </c>
      <c r="AO442" s="300">
        <f t="shared" si="164"/>
        <v>0.14630810810810815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2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 t="shared" si="160"/>
        <v>1949.1</v>
      </c>
      <c r="AA443" s="290"/>
      <c r="AB443" s="290"/>
      <c r="AC443" s="291">
        <f t="shared" si="161"/>
        <v>1949.1</v>
      </c>
      <c r="AD443" s="299"/>
      <c r="AE443" s="298"/>
      <c r="AF443" s="291">
        <f t="shared" si="162"/>
        <v>478.87</v>
      </c>
      <c r="AG443" s="292"/>
      <c r="AH443" s="293">
        <f t="shared" si="158"/>
        <v>-1470.23</v>
      </c>
      <c r="AI443" s="317">
        <f t="shared" si="165"/>
        <v>-0.75431224667795393</v>
      </c>
      <c r="AJ443" s="299"/>
      <c r="AK443" s="290"/>
      <c r="AL443" s="291">
        <f t="shared" si="163"/>
        <v>1659.97</v>
      </c>
      <c r="AM443" s="295"/>
      <c r="AN443" s="293">
        <f t="shared" si="159"/>
        <v>-1181.0999999999999</v>
      </c>
      <c r="AO443" s="300">
        <f t="shared" si="164"/>
        <v>-0.7115188828713771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2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 t="shared" si="160"/>
        <v>865</v>
      </c>
      <c r="AA444" s="290"/>
      <c r="AB444" s="290"/>
      <c r="AC444" s="291">
        <f t="shared" si="161"/>
        <v>865</v>
      </c>
      <c r="AD444" s="299"/>
      <c r="AE444" s="298"/>
      <c r="AF444" s="291">
        <f t="shared" si="162"/>
        <v>341.89</v>
      </c>
      <c r="AG444" s="292"/>
      <c r="AH444" s="293">
        <f t="shared" si="158"/>
        <v>-523.11</v>
      </c>
      <c r="AI444" s="294">
        <f t="shared" si="165"/>
        <v>-0.6047514450867052</v>
      </c>
      <c r="AJ444" s="299"/>
      <c r="AK444" s="290"/>
      <c r="AL444" s="291">
        <f t="shared" si="163"/>
        <v>558.21</v>
      </c>
      <c r="AM444" s="295"/>
      <c r="AN444" s="293">
        <f t="shared" si="159"/>
        <v>-216.32000000000005</v>
      </c>
      <c r="AO444" s="300">
        <f t="shared" si="164"/>
        <v>-0.38752440837677582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2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 t="shared" si="160"/>
        <v>3891</v>
      </c>
      <c r="AA445" s="290"/>
      <c r="AB445" s="298"/>
      <c r="AC445" s="291">
        <f t="shared" si="161"/>
        <v>3891</v>
      </c>
      <c r="AD445" s="299"/>
      <c r="AE445" s="298"/>
      <c r="AF445" s="291">
        <f t="shared" si="162"/>
        <v>825.18000000000006</v>
      </c>
      <c r="AG445" s="292"/>
      <c r="AH445" s="293">
        <f t="shared" si="158"/>
        <v>-3065.8199999999997</v>
      </c>
      <c r="AI445" s="317">
        <f t="shared" si="165"/>
        <v>-0.78792598303777939</v>
      </c>
      <c r="AJ445" s="299"/>
      <c r="AK445" s="290"/>
      <c r="AL445" s="291">
        <f t="shared" si="163"/>
        <v>5390.0999999999995</v>
      </c>
      <c r="AM445" s="295"/>
      <c r="AN445" s="293">
        <f t="shared" si="159"/>
        <v>-4564.9199999999992</v>
      </c>
      <c r="AO445" s="300">
        <f t="shared" si="164"/>
        <v>-0.84690822062670446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2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 t="shared" si="160"/>
        <v>3188.5833333333335</v>
      </c>
      <c r="AA446" s="290"/>
      <c r="AB446" s="298"/>
      <c r="AC446" s="291">
        <f t="shared" si="161"/>
        <v>3188.5833333333335</v>
      </c>
      <c r="AD446" s="299"/>
      <c r="AE446" s="298"/>
      <c r="AF446" s="291">
        <f t="shared" si="162"/>
        <v>1945.5500000000002</v>
      </c>
      <c r="AG446" s="292"/>
      <c r="AH446" s="293">
        <f t="shared" si="158"/>
        <v>-1243.0333333333333</v>
      </c>
      <c r="AI446" s="294">
        <f t="shared" si="165"/>
        <v>-0.38983874761518961</v>
      </c>
      <c r="AJ446" s="299"/>
      <c r="AK446" s="290"/>
      <c r="AL446" s="291">
        <f t="shared" si="163"/>
        <v>7762.5</v>
      </c>
      <c r="AM446" s="295"/>
      <c r="AN446" s="293">
        <f t="shared" si="159"/>
        <v>-5816.95</v>
      </c>
      <c r="AO446" s="300">
        <f t="shared" si="164"/>
        <v>-0.74936553945249595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2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 t="shared" si="160"/>
        <v>12515.581382791654</v>
      </c>
      <c r="AA447" s="290"/>
      <c r="AB447" s="298"/>
      <c r="AC447" s="291">
        <f t="shared" si="161"/>
        <v>12515.581382791654</v>
      </c>
      <c r="AD447" s="299"/>
      <c r="AE447" s="298"/>
      <c r="AF447" s="275">
        <f>SUMIFS([5]BV_Data_An_Cour!$O:$O,[5]BV_Data_An_Cour!$V:$V,$V447)</f>
        <v>9015.2999999999993</v>
      </c>
      <c r="AG447" s="292"/>
      <c r="AH447" s="293">
        <f t="shared" si="158"/>
        <v>-3500.2813827916543</v>
      </c>
      <c r="AI447" s="294">
        <f t="shared" si="165"/>
        <v>-0.27967389414321414</v>
      </c>
      <c r="AJ447" s="299"/>
      <c r="AK447" s="290"/>
      <c r="AL447" s="291">
        <f>SUMIFS([5]BV_Data_An_Prec!$O:$O,[5]BV_Data_An_Prec!$V:$V,$V447)</f>
        <v>12485.9</v>
      </c>
      <c r="AM447" s="295"/>
      <c r="AN447" s="293">
        <f t="shared" si="159"/>
        <v>-3470.6000000000004</v>
      </c>
      <c r="AO447" s="300">
        <f t="shared" si="164"/>
        <v>-0.27796154061781692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hidden="1" customHeight="1">
      <c r="A448" t="str">
        <f t="shared" si="125"/>
        <v>[...]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</v>
      </c>
      <c r="W448" s="297"/>
      <c r="X448" s="290"/>
      <c r="Y448" s="298"/>
      <c r="Z448" s="291">
        <f t="shared" si="160"/>
        <v>0</v>
      </c>
      <c r="AA448" s="290"/>
      <c r="AB448" s="298"/>
      <c r="AC448" s="291">
        <f t="shared" si="161"/>
        <v>0</v>
      </c>
      <c r="AD448" s="299"/>
      <c r="AE448" s="298"/>
      <c r="AF448" s="291">
        <f t="shared" si="162"/>
        <v>0</v>
      </c>
      <c r="AG448" s="292"/>
      <c r="AH448" s="293">
        <f t="shared" si="158"/>
        <v>0</v>
      </c>
      <c r="AI448" s="294">
        <f t="shared" si="165"/>
        <v>0</v>
      </c>
      <c r="AJ448" s="299"/>
      <c r="AK448" s="290"/>
      <c r="AL448" s="291">
        <f t="shared" si="163"/>
        <v>0</v>
      </c>
      <c r="AM448" s="295"/>
      <c r="AN448" s="293">
        <f t="shared" si="159"/>
        <v>0</v>
      </c>
      <c r="AO448" s="300">
        <f t="shared" si="164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hidden="1" customHeight="1">
      <c r="A449" t="str">
        <f t="shared" si="12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 t="shared" si="160"/>
        <v>0</v>
      </c>
      <c r="AA449" s="290"/>
      <c r="AB449" s="298"/>
      <c r="AC449" s="291">
        <f t="shared" si="161"/>
        <v>0</v>
      </c>
      <c r="AD449" s="299"/>
      <c r="AE449" s="298"/>
      <c r="AF449" s="291">
        <f t="shared" si="162"/>
        <v>0</v>
      </c>
      <c r="AG449" s="292"/>
      <c r="AH449" s="293">
        <f t="shared" si="158"/>
        <v>0</v>
      </c>
      <c r="AI449" s="294">
        <f t="shared" si="165"/>
        <v>0</v>
      </c>
      <c r="AJ449" s="299"/>
      <c r="AK449" s="290"/>
      <c r="AL449" s="291">
        <f t="shared" si="163"/>
        <v>0</v>
      </c>
      <c r="AM449" s="295"/>
      <c r="AN449" s="293">
        <f t="shared" si="159"/>
        <v>0</v>
      </c>
      <c r="AO449" s="300">
        <f t="shared" si="164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hidden="1" customHeight="1">
      <c r="A450" t="str">
        <f t="shared" si="12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 t="shared" si="160"/>
        <v>0</v>
      </c>
      <c r="AA450" s="290"/>
      <c r="AB450" s="298"/>
      <c r="AC450" s="291">
        <f t="shared" si="161"/>
        <v>0</v>
      </c>
      <c r="AD450" s="299"/>
      <c r="AE450" s="298"/>
      <c r="AF450" s="291">
        <f t="shared" si="162"/>
        <v>0</v>
      </c>
      <c r="AG450" s="292"/>
      <c r="AH450" s="293">
        <f t="shared" si="158"/>
        <v>0</v>
      </c>
      <c r="AI450" s="294">
        <f t="shared" si="165"/>
        <v>0</v>
      </c>
      <c r="AJ450" s="299"/>
      <c r="AK450" s="290"/>
      <c r="AL450" s="291">
        <f t="shared" si="163"/>
        <v>0</v>
      </c>
      <c r="AM450" s="295"/>
      <c r="AN450" s="293">
        <f t="shared" si="159"/>
        <v>0</v>
      </c>
      <c r="AO450" s="300">
        <f t="shared" si="164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2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0.2320802918442966</v>
      </c>
      <c r="Y451" s="308"/>
      <c r="Z451" s="310">
        <f>+SUM(Z433:Z450)</f>
        <v>126680.79511780234</v>
      </c>
      <c r="AA451" s="309">
        <f>AC451/+AC406</f>
        <v>0.22060344645409338</v>
      </c>
      <c r="AB451" s="308"/>
      <c r="AC451" s="310">
        <f>+SUM(AC433:AC450)</f>
        <v>126680.79511780234</v>
      </c>
      <c r="AD451" s="311">
        <f>AF451/AF406</f>
        <v>0.12143504902086986</v>
      </c>
      <c r="AE451" s="308"/>
      <c r="AF451" s="310">
        <f>+SUM(AF433:AF450)</f>
        <v>77829.27</v>
      </c>
      <c r="AG451" s="319"/>
      <c r="AH451" s="342">
        <f>+SUM(AH433:AH450)</f>
        <v>-48851.525117802325</v>
      </c>
      <c r="AI451" s="309">
        <f>AH451/AC451</f>
        <v>-0.38562692215796857</v>
      </c>
      <c r="AJ451" s="311">
        <f>IF($AL$406=0,0,AL451/$AL$406)</f>
        <v>0.26256432526843798</v>
      </c>
      <c r="AK451" s="309"/>
      <c r="AL451" s="310">
        <f>+SUM(AL433:AL450)</f>
        <v>141260.14000000001</v>
      </c>
      <c r="AM451" s="320"/>
      <c r="AN451" s="313">
        <f>+SUM(AN433:AN450)</f>
        <v>-63430.869999999988</v>
      </c>
      <c r="AO451" s="343">
        <f>IF(AL451=0,0,AN451/AL451)</f>
        <v>-0.44903587098242986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2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+INDEX('[5]Budget original'!$A$2:$AO$496,MATCH($A452,'[5]Budget original'!$A$2:$A$496,0),MATCH(F$2,'[5]Budget original'!$A$2:$AO$2,0))</f>
        <v>26000</v>
      </c>
      <c r="AA452" s="290"/>
      <c r="AB452" s="298"/>
      <c r="AC452" s="291">
        <f>+INDEX('[5]Budget révisé'!$A$2:$AO$496,MATCH($A452,'[5]Budget révisé'!$A$2:$A$496,0),MATCH(I$2,'[5]Budget révisé'!$A$2:$AO$2,0))</f>
        <v>26000</v>
      </c>
      <c r="AD452" s="299"/>
      <c r="AE452" s="298"/>
      <c r="AF452" s="291">
        <f>SUMIFS([5]BV_Data_An_Cour!$O:$O,[5]BV_Data_An_Cour!$V:$V,$V452)</f>
        <v>26000</v>
      </c>
      <c r="AG452" s="292"/>
      <c r="AH452" s="293">
        <f t="shared" ref="AH452:AH460" si="168">AF452-AC452</f>
        <v>0</v>
      </c>
      <c r="AI452" s="294">
        <f>IF(AC452=0,0,AH452/AC452)</f>
        <v>0</v>
      </c>
      <c r="AJ452" s="299"/>
      <c r="AK452" s="290"/>
      <c r="AL452" s="291">
        <f>SUMIFS([5]BV_Data_An_Prec!$O:$O,[5]BV_Data_An_Prec!$V:$V,$V452)</f>
        <v>26000.07</v>
      </c>
      <c r="AM452" s="295"/>
      <c r="AN452" s="293">
        <f t="shared" ref="AN452:AN460" si="169">AF452-AL452</f>
        <v>-6.9999999999708962E-2</v>
      </c>
      <c r="AO452" s="300">
        <f t="shared" ref="AO452:AO460" si="170">IF(AL452=0,0,AN452/AL452)</f>
        <v>-2.6923004437953039E-6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2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+INDEX('[5]Budget original'!$A$2:$AO$496,MATCH($A453,'[5]Budget original'!$A$2:$A$496,0),MATCH(F$2,'[5]Budget original'!$A$2:$AO$2,0))</f>
        <v>4810</v>
      </c>
      <c r="AA453" s="290"/>
      <c r="AB453" s="298"/>
      <c r="AC453" s="291">
        <f>+INDEX('[5]Budget révisé'!$A$2:$AO$496,MATCH($A453,'[5]Budget révisé'!$A$2:$A$496,0),MATCH(I$2,'[5]Budget révisé'!$A$2:$AO$2,0))</f>
        <v>4810</v>
      </c>
      <c r="AD453" s="299"/>
      <c r="AE453" s="298"/>
      <c r="AF453" s="291">
        <f>SUMIFS([5]BV_Data_An_Cour!$O:$O,[5]BV_Data_An_Cour!$V:$V,$V453)</f>
        <v>4810</v>
      </c>
      <c r="AG453" s="292"/>
      <c r="AH453" s="293">
        <f t="shared" si="168"/>
        <v>0</v>
      </c>
      <c r="AI453" s="294">
        <f t="shared" ref="AI453:AI460" si="171">IF(AC453=0,0,AH453/AC453)</f>
        <v>0</v>
      </c>
      <c r="AJ453" s="299"/>
      <c r="AK453" s="290"/>
      <c r="AL453" s="291">
        <f>SUMIFS([5]BV_Data_An_Prec!$O:$O,[5]BV_Data_An_Prec!$V:$V,$V453)</f>
        <v>4700</v>
      </c>
      <c r="AM453" s="295"/>
      <c r="AN453" s="293">
        <f t="shared" si="169"/>
        <v>110</v>
      </c>
      <c r="AO453" s="300">
        <f t="shared" si="170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2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+INDEX('[5]Budget original'!$A$2:$AO$496,MATCH($A454,'[5]Budget original'!$A$2:$A$496,0),MATCH(F$2,'[5]Budget original'!$A$2:$AO$2,0))</f>
        <v>3200</v>
      </c>
      <c r="AA454" s="274"/>
      <c r="AB454" s="302"/>
      <c r="AC454" s="275">
        <f>+INDEX('[5]Budget révisé'!$A$2:$AO$496,MATCH($A454,'[5]Budget révisé'!$A$2:$A$496,0),MATCH(I$2,'[5]Budget révisé'!$A$2:$AO$2,0))</f>
        <v>3200</v>
      </c>
      <c r="AD454" s="303"/>
      <c r="AE454" s="302"/>
      <c r="AF454" s="275">
        <f>SUMIFS([5]BV_Data_An_Cour!$O:$O,[5]BV_Data_An_Cour!$V:$V,$V454)</f>
        <v>3200</v>
      </c>
      <c r="AG454" s="276"/>
      <c r="AH454" s="277">
        <f t="shared" si="168"/>
        <v>0</v>
      </c>
      <c r="AI454" s="304">
        <f t="shared" si="171"/>
        <v>0</v>
      </c>
      <c r="AJ454" s="303"/>
      <c r="AK454" s="274"/>
      <c r="AL454" s="275">
        <f>SUMIFS([5]BV_Data_An_Prec!$O:$O,[5]BV_Data_An_Prec!$V:$V,$V454)</f>
        <v>3150</v>
      </c>
      <c r="AM454" s="279"/>
      <c r="AN454" s="277">
        <f t="shared" si="169"/>
        <v>50</v>
      </c>
      <c r="AO454" s="280">
        <f t="shared" si="170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2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+INDEX('[5]Budget original'!$A$2:$AO$496,MATCH($A455,'[5]Budget original'!$A$2:$A$496,0),MATCH(F$2,'[5]Budget original'!$A$2:$AO$2,0))</f>
        <v>0</v>
      </c>
      <c r="AA455" s="290"/>
      <c r="AB455" s="298"/>
      <c r="AC455" s="291">
        <f>+INDEX('[5]Budget révisé'!$A$2:$AO$496,MATCH($A455,'[5]Budget révisé'!$A$2:$A$496,0),MATCH(I$2,'[5]Budget révisé'!$A$2:$AO$2,0))</f>
        <v>0</v>
      </c>
      <c r="AD455" s="299"/>
      <c r="AE455" s="298"/>
      <c r="AF455" s="291">
        <f>SUMIFS([5]BV_Data_An_Cour!$O:$O,[5]BV_Data_An_Cour!$V:$V,$V455)</f>
        <v>0</v>
      </c>
      <c r="AG455" s="292"/>
      <c r="AH455" s="293">
        <f t="shared" si="168"/>
        <v>0</v>
      </c>
      <c r="AI455" s="294">
        <f t="shared" si="171"/>
        <v>0</v>
      </c>
      <c r="AJ455" s="299"/>
      <c r="AK455" s="290"/>
      <c r="AL455" s="291">
        <f>SUMIFS([5]BV_Data_An_Prec!$O:$O,[5]BV_Data_An_Prec!$V:$V,$V455)</f>
        <v>0</v>
      </c>
      <c r="AM455" s="295"/>
      <c r="AN455" s="293">
        <f t="shared" si="169"/>
        <v>0</v>
      </c>
      <c r="AO455" s="300">
        <f t="shared" si="170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2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+INDEX('[5]Budget original'!$A$2:$AO$496,MATCH($A456,'[5]Budget original'!$A$2:$A$496,0),MATCH(F$2,'[5]Budget original'!$A$2:$AO$2,0))</f>
        <v>3708.0833333333339</v>
      </c>
      <c r="AA456" s="274"/>
      <c r="AB456" s="302"/>
      <c r="AC456" s="275">
        <f>+INDEX('[5]Budget révisé'!$A$2:$AO$496,MATCH($A456,'[5]Budget révisé'!$A$2:$A$496,0),MATCH(I$2,'[5]Budget révisé'!$A$2:$AO$2,0))</f>
        <v>3708.0833333333339</v>
      </c>
      <c r="AD456" s="303"/>
      <c r="AE456" s="302"/>
      <c r="AF456" s="275">
        <f>SUMIF([5]BV_Data_An_Cour!$V:$V,[5]Print_Mois!$V456,[5]BV_Data_An_Cour!$O:$O)</f>
        <v>3708.11</v>
      </c>
      <c r="AG456" s="276"/>
      <c r="AH456" s="277">
        <f t="shared" si="168"/>
        <v>2.6666666666187666E-2</v>
      </c>
      <c r="AI456" s="304">
        <f t="shared" si="171"/>
        <v>7.1914960557847035E-6</v>
      </c>
      <c r="AJ456" s="303"/>
      <c r="AK456" s="274"/>
      <c r="AL456" s="275">
        <f>SUMIF([5]BV_Data_An_Prec!$V:$V,[5]Print_Mois!$V456,[5]BV_Data_An_Prec!$O:$O)</f>
        <v>1500</v>
      </c>
      <c r="AM456" s="279"/>
      <c r="AN456" s="277">
        <f t="shared" si="169"/>
        <v>2208.11</v>
      </c>
      <c r="AO456" s="280">
        <f t="shared" si="170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2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+INDEX('[5]Budget original'!$A$2:$AO$496,MATCH($A457,'[5]Budget original'!$A$2:$A$496,0),MATCH(F$2,'[5]Budget original'!$A$2:$AO$2,0))</f>
        <v>3810</v>
      </c>
      <c r="AA457" s="344"/>
      <c r="AB457" s="345"/>
      <c r="AC457" s="291">
        <f>+INDEX('[5]Budget révisé'!$A$2:$AO$496,MATCH($A457,'[5]Budget révisé'!$A$2:$A$496,0),MATCH(I$2,'[5]Budget révisé'!$A$2:$AO$2,0))</f>
        <v>3810</v>
      </c>
      <c r="AD457" s="299"/>
      <c r="AE457" s="298"/>
      <c r="AF457" s="534">
        <f>SUMIFS([5]BV_Data_An_Cour!$O:$O,[5]BV_Data_An_Cour!$V:$V,$V457)</f>
        <v>738.78</v>
      </c>
      <c r="AG457" s="292"/>
      <c r="AH457" s="293">
        <f t="shared" si="168"/>
        <v>-3071.2200000000003</v>
      </c>
      <c r="AI457" s="294">
        <f t="shared" si="171"/>
        <v>-0.80609448818897644</v>
      </c>
      <c r="AJ457" s="299"/>
      <c r="AK457" s="290"/>
      <c r="AL457" s="291">
        <f>SUMIFS([5]BV_Data_An_Prec!$O:$O,[5]BV_Data_An_Prec!$V:$V,$V457)</f>
        <v>3670.0000000000005</v>
      </c>
      <c r="AM457" s="295"/>
      <c r="AN457" s="293">
        <f t="shared" si="169"/>
        <v>-2931.2200000000003</v>
      </c>
      <c r="AO457" s="300">
        <f t="shared" si="170"/>
        <v>-0.79869754768392365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2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+INDEX('[5]Budget original'!$A$2:$AO$496,MATCH($A458,'[5]Budget original'!$A$2:$A$496,0),MATCH(F$2,'[5]Budget original'!$A$2:$AO$2,0))</f>
        <v>6217.1666666666679</v>
      </c>
      <c r="AA458" s="290"/>
      <c r="AB458" s="298"/>
      <c r="AC458" s="291">
        <f>+INDEX('[5]Budget révisé'!$A$2:$AO$496,MATCH($A458,'[5]Budget révisé'!$A$2:$A$496,0),MATCH(I$2,'[5]Budget révisé'!$A$2:$AO$2,0))</f>
        <v>6217.1666666666679</v>
      </c>
      <c r="AD458" s="299"/>
      <c r="AE458" s="298"/>
      <c r="AF458" s="291">
        <f>SUMIFS([5]BV_Data_An_Cour!$O:$O,[5]BV_Data_An_Cour!$V:$V,$V458)</f>
        <v>7088.17</v>
      </c>
      <c r="AG458" s="292"/>
      <c r="AH458" s="293">
        <f t="shared" si="168"/>
        <v>871.00333333333219</v>
      </c>
      <c r="AI458" s="294">
        <f t="shared" si="171"/>
        <v>0.14009650698335233</v>
      </c>
      <c r="AJ458" s="299"/>
      <c r="AK458" s="290"/>
      <c r="AL458" s="291">
        <f>SUMIFS([5]BV_Data_An_Prec!$O:$O,[5]BV_Data_An_Prec!$V:$V,$V458)</f>
        <v>8025</v>
      </c>
      <c r="AM458" s="295"/>
      <c r="AN458" s="293">
        <f t="shared" si="169"/>
        <v>-936.82999999999993</v>
      </c>
      <c r="AO458" s="300">
        <f t="shared" si="170"/>
        <v>-0.11673894080996884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2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+INDEX('[5]Budget original'!$A$2:$AO$496,MATCH($A459,'[5]Budget original'!$A$2:$A$496,0),MATCH(F$2,'[5]Budget original'!$A$2:$AO$2,0))</f>
        <v>1000</v>
      </c>
      <c r="AA459" s="274"/>
      <c r="AB459" s="302"/>
      <c r="AC459" s="275">
        <f>+INDEX('[5]Budget révisé'!$A$2:$AO$496,MATCH($A459,'[5]Budget révisé'!$A$2:$A$496,0),MATCH(I$2,'[5]Budget révisé'!$A$2:$AO$2,0))</f>
        <v>1000</v>
      </c>
      <c r="AD459" s="303"/>
      <c r="AE459" s="302"/>
      <c r="AF459" s="275">
        <f>SUMIFS([5]BV_Data_An_Cour!$O:$O,[5]BV_Data_An_Cour!$V:$V,$V459)</f>
        <v>518.51</v>
      </c>
      <c r="AG459" s="276"/>
      <c r="AH459" s="277">
        <f t="shared" si="168"/>
        <v>-481.49</v>
      </c>
      <c r="AI459" s="304">
        <f t="shared" si="171"/>
        <v>-0.48149000000000003</v>
      </c>
      <c r="AJ459" s="303"/>
      <c r="AK459" s="274"/>
      <c r="AL459" s="275">
        <f>SUMIFS([5]BV_Data_An_Prec!$O:$O,[5]BV_Data_An_Prec!$V:$V,$V459)</f>
        <v>884</v>
      </c>
      <c r="AM459" s="279"/>
      <c r="AN459" s="277">
        <f t="shared" si="169"/>
        <v>-365.49</v>
      </c>
      <c r="AO459" s="280">
        <f t="shared" si="170"/>
        <v>-0.41345022624434391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2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+INDEX('[5]Budget original'!$A$2:$AO$496,MATCH($A460,'[5]Budget original'!$A$2:$A$496,0),MATCH(F$2,'[5]Budget original'!$A$2:$AO$2,0))</f>
        <v>900</v>
      </c>
      <c r="AA460" s="290"/>
      <c r="AB460" s="298"/>
      <c r="AC460" s="291">
        <f>+INDEX('[5]Budget révisé'!$A$2:$AO$496,MATCH($A460,'[5]Budget révisé'!$A$2:$A$496,0),MATCH(I$2,'[5]Budget révisé'!$A$2:$AO$2,0))</f>
        <v>900</v>
      </c>
      <c r="AD460" s="299"/>
      <c r="AE460" s="298"/>
      <c r="AF460" s="291">
        <f>SUMIFS([5]BV_Data_An_Cour!$O:$O,[5]BV_Data_An_Cour!$V:$V,$V460)</f>
        <v>0</v>
      </c>
      <c r="AG460" s="292"/>
      <c r="AH460" s="293">
        <f t="shared" si="168"/>
        <v>-900</v>
      </c>
      <c r="AI460" s="348">
        <f t="shared" si="171"/>
        <v>-1</v>
      </c>
      <c r="AJ460" s="290"/>
      <c r="AK460" s="290"/>
      <c r="AL460" s="291">
        <f>SUMIFS([5]BV_Data_An_Prec!$O:$O,[5]BV_Data_An_Prec!$V:$V,$V460)</f>
        <v>900</v>
      </c>
      <c r="AM460" s="295"/>
      <c r="AN460" s="293">
        <f t="shared" si="169"/>
        <v>-900</v>
      </c>
      <c r="AO460" s="300">
        <f t="shared" si="170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2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v>0</v>
      </c>
      <c r="AA461" s="290"/>
      <c r="AB461" s="298"/>
      <c r="AC461" s="291">
        <v>0</v>
      </c>
      <c r="AD461" s="299"/>
      <c r="AE461" s="298"/>
      <c r="AF461" s="291">
        <v>0</v>
      </c>
      <c r="AG461" s="292"/>
      <c r="AH461" s="293">
        <v>0</v>
      </c>
      <c r="AI461" s="317">
        <v>0</v>
      </c>
      <c r="AJ461" s="290"/>
      <c r="AK461" s="290"/>
      <c r="AL461" s="291"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2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v>0</v>
      </c>
      <c r="AA462" s="290"/>
      <c r="AB462" s="298"/>
      <c r="AC462" s="291">
        <v>0</v>
      </c>
      <c r="AD462" s="299"/>
      <c r="AE462" s="298"/>
      <c r="AF462" s="291">
        <v>0</v>
      </c>
      <c r="AG462" s="292"/>
      <c r="AH462" s="293">
        <v>0</v>
      </c>
      <c r="AI462" s="317">
        <v>1</v>
      </c>
      <c r="AJ462" s="290"/>
      <c r="AK462" s="290"/>
      <c r="AL462" s="291"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2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v>0</v>
      </c>
      <c r="AA463" s="290"/>
      <c r="AB463" s="298"/>
      <c r="AC463" s="291">
        <v>0</v>
      </c>
      <c r="AD463" s="299"/>
      <c r="AE463" s="298"/>
      <c r="AF463" s="291">
        <v>0</v>
      </c>
      <c r="AG463" s="292"/>
      <c r="AH463" s="293">
        <v>0</v>
      </c>
      <c r="AI463" s="317">
        <v>2</v>
      </c>
      <c r="AJ463" s="290"/>
      <c r="AK463" s="290"/>
      <c r="AL463" s="291"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2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v>0</v>
      </c>
      <c r="AA464" s="290"/>
      <c r="AB464" s="298"/>
      <c r="AC464" s="291">
        <v>0</v>
      </c>
      <c r="AD464" s="299"/>
      <c r="AE464" s="298"/>
      <c r="AF464" s="291">
        <v>0</v>
      </c>
      <c r="AG464" s="292"/>
      <c r="AH464" s="293">
        <v>0</v>
      </c>
      <c r="AI464" s="317">
        <v>3</v>
      </c>
      <c r="AJ464" s="290"/>
      <c r="AK464" s="290"/>
      <c r="AL464" s="291"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2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9.0950519358272752E-2</v>
      </c>
      <c r="Y465" s="308"/>
      <c r="Z465" s="310">
        <f>SUM(Z452:Z464)</f>
        <v>49645.25</v>
      </c>
      <c r="AA465" s="309">
        <f>AC465/+AC406</f>
        <v>8.6452830043344253E-2</v>
      </c>
      <c r="AB465" s="308"/>
      <c r="AC465" s="310">
        <f>SUM(AC452:AC464)</f>
        <v>49645.25</v>
      </c>
      <c r="AD465" s="311">
        <f>AF465/AF406</f>
        <v>7.1871827668771274E-2</v>
      </c>
      <c r="AE465" s="308"/>
      <c r="AF465" s="310">
        <f>SUM(AF452:AF464)</f>
        <v>46063.57</v>
      </c>
      <c r="AG465" s="319"/>
      <c r="AH465" s="349">
        <f>SUM(AH452:AH464)</f>
        <v>-3581.6800000000021</v>
      </c>
      <c r="AI465" s="309">
        <f>IF(AC465=0,0,AH465/AC465)</f>
        <v>-7.2145472124724969E-2</v>
      </c>
      <c r="AJ465" s="311">
        <f>IF($AL$406=0,0,AL465/$AL$406)</f>
        <v>9.0760010701074798E-2</v>
      </c>
      <c r="AK465" s="309"/>
      <c r="AL465" s="310">
        <f>SUM(AL452:AL464)</f>
        <v>48829.07</v>
      </c>
      <c r="AM465" s="320"/>
      <c r="AN465" s="313">
        <f>SUM(AN452:AN464)</f>
        <v>-2765.5</v>
      </c>
      <c r="AO465" s="343">
        <f>IF(AL465=0,0,AN465/AL465)</f>
        <v>-5.6636343882855031E-2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2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72">AF466-AC466</f>
        <v>0</v>
      </c>
      <c r="AI466" s="294"/>
      <c r="AJ466" s="299"/>
      <c r="AK466" s="290"/>
      <c r="AL466" s="350"/>
      <c r="AM466" s="351"/>
      <c r="AN466" s="293">
        <f t="shared" ref="AN466:AN482" si="173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2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1.0358489945203535</v>
      </c>
      <c r="Y467" s="308"/>
      <c r="Z467" s="310">
        <f>Z418+Z432+Z451+Z465</f>
        <v>565417.13734077779</v>
      </c>
      <c r="AA467" s="309">
        <f>AC467/+AC406</f>
        <v>0.98611019039621517</v>
      </c>
      <c r="AB467" s="308"/>
      <c r="AC467" s="310">
        <f>AC418+AC432+AC451+AC465</f>
        <v>566270.49577466841</v>
      </c>
      <c r="AD467" s="311">
        <f>AF467/AF406</f>
        <v>0.8665839128115943</v>
      </c>
      <c r="AE467" s="308"/>
      <c r="AF467" s="310">
        <f>AF418+AF432+AF451+AF465</f>
        <v>555404.66999999993</v>
      </c>
      <c r="AG467" s="319"/>
      <c r="AH467" s="313">
        <f t="shared" si="172"/>
        <v>-10865.825774668483</v>
      </c>
      <c r="AI467" s="309">
        <f>AH467/AC467</f>
        <v>-1.9188401754542825E-2</v>
      </c>
      <c r="AJ467" s="311">
        <f>IF($AL$406=0,0,AL467/$AL$406)</f>
        <v>1.1174671961739615</v>
      </c>
      <c r="AK467" s="309"/>
      <c r="AL467" s="310">
        <f>AL418+AL432+AL451+AL465</f>
        <v>601199.62</v>
      </c>
      <c r="AM467" s="320"/>
      <c r="AN467" s="313">
        <f t="shared" si="173"/>
        <v>-45794.95000000007</v>
      </c>
      <c r="AO467" s="288">
        <f>IF(AL467=0,0,AN467/AL467)</f>
        <v>-7.6172619669985939E-2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2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+INDEX('[5]Budget original'!$A$2:$AO$496,MATCH($A468,'[5]Budget original'!$A$2:$A$496,0),MATCH(F$2,'[5]Budget original'!$A$2:$AO$2,0))</f>
        <v>0</v>
      </c>
      <c r="AA468" s="353"/>
      <c r="AB468" s="354"/>
      <c r="AC468" s="324">
        <f>+INDEX('[5]Budget révisé'!$A$2:$AO$496,MATCH($A468,'[5]Budget révisé'!$A$2:$A$496,0),MATCH(I$2,'[5]Budget révisé'!$A$2:$AO$2,0))</f>
        <v>0</v>
      </c>
      <c r="AD468" s="355"/>
      <c r="AE468" s="354"/>
      <c r="AF468" s="291">
        <f>-SUMIFS([5]BV_Data_An_Cour!$O:$O,[5]BV_Data_An_Cour!$V:$V,$V468)</f>
        <v>11744.24</v>
      </c>
      <c r="AG468" s="356"/>
      <c r="AH468" s="293">
        <f t="shared" si="172"/>
        <v>11744.24</v>
      </c>
      <c r="AI468" s="348" t="e">
        <f t="shared" ref="AI468:AI478" si="174">IF(AH468=0,0,AH468/AC468)</f>
        <v>#DIV/0!</v>
      </c>
      <c r="AJ468" s="355"/>
      <c r="AK468" s="353"/>
      <c r="AL468" s="357">
        <f>-SUMIFS([5]BV_Data_An_Prec!$O:$O,[5]BV_Data_An_Prec!$V:$V,$V468)</f>
        <v>15660.62</v>
      </c>
      <c r="AM468" s="358"/>
      <c r="AN468" s="293">
        <f t="shared" si="173"/>
        <v>-3916.380000000001</v>
      </c>
      <c r="AO468" s="300">
        <f>IF(AL468=0,0,AN468/AL468)</f>
        <v>-0.25007822167960148</v>
      </c>
      <c r="AP468" s="257"/>
      <c r="AQ468" s="257"/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2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 t="shared" ref="Z469:Z479" si="175">+SUMIF($C:$C,$V469,F:F)</f>
        <v>72775.567500000005</v>
      </c>
      <c r="AA469" s="344"/>
      <c r="AB469" s="345"/>
      <c r="AC469" s="291">
        <f t="shared" ref="AC469:AC479" si="176">+SUMIF($C:$C,$V469,I:I)</f>
        <v>73926.169357707506</v>
      </c>
      <c r="AD469" s="359"/>
      <c r="AE469" s="345"/>
      <c r="AF469" s="291">
        <f t="shared" ref="AF469:AF479" si="177">+SUMIF($C:$C,$V469,L:L)</f>
        <v>64999</v>
      </c>
      <c r="AG469" s="360"/>
      <c r="AH469" s="293">
        <f t="shared" si="172"/>
        <v>-8927.1693577075057</v>
      </c>
      <c r="AI469" s="317">
        <f>IF(AC469=0,0,AH469/AC469)</f>
        <v>-0.12075790528941784</v>
      </c>
      <c r="AJ469" s="359"/>
      <c r="AK469" s="344"/>
      <c r="AL469" s="361">
        <f t="shared" ref="AL469:AL479" si="178">+SUMIF($C:$C,$V469,Q:Q)</f>
        <v>94042.75</v>
      </c>
      <c r="AM469" s="362"/>
      <c r="AN469" s="293">
        <f t="shared" si="173"/>
        <v>-29043.75</v>
      </c>
      <c r="AO469" s="300">
        <f>IF(AL469=0,0,AN469/AL469)</f>
        <v>-0.30883560933724291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25"/>
        <v>Programme neuf 1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200</v>
      </c>
      <c r="W470" s="290"/>
      <c r="X470" s="290"/>
      <c r="Y470" s="290"/>
      <c r="Z470" s="291">
        <f t="shared" si="175"/>
        <v>45357.637500000012</v>
      </c>
      <c r="AA470" s="344"/>
      <c r="AB470" s="345"/>
      <c r="AC470" s="291">
        <f t="shared" si="176"/>
        <v>7158.5199510629927</v>
      </c>
      <c r="AD470" s="359"/>
      <c r="AE470" s="345"/>
      <c r="AF470" s="291">
        <f t="shared" si="177"/>
        <v>0</v>
      </c>
      <c r="AG470" s="360"/>
      <c r="AH470" s="293">
        <f t="shared" si="172"/>
        <v>-7158.5199510629927</v>
      </c>
      <c r="AI470" s="317">
        <f t="shared" si="174"/>
        <v>-1</v>
      </c>
      <c r="AJ470" s="359"/>
      <c r="AK470" s="344"/>
      <c r="AL470" s="361">
        <f t="shared" si="178"/>
        <v>37398</v>
      </c>
      <c r="AM470" s="362"/>
      <c r="AN470" s="293">
        <f t="shared" si="173"/>
        <v>-37398</v>
      </c>
      <c r="AO470" s="300">
        <f t="shared" ref="AO470:AO479" si="179">IF(AL470=0,0,AN470/AL470)</f>
        <v>-1</v>
      </c>
      <c r="AP470" s="257"/>
      <c r="AQ470" s="257" t="s">
        <v>251</v>
      </c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25"/>
        <v>Programme neuf 2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197</v>
      </c>
      <c r="W471" s="290"/>
      <c r="X471" s="290"/>
      <c r="Y471" s="290"/>
      <c r="Z471" s="291">
        <f t="shared" si="175"/>
        <v>0</v>
      </c>
      <c r="AA471" s="344"/>
      <c r="AB471" s="345"/>
      <c r="AC471" s="291">
        <f t="shared" si="176"/>
        <v>0</v>
      </c>
      <c r="AD471" s="359"/>
      <c r="AE471" s="345"/>
      <c r="AF471" s="291">
        <f t="shared" si="177"/>
        <v>0</v>
      </c>
      <c r="AG471" s="360"/>
      <c r="AH471" s="293">
        <f t="shared" si="172"/>
        <v>0</v>
      </c>
      <c r="AI471" s="317">
        <f t="shared" si="174"/>
        <v>0</v>
      </c>
      <c r="AJ471" s="359"/>
      <c r="AK471" s="344"/>
      <c r="AL471" s="361">
        <f t="shared" si="178"/>
        <v>0</v>
      </c>
      <c r="AM471" s="362"/>
      <c r="AN471" s="293">
        <f t="shared" si="173"/>
        <v>0</v>
      </c>
      <c r="AO471" s="300">
        <f t="shared" si="179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2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 t="shared" si="175"/>
        <v>0</v>
      </c>
      <c r="AA472" s="344"/>
      <c r="AB472" s="345"/>
      <c r="AC472" s="291">
        <f t="shared" si="176"/>
        <v>0</v>
      </c>
      <c r="AD472" s="359"/>
      <c r="AE472" s="345"/>
      <c r="AF472" s="291">
        <f t="shared" si="177"/>
        <v>0</v>
      </c>
      <c r="AG472" s="360"/>
      <c r="AH472" s="293">
        <f t="shared" si="172"/>
        <v>0</v>
      </c>
      <c r="AI472" s="317">
        <f t="shared" si="174"/>
        <v>0</v>
      </c>
      <c r="AJ472" s="359"/>
      <c r="AK472" s="344"/>
      <c r="AL472" s="361">
        <f t="shared" si="178"/>
        <v>0</v>
      </c>
      <c r="AM472" s="362"/>
      <c r="AN472" s="293">
        <f t="shared" si="173"/>
        <v>0</v>
      </c>
      <c r="AO472" s="300">
        <f t="shared" si="179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25"/>
        <v>Programme used 1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216</v>
      </c>
      <c r="W473" s="290"/>
      <c r="X473" s="290"/>
      <c r="Y473" s="290"/>
      <c r="Z473" s="291">
        <f t="shared" si="175"/>
        <v>0</v>
      </c>
      <c r="AA473" s="344"/>
      <c r="AB473" s="345"/>
      <c r="AC473" s="291">
        <f t="shared" si="176"/>
        <v>0</v>
      </c>
      <c r="AD473" s="359"/>
      <c r="AE473" s="345"/>
      <c r="AF473" s="291">
        <f t="shared" si="177"/>
        <v>0</v>
      </c>
      <c r="AG473" s="360"/>
      <c r="AH473" s="293">
        <f t="shared" si="172"/>
        <v>0</v>
      </c>
      <c r="AI473" s="317">
        <f t="shared" si="174"/>
        <v>0</v>
      </c>
      <c r="AJ473" s="359"/>
      <c r="AK473" s="344"/>
      <c r="AL473" s="361">
        <f t="shared" si="178"/>
        <v>0</v>
      </c>
      <c r="AM473" s="362"/>
      <c r="AN473" s="293">
        <f t="shared" si="173"/>
        <v>0</v>
      </c>
      <c r="AO473" s="300">
        <f t="shared" si="179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2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 t="shared" si="175"/>
        <v>0</v>
      </c>
      <c r="AA474" s="344"/>
      <c r="AB474" s="345"/>
      <c r="AC474" s="291">
        <f t="shared" si="176"/>
        <v>0</v>
      </c>
      <c r="AD474" s="359"/>
      <c r="AE474" s="345"/>
      <c r="AF474" s="291">
        <f t="shared" si="177"/>
        <v>0</v>
      </c>
      <c r="AG474" s="360"/>
      <c r="AH474" s="293">
        <f t="shared" si="172"/>
        <v>0</v>
      </c>
      <c r="AI474" s="317">
        <f t="shared" si="174"/>
        <v>0</v>
      </c>
      <c r="AJ474" s="359"/>
      <c r="AK474" s="344"/>
      <c r="AL474" s="361">
        <f t="shared" si="178"/>
        <v>0</v>
      </c>
      <c r="AM474" s="362"/>
      <c r="AN474" s="293">
        <f t="shared" si="173"/>
        <v>0</v>
      </c>
      <c r="AO474" s="300">
        <f t="shared" si="179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2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 t="shared" si="175"/>
        <v>0</v>
      </c>
      <c r="AA475" s="344"/>
      <c r="AB475" s="345"/>
      <c r="AC475" s="291">
        <f t="shared" si="176"/>
        <v>0</v>
      </c>
      <c r="AD475" s="359"/>
      <c r="AE475" s="345"/>
      <c r="AF475" s="291">
        <f t="shared" si="177"/>
        <v>0</v>
      </c>
      <c r="AG475" s="360"/>
      <c r="AH475" s="293">
        <f t="shared" si="172"/>
        <v>0</v>
      </c>
      <c r="AI475" s="317">
        <f t="shared" si="174"/>
        <v>0</v>
      </c>
      <c r="AJ475" s="359"/>
      <c r="AK475" s="344"/>
      <c r="AL475" s="361">
        <f t="shared" si="178"/>
        <v>0</v>
      </c>
      <c r="AM475" s="362"/>
      <c r="AN475" s="293">
        <f t="shared" si="173"/>
        <v>0</v>
      </c>
      <c r="AO475" s="300">
        <f t="shared" si="179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hidden="1" customHeight="1">
      <c r="A476" t="str">
        <f t="shared" si="125"/>
        <v>[...]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21</v>
      </c>
      <c r="W476" s="290"/>
      <c r="X476" s="290"/>
      <c r="Y476" s="290"/>
      <c r="Z476" s="291">
        <f t="shared" si="175"/>
        <v>0</v>
      </c>
      <c r="AA476" s="344"/>
      <c r="AB476" s="345"/>
      <c r="AC476" s="291">
        <f t="shared" si="176"/>
        <v>0</v>
      </c>
      <c r="AD476" s="359"/>
      <c r="AE476" s="345"/>
      <c r="AF476" s="291">
        <f t="shared" si="177"/>
        <v>0</v>
      </c>
      <c r="AG476" s="360"/>
      <c r="AH476" s="293">
        <f t="shared" si="172"/>
        <v>0</v>
      </c>
      <c r="AI476" s="317">
        <f t="shared" si="174"/>
        <v>0</v>
      </c>
      <c r="AJ476" s="359"/>
      <c r="AK476" s="344"/>
      <c r="AL476" s="361">
        <f t="shared" si="178"/>
        <v>0</v>
      </c>
      <c r="AM476" s="362"/>
      <c r="AN476" s="293">
        <f t="shared" si="173"/>
        <v>0</v>
      </c>
      <c r="AO476" s="300">
        <f t="shared" si="179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2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 t="shared" si="175"/>
        <v>0</v>
      </c>
      <c r="AA477" s="344"/>
      <c r="AB477" s="345"/>
      <c r="AC477" s="291">
        <f t="shared" si="176"/>
        <v>0</v>
      </c>
      <c r="AD477" s="359"/>
      <c r="AE477" s="345"/>
      <c r="AF477" s="291">
        <f t="shared" si="177"/>
        <v>0</v>
      </c>
      <c r="AG477" s="360"/>
      <c r="AH477" s="293">
        <f t="shared" si="172"/>
        <v>0</v>
      </c>
      <c r="AI477" s="317">
        <f t="shared" si="174"/>
        <v>0</v>
      </c>
      <c r="AJ477" s="359"/>
      <c r="AK477" s="344"/>
      <c r="AL477" s="361">
        <f t="shared" si="178"/>
        <v>0</v>
      </c>
      <c r="AM477" s="362"/>
      <c r="AN477" s="293">
        <f t="shared" si="173"/>
        <v>0</v>
      </c>
      <c r="AO477" s="300">
        <f t="shared" si="179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2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 t="shared" si="175"/>
        <v>0</v>
      </c>
      <c r="AA478" s="344"/>
      <c r="AB478" s="345"/>
      <c r="AC478" s="291">
        <f t="shared" si="176"/>
        <v>0</v>
      </c>
      <c r="AD478" s="359"/>
      <c r="AE478" s="345"/>
      <c r="AF478" s="291">
        <f t="shared" si="177"/>
        <v>0</v>
      </c>
      <c r="AG478" s="360"/>
      <c r="AH478" s="293">
        <f t="shared" si="172"/>
        <v>0</v>
      </c>
      <c r="AI478" s="317">
        <f t="shared" si="174"/>
        <v>0</v>
      </c>
      <c r="AJ478" s="359"/>
      <c r="AK478" s="344"/>
      <c r="AL478" s="361">
        <f t="shared" si="178"/>
        <v>0</v>
      </c>
      <c r="AM478" s="362"/>
      <c r="AN478" s="293">
        <f t="shared" si="173"/>
        <v>0</v>
      </c>
      <c r="AO478" s="300">
        <f t="shared" si="179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2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 t="shared" si="175"/>
        <v>32155.184060439959</v>
      </c>
      <c r="AA479" s="344"/>
      <c r="AB479" s="345"/>
      <c r="AC479" s="291">
        <f t="shared" si="176"/>
        <v>32155.184060439962</v>
      </c>
      <c r="AD479" s="359"/>
      <c r="AE479" s="345"/>
      <c r="AF479" s="291">
        <f t="shared" si="177"/>
        <v>32672</v>
      </c>
      <c r="AG479" s="360"/>
      <c r="AH479" s="293">
        <f t="shared" si="172"/>
        <v>516.8159395600378</v>
      </c>
      <c r="AI479" s="317">
        <f>IF(AH479=0,0,AH479/AC479)</f>
        <v>1.6072554229159854E-2</v>
      </c>
      <c r="AJ479" s="359"/>
      <c r="AK479" s="344"/>
      <c r="AL479" s="361">
        <f t="shared" si="178"/>
        <v>31057</v>
      </c>
      <c r="AM479" s="362"/>
      <c r="AN479" s="293">
        <f t="shared" si="173"/>
        <v>1615</v>
      </c>
      <c r="AO479" s="300">
        <f t="shared" si="179"/>
        <v>5.2001159158965769E-2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2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0.27532960431391068</v>
      </c>
      <c r="Y480" s="341"/>
      <c r="Z480" s="310">
        <f>SUM(Z468:Z479)</f>
        <v>150288.38906043998</v>
      </c>
      <c r="AA480" s="309">
        <f>AC480/+AC406</f>
        <v>0.19719726512643559</v>
      </c>
      <c r="AB480" s="341"/>
      <c r="AC480" s="310">
        <f>SUM(AC468:AC479)</f>
        <v>113239.87336921046</v>
      </c>
      <c r="AD480" s="309">
        <f>AF480/+AF406</f>
        <v>0.17071784218238512</v>
      </c>
      <c r="AE480" s="341"/>
      <c r="AF480" s="310">
        <f>SUM(AF468:AF479)</f>
        <v>109415.24</v>
      </c>
      <c r="AG480" s="319"/>
      <c r="AH480" s="313">
        <f t="shared" si="172"/>
        <v>-3824.6333692104527</v>
      </c>
      <c r="AI480" s="309">
        <f>AH480/AC480</f>
        <v>-3.3774617150449389E-2</v>
      </c>
      <c r="AJ480" s="363"/>
      <c r="AK480" s="364"/>
      <c r="AL480" s="310">
        <f>SUM(AL468:AL479)</f>
        <v>178158.37</v>
      </c>
      <c r="AM480" s="365"/>
      <c r="AN480" s="313">
        <f t="shared" si="173"/>
        <v>-68743.12999999999</v>
      </c>
      <c r="AO480" s="343">
        <f>IF(AL480=0,0,AN480/AL480)</f>
        <v>-0.38585405782506876</v>
      </c>
      <c r="AP480" s="257"/>
      <c r="AQ480" s="257"/>
      <c r="AR480" s="257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2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/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73"/>
        <v>0</v>
      </c>
      <c r="AO481" s="379">
        <f t="shared" ref="AO481" si="180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2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5.2920600726871769E-2</v>
      </c>
      <c r="Z482" s="384">
        <f>Z406-Z467+Z480</f>
        <v>130720.25126673651</v>
      </c>
      <c r="AA482" s="382" t="s">
        <v>187</v>
      </c>
      <c r="AB482" s="383">
        <f>AC482/AC405</f>
        <v>4.9072933523731641E-2</v>
      </c>
      <c r="AC482" s="384">
        <f>AC406-AC467+AC480</f>
        <v>121216.05031895958</v>
      </c>
      <c r="AD482" s="382" t="s">
        <v>187</v>
      </c>
      <c r="AE482" s="383">
        <f>AF482/AF405</f>
        <v>3.8062517877627072E-2</v>
      </c>
      <c r="AF482" s="385">
        <f>AF406-AF467+AF480</f>
        <v>194923.30999999994</v>
      </c>
      <c r="AG482" s="386"/>
      <c r="AH482" s="386">
        <f>AF482-AC482</f>
        <v>73707.259681040363</v>
      </c>
      <c r="AI482" s="387">
        <f>AH482/AC482</f>
        <v>0.60806518185580338</v>
      </c>
      <c r="AJ482" s="388" t="s">
        <v>187</v>
      </c>
      <c r="AK482" s="383">
        <f>IF($AL$405=0,0,AL482/$AL$405)</f>
        <v>2.4966641765491751E-2</v>
      </c>
      <c r="AL482" s="385">
        <f>AL406-AL467+AL480</f>
        <v>114960.78000000038</v>
      </c>
      <c r="AM482" s="389"/>
      <c r="AN482" s="385">
        <f t="shared" si="173"/>
        <v>79962.529999999562</v>
      </c>
      <c r="AO482" s="390">
        <f>IF(AL482=0,0,AN482/AL482)</f>
        <v>0.69556356524372309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2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81">+U484&amp;V484</f>
        <v>Volks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>Réalisé, Avril 2021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81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81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81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81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5.2920600726871769E-2</v>
      </c>
      <c r="Z488" s="396">
        <f>Z482</f>
        <v>130720.25126673651</v>
      </c>
      <c r="AA488" s="394" t="s">
        <v>187</v>
      </c>
      <c r="AB488" s="395">
        <f>AC488/AC405</f>
        <v>4.9072933523731641E-2</v>
      </c>
      <c r="AC488" s="396">
        <f>AC482</f>
        <v>121216.05031895958</v>
      </c>
      <c r="AD488" s="394" t="s">
        <v>187</v>
      </c>
      <c r="AE488" s="395">
        <f>AF488/AF405</f>
        <v>3.8062517877627072E-2</v>
      </c>
      <c r="AF488" s="396">
        <f>AF482</f>
        <v>194923.30999999994</v>
      </c>
      <c r="AG488" s="397"/>
      <c r="AH488" s="386">
        <f>AF488-AC488</f>
        <v>73707.259681040363</v>
      </c>
      <c r="AI488" s="387">
        <f>AH488/AC488</f>
        <v>0.60806518185580338</v>
      </c>
      <c r="AJ488" s="394" t="s">
        <v>187</v>
      </c>
      <c r="AK488" s="395">
        <f>IF($AL$405=0,0,AL488/$AL$405)</f>
        <v>2.4966641765491751E-2</v>
      </c>
      <c r="AL488" s="398">
        <f>AL482</f>
        <v>114960.78000000038</v>
      </c>
      <c r="AM488" s="399"/>
      <c r="AN488" s="400">
        <f>AF488-AL488</f>
        <v>79962.529999999562</v>
      </c>
      <c r="AO488" s="401">
        <f>IF(AL488=0,0,AN488/AL488)</f>
        <v>0.69556356524372309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81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/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81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+INDEX('[5]Budget original'!$A$2:$AO$496,MATCH($A490,'[5]Budget original'!$A$2:$A$496,0),MATCH(F$2,'[5]Budget original'!$A$2:$AO$2,0))</f>
        <v>9167</v>
      </c>
      <c r="AA490" s="290"/>
      <c r="AB490" s="298"/>
      <c r="AC490" s="291">
        <f>+INDEX('[5]Budget révisé'!$A$2:$AO$496,MATCH($A490,'[5]Budget révisé'!$A$2:$A$496,0),MATCH(I$2,'[5]Budget révisé'!$A$2:$AO$2,0))</f>
        <v>9167</v>
      </c>
      <c r="AD490" s="290"/>
      <c r="AE490" s="298"/>
      <c r="AF490" s="291">
        <f>SUMIFS([5]BV_Data_An_Cour!$O:$O,[5]BV_Data_An_Cour!$V:$V,$V490)</f>
        <v>9167</v>
      </c>
      <c r="AG490" s="290"/>
      <c r="AH490" s="293">
        <f t="shared" ref="AH490:AH496" si="182">AF490-AC490</f>
        <v>0</v>
      </c>
      <c r="AI490" s="317">
        <f>IF(AC490=0,0,AH490/AC490)</f>
        <v>0</v>
      </c>
      <c r="AJ490" s="290"/>
      <c r="AK490" s="290"/>
      <c r="AL490" s="291">
        <f>SUMIFS([5]BV_Data_An_Prec!$O:$O,[5]BV_Data_An_Prec!$V:$V,$V490)</f>
        <v>9000</v>
      </c>
      <c r="AM490" s="295"/>
      <c r="AN490" s="293">
        <f t="shared" ref="AN490:AN496" si="183">AF490-AL490</f>
        <v>167</v>
      </c>
      <c r="AO490" s="300">
        <f>IF(AL490=0,0,AN490/AL490)</f>
        <v>1.8555555555555554E-2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81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+INDEX('[5]Budget original'!$A$2:$AO$496,MATCH($A491,'[5]Budget original'!$A$2:$A$496,0),MATCH(F$2,'[5]Budget original'!$A$2:$AO$2,0))</f>
        <v>456.25</v>
      </c>
      <c r="AA491" s="11"/>
      <c r="AB491" s="11"/>
      <c r="AC491" s="291">
        <f>+INDEX('[5]Budget révisé'!$A$2:$AO$496,MATCH($A491,'[5]Budget révisé'!$A$2:$A$496,0),MATCH(I$2,'[5]Budget révisé'!$A$2:$AO$2,0))</f>
        <v>456.25</v>
      </c>
      <c r="AD491" s="11"/>
      <c r="AE491" s="14"/>
      <c r="AF491" s="291">
        <f>SUMIFS([5]BV_Data_An_Cour!$O:$O,[5]BV_Data_An_Cour!$V:$V,$V491)</f>
        <v>-2045.53</v>
      </c>
      <c r="AG491" s="11"/>
      <c r="AH491" s="293">
        <f t="shared" si="182"/>
        <v>-2501.7799999999997</v>
      </c>
      <c r="AI491" s="317">
        <f t="shared" ref="AI491:AI496" si="184">IF(AC491=0,0,AH491/AC491)</f>
        <v>-5.4833534246575333</v>
      </c>
      <c r="AJ491" s="11"/>
      <c r="AK491" s="11"/>
      <c r="AL491" s="291">
        <f>SUMIFS([5]BV_Data_An_Prec!$O:$O,[5]BV_Data_An_Prec!$V:$V,$V491)</f>
        <v>0</v>
      </c>
      <c r="AM491" s="408"/>
      <c r="AN491" s="293">
        <f t="shared" si="183"/>
        <v>-2045.53</v>
      </c>
      <c r="AO491" s="300">
        <f t="shared" ref="AO491:AO496" si="185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81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+INDEX('[5]Budget original'!$A$2:$AO$496,MATCH($A492,'[5]Budget original'!$A$2:$A$496,0),MATCH(F$2,'[5]Budget original'!$A$2:$AO$2,0))</f>
        <v>577.32435191616423</v>
      </c>
      <c r="AA492" s="11"/>
      <c r="AB492" s="11"/>
      <c r="AC492" s="291">
        <f>+INDEX('[5]Budget révisé'!$A$2:$AO$496,MATCH($A492,'[5]Budget révisé'!$A$2:$A$496,0),MATCH(I$2,'[5]Budget révisé'!$A$2:$AO$2,0))</f>
        <v>577.32435191616423</v>
      </c>
      <c r="AD492" s="11"/>
      <c r="AE492" s="14"/>
      <c r="AF492" s="291">
        <f>SUMIFS([5]BV_Data_An_Cour!$O:$O,[5]BV_Data_An_Cour!$V:$V,$V492)</f>
        <v>570.58999999999992</v>
      </c>
      <c r="AG492" s="11"/>
      <c r="AH492" s="293">
        <f t="shared" si="182"/>
        <v>-6.7343519161643144</v>
      </c>
      <c r="AI492" s="317">
        <f t="shared" si="184"/>
        <v>-1.1664763306471851E-2</v>
      </c>
      <c r="AJ492" s="11"/>
      <c r="AK492" s="11"/>
      <c r="AL492" s="291">
        <f>SUMIFS([5]BV_Data_An_Prec!$O:$O,[5]BV_Data_An_Prec!$V:$V,$V492)</f>
        <v>3043.85</v>
      </c>
      <c r="AM492" s="408"/>
      <c r="AN492" s="293">
        <f t="shared" si="183"/>
        <v>-2473.2600000000002</v>
      </c>
      <c r="AO492" s="300">
        <f t="shared" si="185"/>
        <v>-0.8125433250652957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 thickBot="1">
      <c r="A493" t="str">
        <f t="shared" si="181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+INDEX('[5]Budget original'!$A$2:$AO$496,MATCH($A493,'[5]Budget original'!$A$2:$A$496,0),MATCH(F$2,'[5]Budget original'!$A$2:$AO$2,0))</f>
        <v>0</v>
      </c>
      <c r="AA493" s="11"/>
      <c r="AB493" s="11"/>
      <c r="AC493" s="291">
        <f>+INDEX('[5]Budget révisé'!$A$2:$AO$496,MATCH($A493,'[5]Budget révisé'!$A$2:$A$496,0),MATCH(I$2,'[5]Budget révisé'!$A$2:$AO$2,0))</f>
        <v>0</v>
      </c>
      <c r="AD493" s="11"/>
      <c r="AE493" s="14"/>
      <c r="AF493" s="291">
        <f>SUMIFS([5]BV_Data_An_Cour!$O:$O,[5]BV_Data_An_Cour!$V:$V,$V493)</f>
        <v>0</v>
      </c>
      <c r="AG493" s="11"/>
      <c r="AH493" s="293">
        <f t="shared" si="182"/>
        <v>0</v>
      </c>
      <c r="AI493" s="317">
        <f t="shared" si="184"/>
        <v>0</v>
      </c>
      <c r="AJ493" s="11"/>
      <c r="AK493" s="11"/>
      <c r="AL493" s="291">
        <f>SUMIFS([5]BV_Data_An_Prec!$O:$O,[5]BV_Data_An_Prec!$V:$V,$V493)</f>
        <v>0</v>
      </c>
      <c r="AM493" s="408"/>
      <c r="AN493" s="293">
        <f t="shared" si="183"/>
        <v>0</v>
      </c>
      <c r="AO493" s="300">
        <f t="shared" si="185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hidden="1" customHeight="1" thickBot="1">
      <c r="A494" t="str">
        <f t="shared" si="181"/>
        <v>[...]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21</v>
      </c>
      <c r="W494" s="14"/>
      <c r="X494" s="14"/>
      <c r="Y494" s="14"/>
      <c r="Z494" s="291">
        <f>+INDEX('[5]Budget original'!$A$2:$AO$496,MATCH($A494,'[5]Budget original'!$A$2:$A$496,0),MATCH(F$2,'[5]Budget original'!$A$2:$AO$2,0))</f>
        <v>0</v>
      </c>
      <c r="AA494" s="11"/>
      <c r="AB494" s="11"/>
      <c r="AC494" s="291">
        <f>+INDEX('[5]Budget révisé'!$A$2:$AO$496,MATCH($A494,'[5]Budget révisé'!$A$2:$A$496,0),MATCH(I$2,'[5]Budget révisé'!$A$2:$AO$2,0))</f>
        <v>0</v>
      </c>
      <c r="AD494" s="11"/>
      <c r="AE494" s="14"/>
      <c r="AF494" s="291">
        <f>SUMIFS([5]BV_Data_An_Cour!$O:$O,[5]BV_Data_An_Cour!$V:$V,$V494)</f>
        <v>0</v>
      </c>
      <c r="AG494" s="11"/>
      <c r="AH494" s="293">
        <f t="shared" si="182"/>
        <v>0</v>
      </c>
      <c r="AI494" s="317">
        <f t="shared" si="184"/>
        <v>0</v>
      </c>
      <c r="AJ494" s="11"/>
      <c r="AK494" s="11"/>
      <c r="AL494" s="291">
        <f>SUMIFS([5]BV_Data_An_Prec!$O:$O,[5]BV_Data_An_Prec!$V:$V,$V494)</f>
        <v>0</v>
      </c>
      <c r="AM494" s="408"/>
      <c r="AN494" s="293">
        <f t="shared" si="183"/>
        <v>0</v>
      </c>
      <c r="AO494" s="300">
        <f t="shared" si="185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 thickTop="1" thickBot="1">
      <c r="A495" t="str">
        <f t="shared" si="181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>+INDEX('[5]Budget original'!$A$2:$AO$496,MATCH($A495,'[5]Budget original'!$A$2:$A$496,0),MATCH(F$2,'[5]Budget original'!$A$2:$AO$2,0))</f>
        <v>0</v>
      </c>
      <c r="AA495" s="11"/>
      <c r="AB495" s="11"/>
      <c r="AC495" s="291">
        <f>+INDEX('[5]Budget révisé'!$A$2:$AO$496,MATCH($A495,'[5]Budget révisé'!$A$2:$A$496,0),MATCH(I$2,'[5]Budget révisé'!$A$2:$AO$2,0))</f>
        <v>0</v>
      </c>
      <c r="AD495" s="11"/>
      <c r="AE495" s="14"/>
      <c r="AF495" s="291">
        <f>SUMIFS([5]BV_Data_An_Cour!$O:$O,[5]BV_Data_An_Cour!$V:$V,$V495)</f>
        <v>0</v>
      </c>
      <c r="AG495" s="11"/>
      <c r="AH495" s="293">
        <f t="shared" si="182"/>
        <v>0</v>
      </c>
      <c r="AI495" s="317">
        <f t="shared" si="184"/>
        <v>0</v>
      </c>
      <c r="AJ495" s="11"/>
      <c r="AK495" s="11"/>
      <c r="AL495" s="291">
        <f>SUMIFS([5]BV_Data_An_Prec!$O:$O,[5]BV_Data_An_Prec!$V:$V,$V495)</f>
        <v>0</v>
      </c>
      <c r="AM495" s="408"/>
      <c r="AN495" s="293">
        <f t="shared" si="183"/>
        <v>0</v>
      </c>
      <c r="AO495" s="300">
        <f t="shared" si="185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 thickTop="1" thickBot="1">
      <c r="A496" t="str">
        <f t="shared" si="181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>+INDEX('[5]Budget original'!$A$2:$AO$496,MATCH($A496,'[5]Budget original'!$A$2:$A$496,0),MATCH(F$2,'[5]Budget original'!$A$2:$AO$2,0))</f>
        <v>0</v>
      </c>
      <c r="AA496" s="11"/>
      <c r="AB496" s="11"/>
      <c r="AC496" s="291">
        <f>+INDEX('[5]Budget révisé'!$A$2:$AO$496,MATCH($A496,'[5]Budget révisé'!$A$2:$A$496,0),MATCH(I$2,'[5]Budget révisé'!$A$2:$AO$2,0))</f>
        <v>0</v>
      </c>
      <c r="AD496" s="11"/>
      <c r="AE496" s="14"/>
      <c r="AF496" s="291">
        <f>SUMIFS([5]BV_Data_An_Cour!$O:$O,[5]BV_Data_An_Cour!$V:$V,$V496)</f>
        <v>0</v>
      </c>
      <c r="AG496" s="11"/>
      <c r="AH496" s="293">
        <f t="shared" si="182"/>
        <v>0</v>
      </c>
      <c r="AI496" s="317">
        <f t="shared" si="184"/>
        <v>0</v>
      </c>
      <c r="AJ496" s="11"/>
      <c r="AK496" s="11"/>
      <c r="AL496" s="291">
        <f>SUMIFS([5]BV_Data_An_Prec!$O:$O,[5]BV_Data_An_Prec!$V:$V,$V496)</f>
        <v>0</v>
      </c>
      <c r="AM496" s="408"/>
      <c r="AN496" s="293">
        <f t="shared" si="183"/>
        <v>0</v>
      </c>
      <c r="AO496" s="300">
        <f t="shared" si="185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81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4.8791014704572803E-2</v>
      </c>
      <c r="Z497" s="384">
        <f>Z488-Z490-Z491-Z492-Z496</f>
        <v>120519.67691482035</v>
      </c>
      <c r="AA497" s="382" t="s">
        <v>187</v>
      </c>
      <c r="AB497" s="383">
        <f>AC497/AC405</f>
        <v>4.4943347501432675E-2</v>
      </c>
      <c r="AC497" s="384">
        <f>AC488-AC490-AC491-AC492-AC496</f>
        <v>111015.47596704341</v>
      </c>
      <c r="AD497" s="382" t="s">
        <v>187</v>
      </c>
      <c r="AE497" s="383">
        <f>AF497/AF405</f>
        <v>3.6560495511673098E-2</v>
      </c>
      <c r="AF497" s="385">
        <f>AF488-AF490-AF491-AF492-AF496</f>
        <v>187231.24999999994</v>
      </c>
      <c r="AG497" s="386"/>
      <c r="AH497" s="386">
        <f>AF497-AC497</f>
        <v>76215.774032956528</v>
      </c>
      <c r="AI497" s="387">
        <f>AH497/AC497</f>
        <v>0.68653287633142523</v>
      </c>
      <c r="AJ497" s="388" t="s">
        <v>187</v>
      </c>
      <c r="AK497" s="383">
        <f>IF($AL$405=0,0,AL497/$AL$405)</f>
        <v>2.2351015041079156E-2</v>
      </c>
      <c r="AL497" s="385">
        <f>AL488-AL490-AL491-AL492-AL496</f>
        <v>102916.93000000037</v>
      </c>
      <c r="AM497" s="389"/>
      <c r="AN497" s="385">
        <f>AF497-AL497</f>
        <v>84314.31999999957</v>
      </c>
      <c r="AO497" s="409">
        <f>IF(AL497=0,0,AN497/AL497)</f>
        <v>0.81924635723198569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81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>
        <v>120520</v>
      </c>
      <c r="AA500" s="257"/>
      <c r="AB500" s="257"/>
      <c r="AC500" s="257">
        <v>111015</v>
      </c>
      <c r="AD500" s="257"/>
      <c r="AE500" s="257"/>
      <c r="AF500" s="504">
        <v>187231.25</v>
      </c>
      <c r="AG500" s="257"/>
      <c r="AH500" s="257"/>
      <c r="AI500" s="257"/>
      <c r="AJ500" s="257"/>
      <c r="AK500" s="257"/>
      <c r="AL500" s="257">
        <v>102916.93</v>
      </c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>
        <f>Z497-Z500</f>
        <v>-0.32308517965429928</v>
      </c>
      <c r="AA501" s="257"/>
      <c r="AB501" s="257"/>
      <c r="AC501" s="321">
        <f>AC497-AC500</f>
        <v>0.47596704341412988</v>
      </c>
      <c r="AD501" s="257"/>
      <c r="AE501" s="257"/>
      <c r="AF501" s="412">
        <f>AF497-AF500</f>
        <v>0</v>
      </c>
      <c r="AG501" s="257"/>
      <c r="AH501" s="257"/>
      <c r="AI501" s="257"/>
      <c r="AJ501" s="257"/>
      <c r="AK501" s="257"/>
      <c r="AL501" s="412">
        <f>AL497-AL500</f>
        <v>3.7834979593753815E-10</v>
      </c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  <c r="AJ505" s="257"/>
      <c r="AK505" s="257"/>
      <c r="AL505" s="257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X403:Z403"/>
    <mergeCell ref="AA403:AC403"/>
    <mergeCell ref="AD403:AF403"/>
    <mergeCell ref="AG403:AI403"/>
    <mergeCell ref="AJ403:AL403"/>
    <mergeCell ref="AM403:AO403"/>
    <mergeCell ref="R357:S357"/>
    <mergeCell ref="D292:F292"/>
    <mergeCell ref="G292:I292"/>
    <mergeCell ref="J292:L292"/>
    <mergeCell ref="M292:N292"/>
    <mergeCell ref="O292:Q292"/>
    <mergeCell ref="R292:S292"/>
    <mergeCell ref="D357:F357"/>
    <mergeCell ref="G357:I357"/>
    <mergeCell ref="J357:L357"/>
    <mergeCell ref="M357:N357"/>
    <mergeCell ref="O357:Q357"/>
    <mergeCell ref="R237:S237"/>
    <mergeCell ref="D169:F169"/>
    <mergeCell ref="G169:I169"/>
    <mergeCell ref="J169:L169"/>
    <mergeCell ref="M169:N169"/>
    <mergeCell ref="O169:Q169"/>
    <mergeCell ref="R169:S169"/>
    <mergeCell ref="D237:F237"/>
    <mergeCell ref="G237:I237"/>
    <mergeCell ref="J237:L237"/>
    <mergeCell ref="M237:N237"/>
    <mergeCell ref="O237:Q237"/>
    <mergeCell ref="R91:S91"/>
    <mergeCell ref="D3:F3"/>
    <mergeCell ref="G3:I3"/>
    <mergeCell ref="J3:L3"/>
    <mergeCell ref="M3:N3"/>
    <mergeCell ref="O3:Q3"/>
    <mergeCell ref="R3:S3"/>
    <mergeCell ref="D91:F91"/>
    <mergeCell ref="G91:I91"/>
    <mergeCell ref="J91:L91"/>
    <mergeCell ref="M91:N91"/>
    <mergeCell ref="O91:Q91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051" priority="319" stopIfTrue="1">
      <formula>"esterreur(reference)"</formula>
    </cfRule>
  </conditionalFormatting>
  <conditionalFormatting sqref="M95:M96">
    <cfRule type="expression" dxfId="1050" priority="320" stopIfTrue="1">
      <formula>"esterreur(reference)"</formula>
    </cfRule>
  </conditionalFormatting>
  <conditionalFormatting sqref="H275:H280 J275:K280">
    <cfRule type="expression" dxfId="1049" priority="321" stopIfTrue="1">
      <formula>"esterreur(reference)"</formula>
    </cfRule>
  </conditionalFormatting>
  <conditionalFormatting sqref="H219:H224 J219:K224">
    <cfRule type="expression" dxfId="1048" priority="322" stopIfTrue="1">
      <formula>"esterreur(reference)"</formula>
    </cfRule>
  </conditionalFormatting>
  <conditionalFormatting sqref="H141:H147 J141:K147">
    <cfRule type="expression" dxfId="1047" priority="323" stopIfTrue="1">
      <formula>"esterreur(reference)"</formula>
    </cfRule>
  </conditionalFormatting>
  <conditionalFormatting sqref="H137:H139 J137:K139">
    <cfRule type="expression" dxfId="1046" priority="324" stopIfTrue="1">
      <formula>"esterreur(reference)"</formula>
    </cfRule>
  </conditionalFormatting>
  <conditionalFormatting sqref="H140 J140:K140">
    <cfRule type="expression" dxfId="1045" priority="325" stopIfTrue="1">
      <formula>"esterreur(reference)"</formula>
    </cfRule>
  </conditionalFormatting>
  <conditionalFormatting sqref="L82">
    <cfRule type="expression" dxfId="1044" priority="299" stopIfTrue="1">
      <formula>"esterreur(reference)"</formula>
    </cfRule>
  </conditionalFormatting>
  <conditionalFormatting sqref="M311">
    <cfRule type="expression" dxfId="1043" priority="326" stopIfTrue="1">
      <formula>"esterreur(reference)"</formula>
    </cfRule>
  </conditionalFormatting>
  <conditionalFormatting sqref="R311">
    <cfRule type="expression" dxfId="1042" priority="32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1041" priority="328" operator="greaterThan">
      <formula>0</formula>
    </cfRule>
  </conditionalFormatting>
  <conditionalFormatting sqref="AH468:AI479">
    <cfRule type="cellIs" dxfId="1040" priority="329" operator="lessThan">
      <formula>0</formula>
    </cfRule>
  </conditionalFormatting>
  <conditionalFormatting sqref="AH491:AH496">
    <cfRule type="cellIs" dxfId="1039" priority="330" operator="greaterThan">
      <formula>0</formula>
    </cfRule>
  </conditionalFormatting>
  <conditionalFormatting sqref="J281:K283">
    <cfRule type="expression" dxfId="1038" priority="331" stopIfTrue="1">
      <formula>"esterreur(reference)"</formula>
    </cfRule>
  </conditionalFormatting>
  <conditionalFormatting sqref="K356 J356:J357 H356:I356 L355:L356 H358:L358">
    <cfRule type="expression" dxfId="1037" priority="332" stopIfTrue="1">
      <formula>"esterreur(reference)"</formula>
    </cfRule>
  </conditionalFormatting>
  <conditionalFormatting sqref="H396">
    <cfRule type="expression" dxfId="1036" priority="333" stopIfTrue="1">
      <formula>"esterreur(reference)"</formula>
    </cfRule>
  </conditionalFormatting>
  <conditionalFormatting sqref="I376:L376 H377:H392 J377:K392">
    <cfRule type="expression" dxfId="1035" priority="334" stopIfTrue="1">
      <formula>"esterreur(reference)"</formula>
    </cfRule>
  </conditionalFormatting>
  <conditionalFormatting sqref="H397:L398 I396:L396 H395:L395 H393:H394 J393:K393">
    <cfRule type="expression" dxfId="1034" priority="335" stopIfTrue="1">
      <formula>"esterreur(reference)"</formula>
    </cfRule>
  </conditionalFormatting>
  <conditionalFormatting sqref="H360:L362 H359 K359">
    <cfRule type="expression" dxfId="1033" priority="336" stopIfTrue="1">
      <formula>"esterreur(reference)"</formula>
    </cfRule>
  </conditionalFormatting>
  <conditionalFormatting sqref="K394">
    <cfRule type="expression" dxfId="1032" priority="337" stopIfTrue="1">
      <formula>"esterreur(reference)"</formula>
    </cfRule>
  </conditionalFormatting>
  <conditionalFormatting sqref="H316:L316">
    <cfRule type="expression" dxfId="1031" priority="338" stopIfTrue="1">
      <formula>"esterreur(reference)"</formula>
    </cfRule>
  </conditionalFormatting>
  <conditionalFormatting sqref="H196:L196">
    <cfRule type="expression" dxfId="1030" priority="339" stopIfTrue="1">
      <formula>"esterreur(reference)"</formula>
    </cfRule>
  </conditionalFormatting>
  <conditionalFormatting sqref="H55:H56 J55:K56 H71 J71:K71">
    <cfRule type="expression" dxfId="1029" priority="340" stopIfTrue="1">
      <formula>"esterreur(reference)"</formula>
    </cfRule>
  </conditionalFormatting>
  <conditionalFormatting sqref="J61:K70 H61:H70">
    <cfRule type="expression" dxfId="1028" priority="341" stopIfTrue="1">
      <formula>"esterreur(reference)"</formula>
    </cfRule>
  </conditionalFormatting>
  <conditionalFormatting sqref="H57:H59 J57:K59">
    <cfRule type="expression" dxfId="1027" priority="342" stopIfTrue="1">
      <formula>"esterreur(reference)"</formula>
    </cfRule>
  </conditionalFormatting>
  <conditionalFormatting sqref="H60 J60:K60">
    <cfRule type="expression" dxfId="1026" priority="343" stopIfTrue="1">
      <formula>"esterreur(reference)"</formula>
    </cfRule>
  </conditionalFormatting>
  <conditionalFormatting sqref="L19 L21:L23">
    <cfRule type="expression" dxfId="1025" priority="317" stopIfTrue="1">
      <formula>"esterreur(reference)"</formula>
    </cfRule>
  </conditionalFormatting>
  <conditionalFormatting sqref="K98">
    <cfRule type="expression" dxfId="1024" priority="344" stopIfTrue="1">
      <formula>"esterreur(reference)"</formula>
    </cfRule>
  </conditionalFormatting>
  <conditionalFormatting sqref="L331:L347">
    <cfRule type="expression" dxfId="1023" priority="213" stopIfTrue="1">
      <formula>"esterreur(reference)"</formula>
    </cfRule>
  </conditionalFormatting>
  <conditionalFormatting sqref="L16:L17">
    <cfRule type="expression" dxfId="1022" priority="318" stopIfTrue="1">
      <formula>"esterreur(reference)"</formula>
    </cfRule>
  </conditionalFormatting>
  <conditionalFormatting sqref="L20">
    <cfRule type="expression" dxfId="1021" priority="316" stopIfTrue="1">
      <formula>"esterreur(reference)"</formula>
    </cfRule>
  </conditionalFormatting>
  <conditionalFormatting sqref="L325">
    <cfRule type="expression" dxfId="1020" priority="217" stopIfTrue="1">
      <formula>"esterreur(reference)"</formula>
    </cfRule>
  </conditionalFormatting>
  <conditionalFormatting sqref="L326">
    <cfRule type="expression" dxfId="1019" priority="216" stopIfTrue="1">
      <formula>"esterreur(reference)"</formula>
    </cfRule>
  </conditionalFormatting>
  <conditionalFormatting sqref="L327">
    <cfRule type="expression" dxfId="1018" priority="215" stopIfTrue="1">
      <formula>"esterreur(reference)"</formula>
    </cfRule>
  </conditionalFormatting>
  <conditionalFormatting sqref="L328">
    <cfRule type="expression" dxfId="1017" priority="214" stopIfTrue="1">
      <formula>"esterreur(reference)"</formula>
    </cfRule>
  </conditionalFormatting>
  <conditionalFormatting sqref="L42">
    <cfRule type="expression" dxfId="1016" priority="315" stopIfTrue="1">
      <formula>"esterreur(reference)"</formula>
    </cfRule>
  </conditionalFormatting>
  <conditionalFormatting sqref="L43">
    <cfRule type="expression" dxfId="1015" priority="314" stopIfTrue="1">
      <formula>"esterreur(reference)"</formula>
    </cfRule>
  </conditionalFormatting>
  <conditionalFormatting sqref="L44">
    <cfRule type="expression" dxfId="1014" priority="313" stopIfTrue="1">
      <formula>"esterreur(reference)"</formula>
    </cfRule>
  </conditionalFormatting>
  <conditionalFormatting sqref="L45:L48">
    <cfRule type="expression" dxfId="1013" priority="312" stopIfTrue="1">
      <formula>"esterreur(reference)"</formula>
    </cfRule>
  </conditionalFormatting>
  <conditionalFormatting sqref="L55">
    <cfRule type="expression" dxfId="1012" priority="311" stopIfTrue="1">
      <formula>"esterreur(reference)"</formula>
    </cfRule>
  </conditionalFormatting>
  <conditionalFormatting sqref="L56">
    <cfRule type="expression" dxfId="1011" priority="310" stopIfTrue="1">
      <formula>"esterreur(reference)"</formula>
    </cfRule>
  </conditionalFormatting>
  <conditionalFormatting sqref="L271">
    <cfRule type="expression" dxfId="1010" priority="228" stopIfTrue="1">
      <formula>"esterreur(reference)"</formula>
    </cfRule>
  </conditionalFormatting>
  <conditionalFormatting sqref="L58">
    <cfRule type="expression" dxfId="1009" priority="309" stopIfTrue="1">
      <formula>"esterreur(reference)"</formula>
    </cfRule>
  </conditionalFormatting>
  <conditionalFormatting sqref="L61">
    <cfRule type="expression" dxfId="1008" priority="308" stopIfTrue="1">
      <formula>"esterreur(reference)"</formula>
    </cfRule>
  </conditionalFormatting>
  <conditionalFormatting sqref="L274">
    <cfRule type="expression" dxfId="1007" priority="226" stopIfTrue="1">
      <formula>"esterreur(reference)"</formula>
    </cfRule>
  </conditionalFormatting>
  <conditionalFormatting sqref="L63">
    <cfRule type="expression" dxfId="1006" priority="307" stopIfTrue="1">
      <formula>"esterreur(reference)"</formula>
    </cfRule>
  </conditionalFormatting>
  <conditionalFormatting sqref="L62">
    <cfRule type="expression" dxfId="1005" priority="306" stopIfTrue="1">
      <formula>"esterreur(reference)"</formula>
    </cfRule>
  </conditionalFormatting>
  <conditionalFormatting sqref="L64">
    <cfRule type="expression" dxfId="1004" priority="305" stopIfTrue="1">
      <formula>"esterreur(reference)"</formula>
    </cfRule>
  </conditionalFormatting>
  <conditionalFormatting sqref="L65">
    <cfRule type="expression" dxfId="1003" priority="304" stopIfTrue="1">
      <formula>"esterreur(reference)"</formula>
    </cfRule>
  </conditionalFormatting>
  <conditionalFormatting sqref="L69 L66:L67">
    <cfRule type="expression" dxfId="1002" priority="303" stopIfTrue="1">
      <formula>"esterreur(reference)"</formula>
    </cfRule>
  </conditionalFormatting>
  <conditionalFormatting sqref="L70">
    <cfRule type="expression" dxfId="1001" priority="302" stopIfTrue="1">
      <formula>"esterreur(reference)"</formula>
    </cfRule>
  </conditionalFormatting>
  <conditionalFormatting sqref="L76:L77">
    <cfRule type="expression" dxfId="1000" priority="301" stopIfTrue="1">
      <formula>"esterreur(reference)"</formula>
    </cfRule>
  </conditionalFormatting>
  <conditionalFormatting sqref="L78:L81">
    <cfRule type="expression" dxfId="999" priority="300" stopIfTrue="1">
      <formula>"esterreur(reference)"</formula>
    </cfRule>
  </conditionalFormatting>
  <conditionalFormatting sqref="L57">
    <cfRule type="expression" dxfId="998" priority="298" stopIfTrue="1">
      <formula>"esterreur(reference)"</formula>
    </cfRule>
  </conditionalFormatting>
  <conditionalFormatting sqref="L94:L95">
    <cfRule type="expression" dxfId="997" priority="297" stopIfTrue="1">
      <formula>"esterreur(reference)"</formula>
    </cfRule>
  </conditionalFormatting>
  <conditionalFormatting sqref="L98">
    <cfRule type="expression" dxfId="996" priority="296" stopIfTrue="1">
      <formula>"esterreur(reference)"</formula>
    </cfRule>
  </conditionalFormatting>
  <conditionalFormatting sqref="L99">
    <cfRule type="expression" dxfId="995" priority="295" stopIfTrue="1">
      <formula>"esterreur(reference)"</formula>
    </cfRule>
  </conditionalFormatting>
  <conditionalFormatting sqref="L101">
    <cfRule type="expression" dxfId="994" priority="294" stopIfTrue="1">
      <formula>"esterreur(reference)"</formula>
    </cfRule>
  </conditionalFormatting>
  <conditionalFormatting sqref="L102">
    <cfRule type="expression" dxfId="993" priority="293" stopIfTrue="1">
      <formula>"esterreur(reference)"</formula>
    </cfRule>
  </conditionalFormatting>
  <conditionalFormatting sqref="L103">
    <cfRule type="expression" dxfId="992" priority="292" stopIfTrue="1">
      <formula>"esterreur(reference)"</formula>
    </cfRule>
  </conditionalFormatting>
  <conditionalFormatting sqref="L111">
    <cfRule type="expression" dxfId="991" priority="291" stopIfTrue="1">
      <formula>"esterreur(reference)"</formula>
    </cfRule>
  </conditionalFormatting>
  <conditionalFormatting sqref="L112">
    <cfRule type="expression" dxfId="990" priority="290" stopIfTrue="1">
      <formula>"esterreur(reference)"</formula>
    </cfRule>
  </conditionalFormatting>
  <conditionalFormatting sqref="L207">
    <cfRule type="expression" dxfId="989" priority="251" stopIfTrue="1">
      <formula>"esterreur(reference)"</formula>
    </cfRule>
  </conditionalFormatting>
  <conditionalFormatting sqref="L114">
    <cfRule type="expression" dxfId="988" priority="289" stopIfTrue="1">
      <formula>"esterreur(reference)"</formula>
    </cfRule>
  </conditionalFormatting>
  <conditionalFormatting sqref="L227">
    <cfRule type="expression" dxfId="987" priority="247" stopIfTrue="1">
      <formula>"esterreur(reference)"</formula>
    </cfRule>
  </conditionalFormatting>
  <conditionalFormatting sqref="L116:L119">
    <cfRule type="expression" dxfId="986" priority="288" stopIfTrue="1">
      <formula>"esterreur(reference)"</formula>
    </cfRule>
  </conditionalFormatting>
  <conditionalFormatting sqref="L120">
    <cfRule type="expression" dxfId="985" priority="287" stopIfTrue="1">
      <formula>"esterreur(reference)"</formula>
    </cfRule>
  </conditionalFormatting>
  <conditionalFormatting sqref="L130">
    <cfRule type="expression" dxfId="984" priority="284" stopIfTrue="1">
      <formula>"esterreur(reference)"</formula>
    </cfRule>
  </conditionalFormatting>
  <conditionalFormatting sqref="L124">
    <cfRule type="expression" dxfId="983" priority="286" stopIfTrue="1">
      <formula>"esterreur(reference)"</formula>
    </cfRule>
  </conditionalFormatting>
  <conditionalFormatting sqref="L123">
    <cfRule type="expression" dxfId="982" priority="285" stopIfTrue="1">
      <formula>"esterreur(reference)"</formula>
    </cfRule>
  </conditionalFormatting>
  <conditionalFormatting sqref="L138">
    <cfRule type="expression" dxfId="981" priority="278" stopIfTrue="1">
      <formula>"esterreur(reference)"</formula>
    </cfRule>
  </conditionalFormatting>
  <conditionalFormatting sqref="L131">
    <cfRule type="expression" dxfId="980" priority="283" stopIfTrue="1">
      <formula>"esterreur(reference)"</formula>
    </cfRule>
  </conditionalFormatting>
  <conditionalFormatting sqref="L132">
    <cfRule type="expression" dxfId="979" priority="282" stopIfTrue="1">
      <formula>"esterreur(reference)"</formula>
    </cfRule>
  </conditionalFormatting>
  <conditionalFormatting sqref="L133">
    <cfRule type="expression" dxfId="978" priority="281" stopIfTrue="1">
      <formula>"esterreur(reference)"</formula>
    </cfRule>
  </conditionalFormatting>
  <conditionalFormatting sqref="L139">
    <cfRule type="expression" dxfId="977" priority="277" stopIfTrue="1">
      <formula>"esterreur(reference)"</formula>
    </cfRule>
  </conditionalFormatting>
  <conditionalFormatting sqref="L136">
    <cfRule type="expression" dxfId="976" priority="280" stopIfTrue="1">
      <formula>"esterreur(reference)"</formula>
    </cfRule>
  </conditionalFormatting>
  <conditionalFormatting sqref="L137">
    <cfRule type="expression" dxfId="975" priority="279" stopIfTrue="1">
      <formula>"esterreur(reference)"</formula>
    </cfRule>
  </conditionalFormatting>
  <conditionalFormatting sqref="L140">
    <cfRule type="expression" dxfId="974" priority="276" stopIfTrue="1">
      <formula>"esterreur(reference)"</formula>
    </cfRule>
  </conditionalFormatting>
  <conditionalFormatting sqref="L141">
    <cfRule type="expression" dxfId="973" priority="275" stopIfTrue="1">
      <formula>"esterreur(reference)"</formula>
    </cfRule>
  </conditionalFormatting>
  <conditionalFormatting sqref="L142">
    <cfRule type="expression" dxfId="972" priority="274" stopIfTrue="1">
      <formula>"esterreur(reference)"</formula>
    </cfRule>
  </conditionalFormatting>
  <conditionalFormatting sqref="L143">
    <cfRule type="expression" dxfId="971" priority="273" stopIfTrue="1">
      <formula>"esterreur(reference)"</formula>
    </cfRule>
  </conditionalFormatting>
  <conditionalFormatting sqref="L144">
    <cfRule type="expression" dxfId="970" priority="272" stopIfTrue="1">
      <formula>"esterreur(reference)"</formula>
    </cfRule>
  </conditionalFormatting>
  <conditionalFormatting sqref="L145">
    <cfRule type="expression" dxfId="969" priority="271" stopIfTrue="1">
      <formula>"esterreur(reference)"</formula>
    </cfRule>
  </conditionalFormatting>
  <conditionalFormatting sqref="L146">
    <cfRule type="expression" dxfId="968" priority="270" stopIfTrue="1">
      <formula>"esterreur(reference)"</formula>
    </cfRule>
  </conditionalFormatting>
  <conditionalFormatting sqref="L147">
    <cfRule type="expression" dxfId="967" priority="269" stopIfTrue="1">
      <formula>"esterreur(reference)"</formula>
    </cfRule>
  </conditionalFormatting>
  <conditionalFormatting sqref="L155">
    <cfRule type="expression" dxfId="966" priority="268" stopIfTrue="1">
      <formula>"esterreur(reference)"</formula>
    </cfRule>
  </conditionalFormatting>
  <conditionalFormatting sqref="L157">
    <cfRule type="expression" dxfId="965" priority="266" stopIfTrue="1">
      <formula>"esterreur(reference)"</formula>
    </cfRule>
  </conditionalFormatting>
  <conditionalFormatting sqref="L156">
    <cfRule type="expression" dxfId="964" priority="267" stopIfTrue="1">
      <formula>"esterreur(reference)"</formula>
    </cfRule>
  </conditionalFormatting>
  <conditionalFormatting sqref="L115">
    <cfRule type="expression" dxfId="963" priority="265" stopIfTrue="1">
      <formula>"esterreur(reference)"</formula>
    </cfRule>
  </conditionalFormatting>
  <conditionalFormatting sqref="L113">
    <cfRule type="expression" dxfId="962" priority="264" stopIfTrue="1">
      <formula>"esterreur(reference)"</formula>
    </cfRule>
  </conditionalFormatting>
  <conditionalFormatting sqref="L171">
    <cfRule type="expression" dxfId="961" priority="263" stopIfTrue="1">
      <formula>"esterreur(reference)"</formula>
    </cfRule>
  </conditionalFormatting>
  <conditionalFormatting sqref="L174">
    <cfRule type="expression" dxfId="960" priority="262" stopIfTrue="1">
      <formula>"esterreur(reference)"</formula>
    </cfRule>
  </conditionalFormatting>
  <conditionalFormatting sqref="L177">
    <cfRule type="expression" dxfId="959" priority="261" stopIfTrue="1">
      <formula>"esterreur(reference)"</formula>
    </cfRule>
  </conditionalFormatting>
  <conditionalFormatting sqref="L187">
    <cfRule type="expression" dxfId="958" priority="260" stopIfTrue="1">
      <formula>"esterreur(reference)"</formula>
    </cfRule>
  </conditionalFormatting>
  <conditionalFormatting sqref="L197">
    <cfRule type="expression" dxfId="957" priority="259" stopIfTrue="1">
      <formula>"esterreur(reference)"</formula>
    </cfRule>
  </conditionalFormatting>
  <conditionalFormatting sqref="L199">
    <cfRule type="expression" dxfId="956" priority="258" stopIfTrue="1">
      <formula>"esterreur(reference)"</formula>
    </cfRule>
  </conditionalFormatting>
  <conditionalFormatting sqref="L198">
    <cfRule type="expression" dxfId="955" priority="257" stopIfTrue="1">
      <formula>"esterreur(reference)"</formula>
    </cfRule>
  </conditionalFormatting>
  <conditionalFormatting sqref="L200">
    <cfRule type="expression" dxfId="954" priority="256" stopIfTrue="1">
      <formula>"esterreur(reference)"</formula>
    </cfRule>
  </conditionalFormatting>
  <conditionalFormatting sqref="L201">
    <cfRule type="expression" dxfId="953" priority="255" stopIfTrue="1">
      <formula>"esterreur(reference)"</formula>
    </cfRule>
  </conditionalFormatting>
  <conditionalFormatting sqref="L202:L204">
    <cfRule type="expression" dxfId="952" priority="254" stopIfTrue="1">
      <formula>"esterreur(reference)"</formula>
    </cfRule>
  </conditionalFormatting>
  <conditionalFormatting sqref="L206">
    <cfRule type="expression" dxfId="951" priority="252" stopIfTrue="1">
      <formula>"esterreur(reference)"</formula>
    </cfRule>
  </conditionalFormatting>
  <conditionalFormatting sqref="L205">
    <cfRule type="expression" dxfId="950" priority="253" stopIfTrue="1">
      <formula>"esterreur(reference)"</formula>
    </cfRule>
  </conditionalFormatting>
  <conditionalFormatting sqref="L208">
    <cfRule type="expression" dxfId="949" priority="250" stopIfTrue="1">
      <formula>"esterreur(reference)"</formula>
    </cfRule>
  </conditionalFormatting>
  <conditionalFormatting sqref="L211:L224">
    <cfRule type="expression" dxfId="948" priority="249" stopIfTrue="1">
      <formula>"esterreur(reference)"</formula>
    </cfRule>
  </conditionalFormatting>
  <conditionalFormatting sqref="L225:L226">
    <cfRule type="expression" dxfId="947" priority="248" stopIfTrue="1">
      <formula>"esterreur(reference)"</formula>
    </cfRule>
  </conditionalFormatting>
  <conditionalFormatting sqref="L180">
    <cfRule type="expression" dxfId="946" priority="246" stopIfTrue="1">
      <formula>"esterreur(reference)"</formula>
    </cfRule>
  </conditionalFormatting>
  <conditionalFormatting sqref="L243">
    <cfRule type="expression" dxfId="945" priority="245" stopIfTrue="1">
      <formula>"esterreur(reference)"</formula>
    </cfRule>
  </conditionalFormatting>
  <conditionalFormatting sqref="L246">
    <cfRule type="expression" dxfId="944" priority="244" stopIfTrue="1">
      <formula>"esterreur(reference)"</formula>
    </cfRule>
  </conditionalFormatting>
  <conditionalFormatting sqref="L253">
    <cfRule type="expression" dxfId="943" priority="243" stopIfTrue="1">
      <formula>"esterreur(reference)"</formula>
    </cfRule>
  </conditionalFormatting>
  <conditionalFormatting sqref="L254">
    <cfRule type="expression" dxfId="942" priority="242" stopIfTrue="1">
      <formula>"esterreur(reference)"</formula>
    </cfRule>
  </conditionalFormatting>
  <conditionalFormatting sqref="L255">
    <cfRule type="expression" dxfId="941" priority="241" stopIfTrue="1">
      <formula>"esterreur(reference)"</formula>
    </cfRule>
  </conditionalFormatting>
  <conditionalFormatting sqref="L256">
    <cfRule type="expression" dxfId="940" priority="240" stopIfTrue="1">
      <formula>"esterreur(reference)"</formula>
    </cfRule>
  </conditionalFormatting>
  <conditionalFormatting sqref="L257">
    <cfRule type="expression" dxfId="939" priority="239" stopIfTrue="1">
      <formula>"esterreur(reference)"</formula>
    </cfRule>
  </conditionalFormatting>
  <conditionalFormatting sqref="L258">
    <cfRule type="expression" dxfId="938" priority="238" stopIfTrue="1">
      <formula>"esterreur(reference)"</formula>
    </cfRule>
  </conditionalFormatting>
  <conditionalFormatting sqref="L259">
    <cfRule type="expression" dxfId="937" priority="237" stopIfTrue="1">
      <formula>"esterreur(reference)"</formula>
    </cfRule>
  </conditionalFormatting>
  <conditionalFormatting sqref="L260">
    <cfRule type="expression" dxfId="936" priority="236" stopIfTrue="1">
      <formula>"esterreur(reference)"</formula>
    </cfRule>
  </conditionalFormatting>
  <conditionalFormatting sqref="L261">
    <cfRule type="expression" dxfId="935" priority="235" stopIfTrue="1">
      <formula>"esterreur(reference)"</formula>
    </cfRule>
  </conditionalFormatting>
  <conditionalFormatting sqref="L262">
    <cfRule type="expression" dxfId="934" priority="234" stopIfTrue="1">
      <formula>"esterreur(reference)"</formula>
    </cfRule>
  </conditionalFormatting>
  <conditionalFormatting sqref="L263:L264">
    <cfRule type="expression" dxfId="933" priority="233" stopIfTrue="1">
      <formula>"esterreur(reference)"</formula>
    </cfRule>
  </conditionalFormatting>
  <conditionalFormatting sqref="L268">
    <cfRule type="expression" dxfId="932" priority="231" stopIfTrue="1">
      <formula>"esterreur(reference)"</formula>
    </cfRule>
  </conditionalFormatting>
  <conditionalFormatting sqref="L267">
    <cfRule type="expression" dxfId="931" priority="232" stopIfTrue="1">
      <formula>"esterreur(reference)"</formula>
    </cfRule>
  </conditionalFormatting>
  <conditionalFormatting sqref="L269">
    <cfRule type="expression" dxfId="930" priority="230" stopIfTrue="1">
      <formula>"esterreur(reference)"</formula>
    </cfRule>
  </conditionalFormatting>
  <conditionalFormatting sqref="L270">
    <cfRule type="expression" dxfId="929" priority="229" stopIfTrue="1">
      <formula>"esterreur(reference)"</formula>
    </cfRule>
  </conditionalFormatting>
  <conditionalFormatting sqref="L272:L273">
    <cfRule type="expression" dxfId="928" priority="227" stopIfTrue="1">
      <formula>"esterreur(reference)"</formula>
    </cfRule>
  </conditionalFormatting>
  <conditionalFormatting sqref="L294:L300">
    <cfRule type="expression" dxfId="927" priority="225" stopIfTrue="1">
      <formula>"esterreur(reference)"</formula>
    </cfRule>
  </conditionalFormatting>
  <conditionalFormatting sqref="L301">
    <cfRule type="expression" dxfId="926" priority="224" stopIfTrue="1">
      <formula>"esterreur(reference)"</formula>
    </cfRule>
  </conditionalFormatting>
  <conditionalFormatting sqref="L302">
    <cfRule type="expression" dxfId="925" priority="223" stopIfTrue="1">
      <formula>"esterreur(reference)"</formula>
    </cfRule>
  </conditionalFormatting>
  <conditionalFormatting sqref="L306">
    <cfRule type="expression" dxfId="924" priority="222" stopIfTrue="1">
      <formula>"esterreur(reference)"</formula>
    </cfRule>
  </conditionalFormatting>
  <conditionalFormatting sqref="L307">
    <cfRule type="expression" dxfId="923" priority="221" stopIfTrue="1">
      <formula>"esterreur(reference)"</formula>
    </cfRule>
  </conditionalFormatting>
  <conditionalFormatting sqref="L311">
    <cfRule type="expression" dxfId="922" priority="220" stopIfTrue="1">
      <formula>"esterreur(reference)"</formula>
    </cfRule>
  </conditionalFormatting>
  <conditionalFormatting sqref="L317">
    <cfRule type="expression" dxfId="921" priority="219" stopIfTrue="1">
      <formula>"esterreur(reference)"</formula>
    </cfRule>
  </conditionalFormatting>
  <conditionalFormatting sqref="L318">
    <cfRule type="expression" dxfId="920" priority="218" stopIfTrue="1">
      <formula>"esterreur(reference)"</formula>
    </cfRule>
  </conditionalFormatting>
  <conditionalFormatting sqref="K5">
    <cfRule type="expression" dxfId="919" priority="212" stopIfTrue="1">
      <formula>"esterreur(reference)"</formula>
    </cfRule>
  </conditionalFormatting>
  <conditionalFormatting sqref="L5">
    <cfRule type="expression" dxfId="918" priority="211" stopIfTrue="1">
      <formula>"esterreur(reference)"</formula>
    </cfRule>
  </conditionalFormatting>
  <conditionalFormatting sqref="K182">
    <cfRule type="expression" dxfId="917" priority="210" stopIfTrue="1">
      <formula>"esterreur(reference)"</formula>
    </cfRule>
  </conditionalFormatting>
  <conditionalFormatting sqref="L93">
    <cfRule type="expression" dxfId="916" priority="209" stopIfTrue="1">
      <formula>"esterreur(reference)"</formula>
    </cfRule>
  </conditionalFormatting>
  <conditionalFormatting sqref="K171">
    <cfRule type="expression" dxfId="915" priority="208" stopIfTrue="1">
      <formula>"esterreur(reference)"</formula>
    </cfRule>
  </conditionalFormatting>
  <conditionalFormatting sqref="K174">
    <cfRule type="expression" dxfId="914" priority="207" stopIfTrue="1">
      <formula>"esterreur(reference)"</formula>
    </cfRule>
  </conditionalFormatting>
  <conditionalFormatting sqref="K177">
    <cfRule type="expression" dxfId="913" priority="206" stopIfTrue="1">
      <formula>"esterreur(reference)"</formula>
    </cfRule>
  </conditionalFormatting>
  <conditionalFormatting sqref="K180">
    <cfRule type="expression" dxfId="912" priority="205" stopIfTrue="1">
      <formula>"esterreur(reference)"</formula>
    </cfRule>
  </conditionalFormatting>
  <conditionalFormatting sqref="K240">
    <cfRule type="expression" dxfId="911" priority="204" stopIfTrue="1">
      <formula>"esterreur(reference)"</formula>
    </cfRule>
  </conditionalFormatting>
  <conditionalFormatting sqref="K243">
    <cfRule type="expression" dxfId="910" priority="203" stopIfTrue="1">
      <formula>"esterreur(reference)"</formula>
    </cfRule>
  </conditionalFormatting>
  <conditionalFormatting sqref="K246">
    <cfRule type="expression" dxfId="909" priority="202" stopIfTrue="1">
      <formula>"esterreur(reference)"</formula>
    </cfRule>
  </conditionalFormatting>
  <conditionalFormatting sqref="J306:J307">
    <cfRule type="expression" dxfId="908" priority="201" stopIfTrue="1">
      <formula>"esterreur(reference)"</formula>
    </cfRule>
  </conditionalFormatting>
  <conditionalFormatting sqref="K187">
    <cfRule type="expression" dxfId="907" priority="200" stopIfTrue="1">
      <formula>"esterreur(reference)"</formula>
    </cfRule>
  </conditionalFormatting>
  <conditionalFormatting sqref="K190">
    <cfRule type="expression" dxfId="906" priority="199" stopIfTrue="1">
      <formula>"esterreur(reference)"</formula>
    </cfRule>
  </conditionalFormatting>
  <conditionalFormatting sqref="J311">
    <cfRule type="expression" dxfId="905" priority="198" stopIfTrue="1">
      <formula>"esterreur(reference)"</formula>
    </cfRule>
  </conditionalFormatting>
  <conditionalFormatting sqref="L364:L375">
    <cfRule type="expression" dxfId="904" priority="197" stopIfTrue="1">
      <formula>"esterreur(reference)"</formula>
    </cfRule>
  </conditionalFormatting>
  <conditionalFormatting sqref="L377:L393">
    <cfRule type="expression" dxfId="903" priority="196" stopIfTrue="1">
      <formula>"esterreur(reference)"</formula>
    </cfRule>
  </conditionalFormatting>
  <conditionalFormatting sqref="K93">
    <cfRule type="expression" dxfId="902" priority="195" stopIfTrue="1">
      <formula>"esterreur(reference)"</formula>
    </cfRule>
  </conditionalFormatting>
  <conditionalFormatting sqref="L240">
    <cfRule type="expression" dxfId="901" priority="194" stopIfTrue="1">
      <formula>"esterreur(reference)"</formula>
    </cfRule>
  </conditionalFormatting>
  <conditionalFormatting sqref="K239">
    <cfRule type="expression" dxfId="900" priority="193" stopIfTrue="1">
      <formula>"esterreur(reference)"</formula>
    </cfRule>
  </conditionalFormatting>
  <conditionalFormatting sqref="L239">
    <cfRule type="expression" dxfId="899" priority="192" stopIfTrue="1">
      <formula>"esterreur(reference)"</formula>
    </cfRule>
  </conditionalFormatting>
  <conditionalFormatting sqref="F183">
    <cfRule type="expression" dxfId="898" priority="191" stopIfTrue="1">
      <formula>"esterreur(reference)"</formula>
    </cfRule>
  </conditionalFormatting>
  <conditionalFormatting sqref="J359">
    <cfRule type="expression" dxfId="897" priority="190" stopIfTrue="1">
      <formula>"esterreur(reference)"</formula>
    </cfRule>
  </conditionalFormatting>
  <conditionalFormatting sqref="L359">
    <cfRule type="expression" dxfId="896" priority="189" stopIfTrue="1">
      <formula>"esterreur(reference)"</formula>
    </cfRule>
  </conditionalFormatting>
  <conditionalFormatting sqref="S185">
    <cfRule type="expression" dxfId="895" priority="188" stopIfTrue="1">
      <formula>"esterreur(reference)"</formula>
    </cfRule>
  </conditionalFormatting>
  <conditionalFormatting sqref="K286">
    <cfRule type="expression" dxfId="894" priority="187" stopIfTrue="1">
      <formula>"esterreur(reference)"</formula>
    </cfRule>
  </conditionalFormatting>
  <conditionalFormatting sqref="AO408:AO413">
    <cfRule type="cellIs" dxfId="893" priority="186" operator="greaterThan">
      <formula>0</formula>
    </cfRule>
  </conditionalFormatting>
  <conditionalFormatting sqref="L71">
    <cfRule type="expression" dxfId="892" priority="185" stopIfTrue="1">
      <formula>"esterreur(reference)"</formula>
    </cfRule>
  </conditionalFormatting>
  <conditionalFormatting sqref="L210">
    <cfRule type="expression" dxfId="891" priority="182" stopIfTrue="1">
      <formula>"esterreur(reference)"</formula>
    </cfRule>
  </conditionalFormatting>
  <conditionalFormatting sqref="L122">
    <cfRule type="expression" dxfId="890" priority="184" stopIfTrue="1">
      <formula>"esterreur(reference)"</formula>
    </cfRule>
  </conditionalFormatting>
  <conditionalFormatting sqref="L266">
    <cfRule type="expression" dxfId="889" priority="181" stopIfTrue="1">
      <formula>"esterreur(reference)"</formula>
    </cfRule>
  </conditionalFormatting>
  <conditionalFormatting sqref="L135">
    <cfRule type="expression" dxfId="888" priority="183" stopIfTrue="1">
      <formula>"esterreur(reference)"</formula>
    </cfRule>
  </conditionalFormatting>
  <conditionalFormatting sqref="L330">
    <cfRule type="expression" dxfId="887" priority="180" stopIfTrue="1">
      <formula>"esterreur(reference)"</formula>
    </cfRule>
  </conditionalFormatting>
  <conditionalFormatting sqref="L75">
    <cfRule type="expression" dxfId="886" priority="179" stopIfTrue="1">
      <formula>"esterreur(reference)"</formula>
    </cfRule>
  </conditionalFormatting>
  <conditionalFormatting sqref="L60">
    <cfRule type="expression" dxfId="885" priority="177" stopIfTrue="1">
      <formula>"esterreur(reference)"</formula>
    </cfRule>
  </conditionalFormatting>
  <conditionalFormatting sqref="L59">
    <cfRule type="expression" dxfId="884" priority="178" stopIfTrue="1">
      <formula>"esterreur(reference)"</formula>
    </cfRule>
  </conditionalFormatting>
  <conditionalFormatting sqref="F5">
    <cfRule type="expression" dxfId="883" priority="176" stopIfTrue="1">
      <formula>"esterreur(reference)"</formula>
    </cfRule>
  </conditionalFormatting>
  <conditionalFormatting sqref="O25:Q30 Q18 O83:Q85 O41:Q41 O72:Q72 Q24 O13:O14 O16 O18:O24 O49:Q54 Q6:Q14 O31:P40 O42:P48">
    <cfRule type="expression" dxfId="882" priority="171" stopIfTrue="1">
      <formula>"esterreur(reference)"</formula>
    </cfRule>
  </conditionalFormatting>
  <conditionalFormatting sqref="P5">
    <cfRule type="expression" dxfId="881" priority="148" stopIfTrue="1">
      <formula>"esterreur(reference)"</formula>
    </cfRule>
  </conditionalFormatting>
  <conditionalFormatting sqref="Q32">
    <cfRule type="expression" dxfId="880" priority="166" stopIfTrue="1">
      <formula>"esterreur(reference)"</formula>
    </cfRule>
  </conditionalFormatting>
  <conditionalFormatting sqref="Q35">
    <cfRule type="expression" dxfId="879" priority="165" stopIfTrue="1">
      <formula>"esterreur(reference)"</formula>
    </cfRule>
  </conditionalFormatting>
  <conditionalFormatting sqref="O55:P56 O71:P71">
    <cfRule type="expression" dxfId="878" priority="172" stopIfTrue="1">
      <formula>"esterreur(reference)"</formula>
    </cfRule>
  </conditionalFormatting>
  <conditionalFormatting sqref="O61:P70">
    <cfRule type="expression" dxfId="877" priority="173" stopIfTrue="1">
      <formula>"esterreur(reference)"</formula>
    </cfRule>
  </conditionalFormatting>
  <conditionalFormatting sqref="O57:P59">
    <cfRule type="expression" dxfId="876" priority="174" stopIfTrue="1">
      <formula>"esterreur(reference)"</formula>
    </cfRule>
  </conditionalFormatting>
  <conditionalFormatting sqref="O60:P60">
    <cfRule type="expression" dxfId="875" priority="175" stopIfTrue="1">
      <formula>"esterreur(reference)"</formula>
    </cfRule>
  </conditionalFormatting>
  <conditionalFormatting sqref="Q19 Q21:Q23">
    <cfRule type="expression" dxfId="874" priority="169" stopIfTrue="1">
      <formula>"esterreur(reference)"</formula>
    </cfRule>
  </conditionalFormatting>
  <conditionalFormatting sqref="Q16:Q17">
    <cfRule type="expression" dxfId="873" priority="170" stopIfTrue="1">
      <formula>"esterreur(reference)"</formula>
    </cfRule>
  </conditionalFormatting>
  <conditionalFormatting sqref="Q20">
    <cfRule type="expression" dxfId="872" priority="168" stopIfTrue="1">
      <formula>"esterreur(reference)"</formula>
    </cfRule>
  </conditionalFormatting>
  <conditionalFormatting sqref="Q31 Q33:Q34">
    <cfRule type="expression" dxfId="871" priority="167" stopIfTrue="1">
      <formula>"esterreur(reference)"</formula>
    </cfRule>
  </conditionalFormatting>
  <conditionalFormatting sqref="Q42">
    <cfRule type="expression" dxfId="870" priority="164" stopIfTrue="1">
      <formula>"esterreur(reference)"</formula>
    </cfRule>
  </conditionalFormatting>
  <conditionalFormatting sqref="Q43">
    <cfRule type="expression" dxfId="869" priority="163" stopIfTrue="1">
      <formula>"esterreur(reference)"</formula>
    </cfRule>
  </conditionalFormatting>
  <conditionalFormatting sqref="Q44">
    <cfRule type="expression" dxfId="868" priority="162" stopIfTrue="1">
      <formula>"esterreur(reference)"</formula>
    </cfRule>
  </conditionalFormatting>
  <conditionalFormatting sqref="Q45:Q48">
    <cfRule type="expression" dxfId="867" priority="161" stopIfTrue="1">
      <formula>"esterreur(reference)"</formula>
    </cfRule>
  </conditionalFormatting>
  <conditionalFormatting sqref="Q55">
    <cfRule type="expression" dxfId="866" priority="160" stopIfTrue="1">
      <formula>"esterreur(reference)"</formula>
    </cfRule>
  </conditionalFormatting>
  <conditionalFormatting sqref="Q56">
    <cfRule type="expression" dxfId="865" priority="159" stopIfTrue="1">
      <formula>"esterreur(reference)"</formula>
    </cfRule>
  </conditionalFormatting>
  <conditionalFormatting sqref="Q58">
    <cfRule type="expression" dxfId="864" priority="158" stopIfTrue="1">
      <formula>"esterreur(reference)"</formula>
    </cfRule>
  </conditionalFormatting>
  <conditionalFormatting sqref="Q61">
    <cfRule type="expression" dxfId="863" priority="157" stopIfTrue="1">
      <formula>"esterreur(reference)"</formula>
    </cfRule>
  </conditionalFormatting>
  <conditionalFormatting sqref="Q63">
    <cfRule type="expression" dxfId="862" priority="156" stopIfTrue="1">
      <formula>"esterreur(reference)"</formula>
    </cfRule>
  </conditionalFormatting>
  <conditionalFormatting sqref="Q62">
    <cfRule type="expression" dxfId="861" priority="155" stopIfTrue="1">
      <formula>"esterreur(reference)"</formula>
    </cfRule>
  </conditionalFormatting>
  <conditionalFormatting sqref="Q64">
    <cfRule type="expression" dxfId="860" priority="154" stopIfTrue="1">
      <formula>"esterreur(reference)"</formula>
    </cfRule>
  </conditionalFormatting>
  <conditionalFormatting sqref="Q65">
    <cfRule type="expression" dxfId="859" priority="153" stopIfTrue="1">
      <formula>"esterreur(reference)"</formula>
    </cfRule>
  </conditionalFormatting>
  <conditionalFormatting sqref="Q66:Q69">
    <cfRule type="expression" dxfId="858" priority="152" stopIfTrue="1">
      <formula>"esterreur(reference)"</formula>
    </cfRule>
  </conditionalFormatting>
  <conditionalFormatting sqref="Q70">
    <cfRule type="expression" dxfId="857" priority="151" stopIfTrue="1">
      <formula>"esterreur(reference)"</formula>
    </cfRule>
  </conditionalFormatting>
  <conditionalFormatting sqref="Q75:Q82">
    <cfRule type="expression" dxfId="856" priority="150" stopIfTrue="1">
      <formula>"esterreur(reference)"</formula>
    </cfRule>
  </conditionalFormatting>
  <conditionalFormatting sqref="Q57">
    <cfRule type="expression" dxfId="855" priority="149" stopIfTrue="1">
      <formula>"esterreur(reference)"</formula>
    </cfRule>
  </conditionalFormatting>
  <conditionalFormatting sqref="Q5">
    <cfRule type="expression" dxfId="854" priority="147" stopIfTrue="1">
      <formula>"esterreur(reference)"</formula>
    </cfRule>
  </conditionalFormatting>
  <conditionalFormatting sqref="Q71">
    <cfRule type="expression" dxfId="853" priority="146" stopIfTrue="1">
      <formula>"esterreur(reference)"</formula>
    </cfRule>
  </conditionalFormatting>
  <conditionalFormatting sqref="Q60">
    <cfRule type="expression" dxfId="852" priority="144" stopIfTrue="1">
      <formula>"esterreur(reference)"</formula>
    </cfRule>
  </conditionalFormatting>
  <conditionalFormatting sqref="P98">
    <cfRule type="expression" dxfId="851" priority="143" stopIfTrue="1">
      <formula>"esterreur(reference)"</formula>
    </cfRule>
  </conditionalFormatting>
  <conditionalFormatting sqref="Q59">
    <cfRule type="expression" dxfId="850" priority="14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849" priority="139" stopIfTrue="1">
      <formula>"esterreur(reference)"</formula>
    </cfRule>
  </conditionalFormatting>
  <conditionalFormatting sqref="O141:P147">
    <cfRule type="expression" dxfId="848" priority="140" stopIfTrue="1">
      <formula>"esterreur(reference)"</formula>
    </cfRule>
  </conditionalFormatting>
  <conditionalFormatting sqref="O137:P139">
    <cfRule type="expression" dxfId="847" priority="141" stopIfTrue="1">
      <formula>"esterreur(reference)"</formula>
    </cfRule>
  </conditionalFormatting>
  <conditionalFormatting sqref="O140:P140">
    <cfRule type="expression" dxfId="846" priority="142" stopIfTrue="1">
      <formula>"esterreur(reference)"</formula>
    </cfRule>
  </conditionalFormatting>
  <conditionalFormatting sqref="Q94:Q95">
    <cfRule type="expression" dxfId="845" priority="138" stopIfTrue="1">
      <formula>"esterreur(reference)"</formula>
    </cfRule>
  </conditionalFormatting>
  <conditionalFormatting sqref="Q98">
    <cfRule type="expression" dxfId="844" priority="137" stopIfTrue="1">
      <formula>"esterreur(reference)"</formula>
    </cfRule>
  </conditionalFormatting>
  <conditionalFormatting sqref="Q99">
    <cfRule type="expression" dxfId="843" priority="136" stopIfTrue="1">
      <formula>"esterreur(reference)"</formula>
    </cfRule>
  </conditionalFormatting>
  <conditionalFormatting sqref="Q101">
    <cfRule type="expression" dxfId="842" priority="135" stopIfTrue="1">
      <formula>"esterreur(reference)"</formula>
    </cfRule>
  </conditionalFormatting>
  <conditionalFormatting sqref="Q102">
    <cfRule type="expression" dxfId="841" priority="134" stopIfTrue="1">
      <formula>"esterreur(reference)"</formula>
    </cfRule>
  </conditionalFormatting>
  <conditionalFormatting sqref="Q103">
    <cfRule type="expression" dxfId="840" priority="133" stopIfTrue="1">
      <formula>"esterreur(reference)"</formula>
    </cfRule>
  </conditionalFormatting>
  <conditionalFormatting sqref="Q111">
    <cfRule type="expression" dxfId="839" priority="132" stopIfTrue="1">
      <formula>"esterreur(reference)"</formula>
    </cfRule>
  </conditionalFormatting>
  <conditionalFormatting sqref="Q112">
    <cfRule type="expression" dxfId="838" priority="131" stopIfTrue="1">
      <formula>"esterreur(reference)"</formula>
    </cfRule>
  </conditionalFormatting>
  <conditionalFormatting sqref="Q114">
    <cfRule type="expression" dxfId="837" priority="130" stopIfTrue="1">
      <formula>"esterreur(reference)"</formula>
    </cfRule>
  </conditionalFormatting>
  <conditionalFormatting sqref="Q116:Q119">
    <cfRule type="expression" dxfId="836" priority="129" stopIfTrue="1">
      <formula>"esterreur(reference)"</formula>
    </cfRule>
  </conditionalFormatting>
  <conditionalFormatting sqref="Q120">
    <cfRule type="expression" dxfId="835" priority="128" stopIfTrue="1">
      <formula>"esterreur(reference)"</formula>
    </cfRule>
  </conditionalFormatting>
  <conditionalFormatting sqref="Q130">
    <cfRule type="expression" dxfId="834" priority="125" stopIfTrue="1">
      <formula>"esterreur(reference)"</formula>
    </cfRule>
  </conditionalFormatting>
  <conditionalFormatting sqref="Q124">
    <cfRule type="expression" dxfId="833" priority="127" stopIfTrue="1">
      <formula>"esterreur(reference)"</formula>
    </cfRule>
  </conditionalFormatting>
  <conditionalFormatting sqref="Q123">
    <cfRule type="expression" dxfId="832" priority="126" stopIfTrue="1">
      <formula>"esterreur(reference)"</formula>
    </cfRule>
  </conditionalFormatting>
  <conditionalFormatting sqref="Q139">
    <cfRule type="expression" dxfId="831" priority="118" stopIfTrue="1">
      <formula>"esterreur(reference)"</formula>
    </cfRule>
  </conditionalFormatting>
  <conditionalFormatting sqref="Q131">
    <cfRule type="expression" dxfId="830" priority="124" stopIfTrue="1">
      <formula>"esterreur(reference)"</formula>
    </cfRule>
  </conditionalFormatting>
  <conditionalFormatting sqref="Q132">
    <cfRule type="expression" dxfId="829" priority="123" stopIfTrue="1">
      <formula>"esterreur(reference)"</formula>
    </cfRule>
  </conditionalFormatting>
  <conditionalFormatting sqref="Q133">
    <cfRule type="expression" dxfId="828" priority="122" stopIfTrue="1">
      <formula>"esterreur(reference)"</formula>
    </cfRule>
  </conditionalFormatting>
  <conditionalFormatting sqref="Q141">
    <cfRule type="expression" dxfId="827" priority="116" stopIfTrue="1">
      <formula>"esterreur(reference)"</formula>
    </cfRule>
  </conditionalFormatting>
  <conditionalFormatting sqref="Q136">
    <cfRule type="expression" dxfId="826" priority="121" stopIfTrue="1">
      <formula>"esterreur(reference)"</formula>
    </cfRule>
  </conditionalFormatting>
  <conditionalFormatting sqref="Q137">
    <cfRule type="expression" dxfId="825" priority="120" stopIfTrue="1">
      <formula>"esterreur(reference)"</formula>
    </cfRule>
  </conditionalFormatting>
  <conditionalFormatting sqref="Q138">
    <cfRule type="expression" dxfId="824" priority="119" stopIfTrue="1">
      <formula>"esterreur(reference)"</formula>
    </cfRule>
  </conditionalFormatting>
  <conditionalFormatting sqref="Q143">
    <cfRule type="expression" dxfId="823" priority="114" stopIfTrue="1">
      <formula>"esterreur(reference)"</formula>
    </cfRule>
  </conditionalFormatting>
  <conditionalFormatting sqref="Q140">
    <cfRule type="expression" dxfId="822" priority="117" stopIfTrue="1">
      <formula>"esterreur(reference)"</formula>
    </cfRule>
  </conditionalFormatting>
  <conditionalFormatting sqref="Q142">
    <cfRule type="expression" dxfId="821" priority="115" stopIfTrue="1">
      <formula>"esterreur(reference)"</formula>
    </cfRule>
  </conditionalFormatting>
  <conditionalFormatting sqref="Q144">
    <cfRule type="expression" dxfId="820" priority="113" stopIfTrue="1">
      <formula>"esterreur(reference)"</formula>
    </cfRule>
  </conditionalFormatting>
  <conditionalFormatting sqref="Q145">
    <cfRule type="expression" dxfId="819" priority="112" stopIfTrue="1">
      <formula>"esterreur(reference)"</formula>
    </cfRule>
  </conditionalFormatting>
  <conditionalFormatting sqref="Q146">
    <cfRule type="expression" dxfId="818" priority="111" stopIfTrue="1">
      <formula>"esterreur(reference)"</formula>
    </cfRule>
  </conditionalFormatting>
  <conditionalFormatting sqref="Q147">
    <cfRule type="expression" dxfId="817" priority="110" stopIfTrue="1">
      <formula>"esterreur(reference)"</formula>
    </cfRule>
  </conditionalFormatting>
  <conditionalFormatting sqref="Q113">
    <cfRule type="expression" dxfId="816" priority="107" stopIfTrue="1">
      <formula>"esterreur(reference)"</formula>
    </cfRule>
  </conditionalFormatting>
  <conditionalFormatting sqref="Q155:Q161">
    <cfRule type="expression" dxfId="815" priority="109" stopIfTrue="1">
      <formula>"esterreur(reference)"</formula>
    </cfRule>
  </conditionalFormatting>
  <conditionalFormatting sqref="Q93">
    <cfRule type="expression" dxfId="814" priority="106" stopIfTrue="1">
      <formula>"esterreur(reference)"</formula>
    </cfRule>
  </conditionalFormatting>
  <conditionalFormatting sqref="Q115">
    <cfRule type="expression" dxfId="813" priority="108" stopIfTrue="1">
      <formula>"esterreur(reference)"</formula>
    </cfRule>
  </conditionalFormatting>
  <conditionalFormatting sqref="P93">
    <cfRule type="expression" dxfId="812" priority="105" stopIfTrue="1">
      <formula>"esterreur(reference)"</formula>
    </cfRule>
  </conditionalFormatting>
  <conditionalFormatting sqref="Q122">
    <cfRule type="expression" dxfId="811" priority="104" stopIfTrue="1">
      <formula>"esterreur(reference)"</formula>
    </cfRule>
  </conditionalFormatting>
  <conditionalFormatting sqref="Q135">
    <cfRule type="expression" dxfId="810" priority="10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809" priority="100" stopIfTrue="1">
      <formula>"esterreur(reference)"</formula>
    </cfRule>
  </conditionalFormatting>
  <conditionalFormatting sqref="O219:P224">
    <cfRule type="expression" dxfId="808" priority="101" stopIfTrue="1">
      <formula>"esterreur(reference)"</formula>
    </cfRule>
  </conditionalFormatting>
  <conditionalFormatting sqref="O196:Q196">
    <cfRule type="expression" dxfId="807" priority="102" stopIfTrue="1">
      <formula>"esterreur(reference)"</formula>
    </cfRule>
  </conditionalFormatting>
  <conditionalFormatting sqref="Q207">
    <cfRule type="expression" dxfId="806" priority="86" stopIfTrue="1">
      <formula>"esterreur(reference)"</formula>
    </cfRule>
  </conditionalFormatting>
  <conditionalFormatting sqref="Q227">
    <cfRule type="expression" dxfId="805" priority="82" stopIfTrue="1">
      <formula>"esterreur(reference)"</formula>
    </cfRule>
  </conditionalFormatting>
  <conditionalFormatting sqref="Q171">
    <cfRule type="expression" dxfId="804" priority="99" stopIfTrue="1">
      <formula>"esterreur(reference)"</formula>
    </cfRule>
  </conditionalFormatting>
  <conditionalFormatting sqref="Q174">
    <cfRule type="expression" dxfId="803" priority="98" stopIfTrue="1">
      <formula>"esterreur(reference)"</formula>
    </cfRule>
  </conditionalFormatting>
  <conditionalFormatting sqref="Q177">
    <cfRule type="expression" dxfId="802" priority="97" stopIfTrue="1">
      <formula>"esterreur(reference)"</formula>
    </cfRule>
  </conditionalFormatting>
  <conditionalFormatting sqref="Q183">
    <cfRule type="expression" dxfId="801" priority="96" stopIfTrue="1">
      <formula>"esterreur(reference)"</formula>
    </cfRule>
  </conditionalFormatting>
  <conditionalFormatting sqref="Q187">
    <cfRule type="expression" dxfId="800" priority="95" stopIfTrue="1">
      <formula>"esterreur(reference)"</formula>
    </cfRule>
  </conditionalFormatting>
  <conditionalFormatting sqref="Q197">
    <cfRule type="expression" dxfId="799" priority="94" stopIfTrue="1">
      <formula>"esterreur(reference)"</formula>
    </cfRule>
  </conditionalFormatting>
  <conditionalFormatting sqref="Q199">
    <cfRule type="expression" dxfId="798" priority="93" stopIfTrue="1">
      <formula>"esterreur(reference)"</formula>
    </cfRule>
  </conditionalFormatting>
  <conditionalFormatting sqref="Q198">
    <cfRule type="expression" dxfId="797" priority="92" stopIfTrue="1">
      <formula>"esterreur(reference)"</formula>
    </cfRule>
  </conditionalFormatting>
  <conditionalFormatting sqref="Q200">
    <cfRule type="expression" dxfId="796" priority="91" stopIfTrue="1">
      <formula>"esterreur(reference)"</formula>
    </cfRule>
  </conditionalFormatting>
  <conditionalFormatting sqref="Q201">
    <cfRule type="expression" dxfId="795" priority="90" stopIfTrue="1">
      <formula>"esterreur(reference)"</formula>
    </cfRule>
  </conditionalFormatting>
  <conditionalFormatting sqref="Q202:Q204">
    <cfRule type="expression" dxfId="794" priority="89" stopIfTrue="1">
      <formula>"esterreur(reference)"</formula>
    </cfRule>
  </conditionalFormatting>
  <conditionalFormatting sqref="Q206">
    <cfRule type="expression" dxfId="793" priority="87" stopIfTrue="1">
      <formula>"esterreur(reference)"</formula>
    </cfRule>
  </conditionalFormatting>
  <conditionalFormatting sqref="Q205">
    <cfRule type="expression" dxfId="792" priority="88" stopIfTrue="1">
      <formula>"esterreur(reference)"</formula>
    </cfRule>
  </conditionalFormatting>
  <conditionalFormatting sqref="Q208">
    <cfRule type="expression" dxfId="791" priority="85" stopIfTrue="1">
      <formula>"esterreur(reference)"</formula>
    </cfRule>
  </conditionalFormatting>
  <conditionalFormatting sqref="Q211:Q224">
    <cfRule type="expression" dxfId="790" priority="84" stopIfTrue="1">
      <formula>"esterreur(reference)"</formula>
    </cfRule>
  </conditionalFormatting>
  <conditionalFormatting sqref="Q225:Q226">
    <cfRule type="expression" dxfId="789" priority="83" stopIfTrue="1">
      <formula>"esterreur(reference)"</formula>
    </cfRule>
  </conditionalFormatting>
  <conditionalFormatting sqref="Q180">
    <cfRule type="expression" dxfId="788" priority="81" stopIfTrue="1">
      <formula>"esterreur(reference)"</formula>
    </cfRule>
  </conditionalFormatting>
  <conditionalFormatting sqref="P182">
    <cfRule type="expression" dxfId="787" priority="80" stopIfTrue="1">
      <formula>"esterreur(reference)"</formula>
    </cfRule>
  </conditionalFormatting>
  <conditionalFormatting sqref="P171">
    <cfRule type="expression" dxfId="786" priority="79" stopIfTrue="1">
      <formula>"esterreur(reference)"</formula>
    </cfRule>
  </conditionalFormatting>
  <conditionalFormatting sqref="P174">
    <cfRule type="expression" dxfId="785" priority="78" stopIfTrue="1">
      <formula>"esterreur(reference)"</formula>
    </cfRule>
  </conditionalFormatting>
  <conditionalFormatting sqref="P177">
    <cfRule type="expression" dxfId="784" priority="77" stopIfTrue="1">
      <formula>"esterreur(reference)"</formula>
    </cfRule>
  </conditionalFormatting>
  <conditionalFormatting sqref="P180">
    <cfRule type="expression" dxfId="783" priority="76" stopIfTrue="1">
      <formula>"esterreur(reference)"</formula>
    </cfRule>
  </conditionalFormatting>
  <conditionalFormatting sqref="P187">
    <cfRule type="expression" dxfId="782" priority="75" stopIfTrue="1">
      <formula>"esterreur(reference)"</formula>
    </cfRule>
  </conditionalFormatting>
  <conditionalFormatting sqref="P190">
    <cfRule type="expression" dxfId="781" priority="74" stopIfTrue="1">
      <formula>"esterreur(reference)"</formula>
    </cfRule>
  </conditionalFormatting>
  <conditionalFormatting sqref="Q210">
    <cfRule type="expression" dxfId="780" priority="73" stopIfTrue="1">
      <formula>"esterreur(reference)"</formula>
    </cfRule>
  </conditionalFormatting>
  <conditionalFormatting sqref="O287:Q287 O288:P288 O242:Q242 O251:Q252 O284:Q284 Q275:Q283 O253:P274">
    <cfRule type="expression" dxfId="779" priority="70" stopIfTrue="1">
      <formula>"esterreur(reference)"</formula>
    </cfRule>
  </conditionalFormatting>
  <conditionalFormatting sqref="O275:P280">
    <cfRule type="expression" dxfId="778" priority="71" stopIfTrue="1">
      <formula>"esterreur(reference)"</formula>
    </cfRule>
  </conditionalFormatting>
  <conditionalFormatting sqref="O281:P283">
    <cfRule type="expression" dxfId="777" priority="72" stopIfTrue="1">
      <formula>"esterreur(reference)"</formula>
    </cfRule>
  </conditionalFormatting>
  <conditionalFormatting sqref="Q271">
    <cfRule type="expression" dxfId="776" priority="52" stopIfTrue="1">
      <formula>"esterreur(reference)"</formula>
    </cfRule>
  </conditionalFormatting>
  <conditionalFormatting sqref="Q274">
    <cfRule type="expression" dxfId="775" priority="50" stopIfTrue="1">
      <formula>"esterreur(reference)"</formula>
    </cfRule>
  </conditionalFormatting>
  <conditionalFormatting sqref="Q243">
    <cfRule type="expression" dxfId="774" priority="69" stopIfTrue="1">
      <formula>"esterreur(reference)"</formula>
    </cfRule>
  </conditionalFormatting>
  <conditionalFormatting sqref="Q246">
    <cfRule type="expression" dxfId="773" priority="68" stopIfTrue="1">
      <formula>"esterreur(reference)"</formula>
    </cfRule>
  </conditionalFormatting>
  <conditionalFormatting sqref="Q253">
    <cfRule type="expression" dxfId="772" priority="67" stopIfTrue="1">
      <formula>"esterreur(reference)"</formula>
    </cfRule>
  </conditionalFormatting>
  <conditionalFormatting sqref="Q254">
    <cfRule type="expression" dxfId="771" priority="66" stopIfTrue="1">
      <formula>"esterreur(reference)"</formula>
    </cfRule>
  </conditionalFormatting>
  <conditionalFormatting sqref="Q255">
    <cfRule type="expression" dxfId="770" priority="65" stopIfTrue="1">
      <formula>"esterreur(reference)"</formula>
    </cfRule>
  </conditionalFormatting>
  <conditionalFormatting sqref="Q256">
    <cfRule type="expression" dxfId="769" priority="64" stopIfTrue="1">
      <formula>"esterreur(reference)"</formula>
    </cfRule>
  </conditionalFormatting>
  <conditionalFormatting sqref="Q257">
    <cfRule type="expression" dxfId="768" priority="63" stopIfTrue="1">
      <formula>"esterreur(reference)"</formula>
    </cfRule>
  </conditionalFormatting>
  <conditionalFormatting sqref="Q258">
    <cfRule type="expression" dxfId="767" priority="62" stopIfTrue="1">
      <formula>"esterreur(reference)"</formula>
    </cfRule>
  </conditionalFormatting>
  <conditionalFormatting sqref="Q259">
    <cfRule type="expression" dxfId="766" priority="61" stopIfTrue="1">
      <formula>"esterreur(reference)"</formula>
    </cfRule>
  </conditionalFormatting>
  <conditionalFormatting sqref="Q260">
    <cfRule type="expression" dxfId="765" priority="60" stopIfTrue="1">
      <formula>"esterreur(reference)"</formula>
    </cfRule>
  </conditionalFormatting>
  <conditionalFormatting sqref="Q261">
    <cfRule type="expression" dxfId="764" priority="59" stopIfTrue="1">
      <formula>"esterreur(reference)"</formula>
    </cfRule>
  </conditionalFormatting>
  <conditionalFormatting sqref="Q262">
    <cfRule type="expression" dxfId="763" priority="58" stopIfTrue="1">
      <formula>"esterreur(reference)"</formula>
    </cfRule>
  </conditionalFormatting>
  <conditionalFormatting sqref="Q263:Q264">
    <cfRule type="expression" dxfId="762" priority="57" stopIfTrue="1">
      <formula>"esterreur(reference)"</formula>
    </cfRule>
  </conditionalFormatting>
  <conditionalFormatting sqref="Q268">
    <cfRule type="expression" dxfId="761" priority="55" stopIfTrue="1">
      <formula>"esterreur(reference)"</formula>
    </cfRule>
  </conditionalFormatting>
  <conditionalFormatting sqref="Q267">
    <cfRule type="expression" dxfId="760" priority="56" stopIfTrue="1">
      <formula>"esterreur(reference)"</formula>
    </cfRule>
  </conditionalFormatting>
  <conditionalFormatting sqref="Q269">
    <cfRule type="expression" dxfId="759" priority="54" stopIfTrue="1">
      <formula>"esterreur(reference)"</formula>
    </cfRule>
  </conditionalFormatting>
  <conditionalFormatting sqref="Q270">
    <cfRule type="expression" dxfId="758" priority="53" stopIfTrue="1">
      <formula>"esterreur(reference)"</formula>
    </cfRule>
  </conditionalFormatting>
  <conditionalFormatting sqref="Q272:Q273">
    <cfRule type="expression" dxfId="757" priority="51" stopIfTrue="1">
      <formula>"esterreur(reference)"</formula>
    </cfRule>
  </conditionalFormatting>
  <conditionalFormatting sqref="P240">
    <cfRule type="expression" dxfId="756" priority="49" stopIfTrue="1">
      <formula>"esterreur(reference)"</formula>
    </cfRule>
  </conditionalFormatting>
  <conditionalFormatting sqref="P243">
    <cfRule type="expression" dxfId="755" priority="48" stopIfTrue="1">
      <formula>"esterreur(reference)"</formula>
    </cfRule>
  </conditionalFormatting>
  <conditionalFormatting sqref="P246">
    <cfRule type="expression" dxfId="754" priority="47" stopIfTrue="1">
      <formula>"esterreur(reference)"</formula>
    </cfRule>
  </conditionalFormatting>
  <conditionalFormatting sqref="Q240">
    <cfRule type="expression" dxfId="753" priority="46" stopIfTrue="1">
      <formula>"esterreur(reference)"</formula>
    </cfRule>
  </conditionalFormatting>
  <conditionalFormatting sqref="P286">
    <cfRule type="expression" dxfId="752" priority="45" stopIfTrue="1">
      <formula>"esterreur(reference)"</formula>
    </cfRule>
  </conditionalFormatting>
  <conditionalFormatting sqref="Q266">
    <cfRule type="expression" dxfId="751" priority="4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750" priority="42" stopIfTrue="1">
      <formula>"esterreur(reference)"</formula>
    </cfRule>
  </conditionalFormatting>
  <conditionalFormatting sqref="O316:Q316">
    <cfRule type="expression" dxfId="749" priority="43" stopIfTrue="1">
      <formula>"esterreur(reference)"</formula>
    </cfRule>
  </conditionalFormatting>
  <conditionalFormatting sqref="Q331:Q347">
    <cfRule type="expression" dxfId="748" priority="29" stopIfTrue="1">
      <formula>"esterreur(reference)"</formula>
    </cfRule>
  </conditionalFormatting>
  <conditionalFormatting sqref="Q325">
    <cfRule type="expression" dxfId="747" priority="33" stopIfTrue="1">
      <formula>"esterreur(reference)"</formula>
    </cfRule>
  </conditionalFormatting>
  <conditionalFormatting sqref="Q326">
    <cfRule type="expression" dxfId="746" priority="32" stopIfTrue="1">
      <formula>"esterreur(reference)"</formula>
    </cfRule>
  </conditionalFormatting>
  <conditionalFormatting sqref="Q327">
    <cfRule type="expression" dxfId="745" priority="31" stopIfTrue="1">
      <formula>"esterreur(reference)"</formula>
    </cfRule>
  </conditionalFormatting>
  <conditionalFormatting sqref="Q328">
    <cfRule type="expression" dxfId="744" priority="30" stopIfTrue="1">
      <formula>"esterreur(reference)"</formula>
    </cfRule>
  </conditionalFormatting>
  <conditionalFormatting sqref="Q294:Q300">
    <cfRule type="expression" dxfId="743" priority="41" stopIfTrue="1">
      <formula>"esterreur(reference)"</formula>
    </cfRule>
  </conditionalFormatting>
  <conditionalFormatting sqref="Q301">
    <cfRule type="expression" dxfId="742" priority="40" stopIfTrue="1">
      <formula>"esterreur(reference)"</formula>
    </cfRule>
  </conditionalFormatting>
  <conditionalFormatting sqref="Q302">
    <cfRule type="expression" dxfId="741" priority="39" stopIfTrue="1">
      <formula>"esterreur(reference)"</formula>
    </cfRule>
  </conditionalFormatting>
  <conditionalFormatting sqref="Q306">
    <cfRule type="expression" dxfId="740" priority="38" stopIfTrue="1">
      <formula>"esterreur(reference)"</formula>
    </cfRule>
  </conditionalFormatting>
  <conditionalFormatting sqref="Q307">
    <cfRule type="expression" dxfId="739" priority="37" stopIfTrue="1">
      <formula>"esterreur(reference)"</formula>
    </cfRule>
  </conditionalFormatting>
  <conditionalFormatting sqref="Q311">
    <cfRule type="expression" dxfId="738" priority="36" stopIfTrue="1">
      <formula>"esterreur(reference)"</formula>
    </cfRule>
  </conditionalFormatting>
  <conditionalFormatting sqref="Q317">
    <cfRule type="expression" dxfId="737" priority="35" stopIfTrue="1">
      <formula>"esterreur(reference)"</formula>
    </cfRule>
  </conditionalFormatting>
  <conditionalFormatting sqref="Q318">
    <cfRule type="expression" dxfId="736" priority="34" stopIfTrue="1">
      <formula>"esterreur(reference)"</formula>
    </cfRule>
  </conditionalFormatting>
  <conditionalFormatting sqref="O306:O307">
    <cfRule type="expression" dxfId="735" priority="28" stopIfTrue="1">
      <formula>"esterreur(reference)"</formula>
    </cfRule>
  </conditionalFormatting>
  <conditionalFormatting sqref="O311">
    <cfRule type="expression" dxfId="734" priority="27" stopIfTrue="1">
      <formula>"esterreur(reference)"</formula>
    </cfRule>
  </conditionalFormatting>
  <conditionalFormatting sqref="Q330">
    <cfRule type="expression" dxfId="733" priority="26" stopIfTrue="1">
      <formula>"esterreur(reference)"</formula>
    </cfRule>
  </conditionalFormatting>
  <conditionalFormatting sqref="O363:Q363 O364:P375">
    <cfRule type="expression" dxfId="732" priority="20" stopIfTrue="1">
      <formula>"esterreur(reference)"</formula>
    </cfRule>
  </conditionalFormatting>
  <conditionalFormatting sqref="O358:Q358">
    <cfRule type="expression" dxfId="731" priority="21" stopIfTrue="1">
      <formula>"esterreur(reference)"</formula>
    </cfRule>
  </conditionalFormatting>
  <conditionalFormatting sqref="O376:Q376 O377:P392">
    <cfRule type="expression" dxfId="730" priority="22" stopIfTrue="1">
      <formula>"esterreur(reference)"</formula>
    </cfRule>
  </conditionalFormatting>
  <conditionalFormatting sqref="O395:Q398 O393:P393">
    <cfRule type="expression" dxfId="729" priority="23" stopIfTrue="1">
      <formula>"esterreur(reference)"</formula>
    </cfRule>
  </conditionalFormatting>
  <conditionalFormatting sqref="O360:Q362 P359">
    <cfRule type="expression" dxfId="728" priority="24" stopIfTrue="1">
      <formula>"esterreur(reference)"</formula>
    </cfRule>
  </conditionalFormatting>
  <conditionalFormatting sqref="P394">
    <cfRule type="expression" dxfId="727" priority="25" stopIfTrue="1">
      <formula>"esterreur(reference)"</formula>
    </cfRule>
  </conditionalFormatting>
  <conditionalFormatting sqref="Q364:Q375">
    <cfRule type="expression" dxfId="726" priority="19" stopIfTrue="1">
      <formula>"esterreur(reference)"</formula>
    </cfRule>
  </conditionalFormatting>
  <conditionalFormatting sqref="Q377:Q393">
    <cfRule type="expression" dxfId="725" priority="18" stopIfTrue="1">
      <formula>"esterreur(reference)"</formula>
    </cfRule>
  </conditionalFormatting>
  <conditionalFormatting sqref="O359">
    <cfRule type="expression" dxfId="724" priority="17" stopIfTrue="1">
      <formula>"esterreur(reference)"</formula>
    </cfRule>
  </conditionalFormatting>
  <conditionalFormatting sqref="Q359">
    <cfRule type="expression" dxfId="723" priority="16" stopIfTrue="1">
      <formula>"esterreur(reference)"</formula>
    </cfRule>
  </conditionalFormatting>
  <conditionalFormatting sqref="Q36:Q40">
    <cfRule type="expression" dxfId="722" priority="15" stopIfTrue="1">
      <formula>"esterreur(reference)"</formula>
    </cfRule>
  </conditionalFormatting>
  <conditionalFormatting sqref="L68">
    <cfRule type="expression" dxfId="721" priority="14" stopIfTrue="1">
      <formula>"esterreur(reference)"</formula>
    </cfRule>
  </conditionalFormatting>
  <conditionalFormatting sqref="Q149:Q151">
    <cfRule type="expression" dxfId="720" priority="6" stopIfTrue="1">
      <formula>"esterreur(reference)"</formula>
    </cfRule>
  </conditionalFormatting>
  <conditionalFormatting sqref="H148 J148:K148">
    <cfRule type="expression" dxfId="719" priority="13" stopIfTrue="1">
      <formula>"esterreur(reference)"</formula>
    </cfRule>
  </conditionalFormatting>
  <conditionalFormatting sqref="L148">
    <cfRule type="expression" dxfId="718" priority="12" stopIfTrue="1">
      <formula>"esterreur(reference)"</formula>
    </cfRule>
  </conditionalFormatting>
  <conditionalFormatting sqref="O148:P148">
    <cfRule type="expression" dxfId="717" priority="11" stopIfTrue="1">
      <formula>"esterreur(reference)"</formula>
    </cfRule>
  </conditionalFormatting>
  <conditionalFormatting sqref="Q148">
    <cfRule type="expression" dxfId="716" priority="10" stopIfTrue="1">
      <formula>"esterreur(reference)"</formula>
    </cfRule>
  </conditionalFormatting>
  <conditionalFormatting sqref="H149:H151 J149:K151">
    <cfRule type="expression" dxfId="715" priority="9" stopIfTrue="1">
      <formula>"esterreur(reference)"</formula>
    </cfRule>
  </conditionalFormatting>
  <conditionalFormatting sqref="L149:L151">
    <cfRule type="expression" dxfId="714" priority="8" stopIfTrue="1">
      <formula>"esterreur(reference)"</formula>
    </cfRule>
  </conditionalFormatting>
  <conditionalFormatting sqref="O149:P151">
    <cfRule type="expression" dxfId="713" priority="7" stopIfTrue="1">
      <formula>"esterreur(reference)"</formula>
    </cfRule>
  </conditionalFormatting>
  <conditionalFormatting sqref="L158:L161">
    <cfRule type="expression" dxfId="712" priority="5" stopIfTrue="1">
      <formula>"esterreur(reference)"</formula>
    </cfRule>
  </conditionalFormatting>
  <conditionalFormatting sqref="AG414:AI417">
    <cfRule type="cellIs" dxfId="711" priority="4" operator="greaterThan">
      <formula>0</formula>
    </cfRule>
  </conditionalFormatting>
  <conditionalFormatting sqref="AO414:AO417">
    <cfRule type="cellIs" dxfId="710" priority="3" operator="greaterThan">
      <formula>0</formula>
    </cfRule>
  </conditionalFormatting>
  <conditionalFormatting sqref="G31:G32">
    <cfRule type="expression" dxfId="709" priority="2" stopIfTrue="1">
      <formula>"esterreur(reference)"</formula>
    </cfRule>
  </conditionalFormatting>
  <conditionalFormatting sqref="G111:G112">
    <cfRule type="expression" dxfId="708" priority="1" stopIfTrue="1">
      <formula>"esterreur(reference)"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697"/>
  <sheetViews>
    <sheetView topLeftCell="C1" zoomScale="60" zoomScaleNormal="60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tr">
        <f>[6]Parametres!B1</f>
        <v>Volks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CONCATENATE("Réalisé,"," ",[6]Parametres!B3," ",[6]Parametres!B4)</f>
        <v>Réalisé, Mai 2021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218</v>
      </c>
      <c r="K2" s="9"/>
      <c r="L2" s="9" t="s">
        <v>214</v>
      </c>
      <c r="M2" s="11"/>
      <c r="N2" s="11"/>
      <c r="O2" s="9" t="s">
        <v>218</v>
      </c>
      <c r="P2" s="9"/>
      <c r="Q2" s="9" t="s">
        <v>214</v>
      </c>
      <c r="R2" s="11"/>
      <c r="S2" s="11"/>
      <c r="T2" s="11"/>
      <c r="U2" s="11"/>
    </row>
    <row r="3" spans="1:40" ht="21" thickTop="1">
      <c r="B3" s="12"/>
      <c r="C3" s="13"/>
      <c r="D3" s="519" t="s">
        <v>5</v>
      </c>
      <c r="E3" s="520"/>
      <c r="F3" s="521"/>
      <c r="G3" s="522" t="s">
        <v>6</v>
      </c>
      <c r="H3" s="520"/>
      <c r="I3" s="521"/>
      <c r="J3" s="522" t="s">
        <v>7</v>
      </c>
      <c r="K3" s="520"/>
      <c r="L3" s="521"/>
      <c r="M3" s="522" t="s">
        <v>8</v>
      </c>
      <c r="N3" s="521"/>
      <c r="O3" s="519" t="s">
        <v>9</v>
      </c>
      <c r="P3" s="520"/>
      <c r="Q3" s="521"/>
      <c r="R3" s="522" t="s">
        <v>10</v>
      </c>
      <c r="S3" s="523"/>
      <c r="T3" s="14"/>
      <c r="U3" s="14"/>
      <c r="V3" t="s">
        <v>234</v>
      </c>
      <c r="W3" s="527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t="s">
        <v>235</v>
      </c>
      <c r="W4" s="527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0">+$K$1</f>
        <v>Véhicules neufs</v>
      </c>
      <c r="C5" s="21" t="s">
        <v>16</v>
      </c>
      <c r="D5" s="22"/>
      <c r="E5" s="22"/>
      <c r="F5" s="23">
        <f>+INDEX('[6]Budget original'!$A$2:$AO$496,MATCH($A5,'[6]Budget original'!$A$2:$A$496,0),MATCH(F$2,'[6]Budget original'!$A$2:$AO$2,0))</f>
        <v>981796.55292181112</v>
      </c>
      <c r="G5" s="24"/>
      <c r="H5" s="22"/>
      <c r="I5" s="25">
        <f>+INDEX('[6]Budget révisé'!$A$2:$AO$496,MATCH($A5,'[6]Budget révisé'!$A$2:$A$496,0),MATCH(I$2,'[6]Budget révisé'!$A$2:$AO$2,0))</f>
        <v>981796.55292181112</v>
      </c>
      <c r="J5" s="24"/>
      <c r="K5" s="26"/>
      <c r="L5" s="23">
        <f>-SUMIFS([6]BV_Data_An_Cour!$O:$O,[6]BV_Data_An_Cour!$X:$X,"Oui",[6]BV_Data_An_Cour!$U:$U,$B5)</f>
        <v>3760929.9899999998</v>
      </c>
      <c r="M5" s="27"/>
      <c r="N5" s="28"/>
      <c r="O5" s="24"/>
      <c r="P5" s="26"/>
      <c r="Q5" s="23">
        <f>-SUMIFS([6]BV_Data_An_Prec!$O:$O,[6]BV_Data_An_Prec!$X:$X,"Oui",[6]BV_Data_An_Prec!$U:$U,$B5)</f>
        <v>3162199.22</v>
      </c>
      <c r="R5" s="27"/>
      <c r="S5" s="29"/>
      <c r="T5" s="14"/>
      <c r="U5" s="14"/>
      <c r="V5" s="528" t="s">
        <v>229</v>
      </c>
      <c r="W5" s="529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1">+B6&amp;C6</f>
        <v>Véhicules neufsAutos détail</v>
      </c>
      <c r="B6" s="12" t="str">
        <f t="shared" si="0"/>
        <v>Véhicules neufs</v>
      </c>
      <c r="C6" s="30" t="s">
        <v>17</v>
      </c>
      <c r="D6" s="31">
        <f>+INDEX('[6]Budget original'!$A$2:$AO$496,MATCH($A6,'[6]Budget original'!$A$2:$A$496,0),MATCH(D$2,'[6]Budget original'!$A$2:$AO$2,0))</f>
        <v>35.760209540040471</v>
      </c>
      <c r="E6" s="31">
        <f>IF(D6=0,0,F6/D6)</f>
        <v>604.29042904290429</v>
      </c>
      <c r="F6" s="31">
        <f>+INDEX('[6]Budget original'!$A$2:$AO$496,MATCH($A6,'[6]Budget original'!$A$2:$A$496,0),MATCH(F$2,'[6]Budget original'!$A$2:$AO$2,0))</f>
        <v>21609.552365615215</v>
      </c>
      <c r="G6" s="32">
        <f>+INDEX('[6]Budget révisé'!$A$2:$AO$496,MATCH($A6,'[6]Budget révisé'!$A$2:$A$496,0),MATCH(G$2,'[6]Budget révisé'!$A$2:$AO$2,0))</f>
        <v>35.760209540040471</v>
      </c>
      <c r="H6" s="31">
        <f>IF(G6=0,0,I6/G6)</f>
        <v>955.0562178995126</v>
      </c>
      <c r="I6" s="31">
        <f>+INDEX('[6]Budget révisé'!$A$2:$AO$496,MATCH($A6,'[6]Budget révisé'!$A$2:$A$496,0),MATCH(I$2,'[6]Budget révisé'!$A$2:$AO$2,0))</f>
        <v>34153.010474605122</v>
      </c>
      <c r="J6" s="32">
        <f>-SUMIFS([6]BV_Data_An_Cour!$O:$O,[6]BV_Data_An_Cour!$U:$U,$B6,[6]BV_Data_An_Cour!$V:$V,$C6,[6]BV_Data_An_Cour!$W:$W,J$2)</f>
        <v>25</v>
      </c>
      <c r="K6" s="31">
        <f>IF(J6=0,0,L6/J6)</f>
        <v>1020.8359999999963</v>
      </c>
      <c r="L6" s="33">
        <f>-SUMIFS([6]BV_Data_An_Cour!$O:$O,[6]BV_Data_An_Cour!$U:$U,$B6,[6]BV_Data_An_Cour!$V:$V,$C6,[6]BV_Data_An_Cour!$W:$W,L$2)</f>
        <v>25520.899999999907</v>
      </c>
      <c r="M6" s="32">
        <f t="shared" ref="M6:M12" si="2">J6-G6</f>
        <v>-10.760209540040471</v>
      </c>
      <c r="N6" s="34">
        <f>L6-I6</f>
        <v>-8632.1104746052151</v>
      </c>
      <c r="O6" s="32">
        <f>-SUMIFS([6]BV_Data_An_Prec!$O:$O,[6]BV_Data_An_Prec!$U:$U,$B6,[6]BV_Data_An_Prec!$V:$V,$C6,[6]BV_Data_An_Prec!$W:$W,O$2)</f>
        <v>54</v>
      </c>
      <c r="P6" s="31">
        <f>IF(O6=0,0,Q6/O6)</f>
        <v>571.80129629629687</v>
      </c>
      <c r="Q6" s="33">
        <f>-SUMIFS([6]BV_Data_An_Prec!$O:$O,[6]BV_Data_An_Prec!$U:$U,$B6,[6]BV_Data_An_Prec!$V:$V,$C6,[6]BV_Data_An_Prec!$W:$W,Q$2)</f>
        <v>30877.270000000033</v>
      </c>
      <c r="R6" s="32">
        <f t="shared" ref="R6:R12" si="3">J6-O6</f>
        <v>-29</v>
      </c>
      <c r="S6" s="35">
        <f t="shared" ref="S6:S12" si="4">L6-Q6</f>
        <v>-5356.3700000001263</v>
      </c>
      <c r="T6" s="14"/>
      <c r="U6" s="14"/>
      <c r="V6" s="528" t="s">
        <v>236</v>
      </c>
      <c r="W6" s="529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1"/>
        <v>Véhicules neufsCamions détail</v>
      </c>
      <c r="B7" s="12" t="str">
        <f t="shared" si="0"/>
        <v>Véhicules neufs</v>
      </c>
      <c r="C7" s="30" t="s">
        <v>18</v>
      </c>
      <c r="D7" s="31">
        <f>+INDEX('[6]Budget original'!$A$2:$AO$496,MATCH($A7,'[6]Budget original'!$A$2:$A$496,0),MATCH(D$2,'[6]Budget original'!$A$2:$AO$2,0))</f>
        <v>48.03434086731508</v>
      </c>
      <c r="E7" s="31">
        <f t="shared" ref="E7:E12" si="5">IF(D7=0,0,F7/D7)</f>
        <v>1315.4791154791155</v>
      </c>
      <c r="F7" s="31">
        <f>+INDEX('[6]Budget original'!$A$2:$AO$496,MATCH($A7,'[6]Budget original'!$A$2:$A$496,0),MATCH(F$2,'[6]Budget original'!$A$2:$AO$2,0))</f>
        <v>63188.172236757971</v>
      </c>
      <c r="G7" s="32">
        <f>+INDEX('[6]Budget révisé'!$A$2:$AO$496,MATCH($A7,'[6]Budget révisé'!$A$2:$A$496,0),MATCH(G$2,'[6]Budget révisé'!$A$2:$AO$2,0))</f>
        <v>48.03434086731508</v>
      </c>
      <c r="H7" s="31">
        <f t="shared" ref="H7:H12" si="6">IF(G7=0,0,I7/G7)</f>
        <v>1702.6668817908319</v>
      </c>
      <c r="I7" s="31">
        <f>+INDEX('[6]Budget révisé'!$A$2:$AO$496,MATCH($A7,'[6]Budget révisé'!$A$2:$A$496,0),MATCH(I$2,'[6]Budget révisé'!$A$2:$AO$2,0))</f>
        <v>81786.481383429287</v>
      </c>
      <c r="J7" s="32">
        <f>-SUMIFS([6]BV_Data_An_Cour!$O:$O,[6]BV_Data_An_Cour!$U:$U,$B7,[6]BV_Data_An_Cour!$V:$V,$C7,[6]BV_Data_An_Cour!$W:$W,J$2)</f>
        <v>58</v>
      </c>
      <c r="K7" s="31">
        <f t="shared" ref="K7:K12" si="7">IF(J7=0,0,L7/J7)</f>
        <v>2126.4851724137952</v>
      </c>
      <c r="L7" s="33">
        <f>-SUMIFS([6]BV_Data_An_Cour!$O:$O,[6]BV_Data_An_Cour!$U:$U,$B7,[6]BV_Data_An_Cour!$V:$V,$C7,[6]BV_Data_An_Cour!$W:$W,L$2)</f>
        <v>123336.14000000013</v>
      </c>
      <c r="M7" s="32">
        <f t="shared" si="2"/>
        <v>9.9656591326849195</v>
      </c>
      <c r="N7" s="34">
        <f t="shared" ref="N7:N12" si="8">L7-I7</f>
        <v>41549.658616570843</v>
      </c>
      <c r="O7" s="32">
        <f>-SUMIFS([6]BV_Data_An_Prec!$O:$O,[6]BV_Data_An_Prec!$U:$U,$B7,[6]BV_Data_An_Prec!$V:$V,$C7,[6]BV_Data_An_Prec!$W:$W,O$2)</f>
        <v>23</v>
      </c>
      <c r="P7" s="31">
        <f t="shared" ref="P7:P12" si="9">IF(O7=0,0,Q7/O7)</f>
        <v>995.91391304347405</v>
      </c>
      <c r="Q7" s="33">
        <f>-SUMIFS([6]BV_Data_An_Prec!$O:$O,[6]BV_Data_An_Prec!$U:$U,$B7,[6]BV_Data_An_Prec!$V:$V,$C7,[6]BV_Data_An_Prec!$W:$W,Q$2)</f>
        <v>22906.019999999902</v>
      </c>
      <c r="R7" s="32">
        <f t="shared" si="3"/>
        <v>35</v>
      </c>
      <c r="S7" s="35">
        <f t="shared" si="4"/>
        <v>100430.12000000023</v>
      </c>
      <c r="T7" s="14"/>
      <c r="U7" s="14"/>
      <c r="V7" t="s">
        <v>237</v>
      </c>
      <c r="W7" s="527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1"/>
        <v>Véhicules neufsSprinter</v>
      </c>
      <c r="B8" s="12" t="str">
        <f t="shared" si="0"/>
        <v>Véhicules neufs</v>
      </c>
      <c r="C8" s="30" t="s">
        <v>19</v>
      </c>
      <c r="D8" s="31">
        <f>+INDEX('[6]Budget original'!$A$2:$AO$496,MATCH($A8,'[6]Budget original'!$A$2:$A$496,0),MATCH(D$2,'[6]Budget original'!$A$2:$AO$2,0))</f>
        <v>0</v>
      </c>
      <c r="E8" s="31">
        <f t="shared" si="5"/>
        <v>0</v>
      </c>
      <c r="F8" s="31">
        <f>+INDEX('[6]Budget original'!$A$2:$AO$496,MATCH($A8,'[6]Budget original'!$A$2:$A$496,0),MATCH(F$2,'[6]Budget original'!$A$2:$AO$2,0))</f>
        <v>0</v>
      </c>
      <c r="G8" s="32">
        <f>+INDEX('[6]Budget révisé'!$A$2:$AO$496,MATCH($A8,'[6]Budget révisé'!$A$2:$A$496,0),MATCH(G$2,'[6]Budget révisé'!$A$2:$AO$2,0))</f>
        <v>0</v>
      </c>
      <c r="H8" s="31">
        <f t="shared" si="6"/>
        <v>0</v>
      </c>
      <c r="I8" s="31">
        <f>+INDEX('[6]Budget révisé'!$A$2:$AO$496,MATCH($A8,'[6]Budget révisé'!$A$2:$A$496,0),MATCH(I$2,'[6]Budget révisé'!$A$2:$AO$2,0))</f>
        <v>0</v>
      </c>
      <c r="J8" s="32">
        <f>-SUMIFS([6]BV_Data_An_Cour!$O:$O,[6]BV_Data_An_Cour!$U:$U,$B8,[6]BV_Data_An_Cour!$V:$V,$C8,[6]BV_Data_An_Cour!$W:$W,J$2)</f>
        <v>0</v>
      </c>
      <c r="K8" s="31">
        <f t="shared" si="7"/>
        <v>0</v>
      </c>
      <c r="L8" s="33">
        <f>-SUMIFS([6]BV_Data_An_Cour!$O:$O,[6]BV_Data_An_Cour!$U:$U,$B8,[6]BV_Data_An_Cour!$V:$V,$C8,[6]BV_Data_An_Cour!$W:$W,L$2)</f>
        <v>0</v>
      </c>
      <c r="M8" s="32">
        <f t="shared" si="2"/>
        <v>0</v>
      </c>
      <c r="N8" s="34">
        <f t="shared" si="8"/>
        <v>0</v>
      </c>
      <c r="O8" s="32">
        <f>-SUMIFS([6]BV_Data_An_Prec!$O:$O,[6]BV_Data_An_Prec!$U:$U,$B8,[6]BV_Data_An_Prec!$V:$V,$C8,[6]BV_Data_An_Prec!$W:$W,O$2)</f>
        <v>0</v>
      </c>
      <c r="P8" s="31">
        <f t="shared" si="9"/>
        <v>0</v>
      </c>
      <c r="Q8" s="33">
        <f>-SUMIFS([6]BV_Data_An_Prec!$O:$O,[6]BV_Data_An_Prec!$U:$U,$B8,[6]BV_Data_An_Prec!$V:$V,$C8,[6]BV_Data_An_Prec!$W:$W,Q$2)</f>
        <v>0</v>
      </c>
      <c r="R8" s="32">
        <f t="shared" si="3"/>
        <v>0</v>
      </c>
      <c r="S8" s="35">
        <f t="shared" si="4"/>
        <v>0</v>
      </c>
      <c r="T8" s="14"/>
      <c r="U8" s="14"/>
      <c r="W8" s="527">
        <f t="shared" ref="W8" si="10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1"/>
        <v>Véhicules neufsMoto détail</v>
      </c>
      <c r="B9" s="12" t="str">
        <f t="shared" si="0"/>
        <v>Véhicules neufs</v>
      </c>
      <c r="C9" s="30" t="s">
        <v>20</v>
      </c>
      <c r="D9" s="31">
        <f>+INDEX('[6]Budget original'!$A$2:$AO$496,MATCH($A9,'[6]Budget original'!$A$2:$A$496,0),MATCH(D$2,'[6]Budget original'!$A$2:$AO$2,0))</f>
        <v>0</v>
      </c>
      <c r="E9" s="31">
        <f t="shared" si="5"/>
        <v>0</v>
      </c>
      <c r="F9" s="31">
        <f>+INDEX('[6]Budget original'!$A$2:$AO$496,MATCH($A9,'[6]Budget original'!$A$2:$A$496,0),MATCH(F$2,'[6]Budget original'!$A$2:$AO$2,0))</f>
        <v>0</v>
      </c>
      <c r="G9" s="32">
        <f>+INDEX('[6]Budget révisé'!$A$2:$AO$496,MATCH($A9,'[6]Budget révisé'!$A$2:$A$496,0),MATCH(G$2,'[6]Budget révisé'!$A$2:$AO$2,0))</f>
        <v>0</v>
      </c>
      <c r="H9" s="31">
        <f t="shared" si="6"/>
        <v>0</v>
      </c>
      <c r="I9" s="31">
        <f>+INDEX('[6]Budget révisé'!$A$2:$AO$496,MATCH($A9,'[6]Budget révisé'!$A$2:$A$496,0),MATCH(I$2,'[6]Budget révisé'!$A$2:$AO$2,0))</f>
        <v>0</v>
      </c>
      <c r="J9" s="32">
        <f>-SUMIFS([6]BV_Data_An_Cour!$O:$O,[6]BV_Data_An_Cour!$U:$U,$B9,[6]BV_Data_An_Cour!$V:$V,$C9,[6]BV_Data_An_Cour!$W:$W,J$2)</f>
        <v>0</v>
      </c>
      <c r="K9" s="31">
        <f t="shared" si="7"/>
        <v>0</v>
      </c>
      <c r="L9" s="33">
        <f>-SUMIFS([6]BV_Data_An_Cour!$O:$O,[6]BV_Data_An_Cour!$U:$U,$B9,[6]BV_Data_An_Cour!$V:$V,$C9,[6]BV_Data_An_Cour!$W:$W,L$2)</f>
        <v>0</v>
      </c>
      <c r="M9" s="32">
        <f t="shared" si="2"/>
        <v>0</v>
      </c>
      <c r="N9" s="34">
        <f t="shared" si="8"/>
        <v>0</v>
      </c>
      <c r="O9" s="32">
        <f>-SUMIFS([6]BV_Data_An_Prec!$O:$O,[6]BV_Data_An_Prec!$U:$U,$B9,[6]BV_Data_An_Prec!$V:$V,$C9,[6]BV_Data_An_Prec!$W:$W,O$2)</f>
        <v>0</v>
      </c>
      <c r="P9" s="31">
        <f t="shared" si="9"/>
        <v>0</v>
      </c>
      <c r="Q9" s="33">
        <f>-SUMIFS([6]BV_Data_An_Prec!$O:$O,[6]BV_Data_An_Prec!$U:$U,$B9,[6]BV_Data_An_Prec!$V:$V,$C9,[6]BV_Data_An_Prec!$W:$W,Q$2)</f>
        <v>0</v>
      </c>
      <c r="R9" s="32">
        <f t="shared" si="3"/>
        <v>0</v>
      </c>
      <c r="S9" s="35">
        <f t="shared" si="4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1"/>
        <v>Véhicules neufs[...]</v>
      </c>
      <c r="B10" s="12" t="str">
        <f t="shared" si="0"/>
        <v>Véhicules neufs</v>
      </c>
      <c r="C10" s="30" t="s">
        <v>21</v>
      </c>
      <c r="D10" s="31">
        <f>+INDEX('[6]Budget original'!$A$2:$AO$496,MATCH($A10,'[6]Budget original'!$A$2:$A$496,0),MATCH(D$2,'[6]Budget original'!$A$2:$AO$2,0))</f>
        <v>0</v>
      </c>
      <c r="E10" s="31">
        <f t="shared" si="5"/>
        <v>0</v>
      </c>
      <c r="F10" s="31">
        <f>+INDEX('[6]Budget original'!$A$2:$AO$496,MATCH($A10,'[6]Budget original'!$A$2:$A$496,0),MATCH(F$2,'[6]Budget original'!$A$2:$AO$2,0))</f>
        <v>0</v>
      </c>
      <c r="G10" s="32">
        <f>+INDEX('[6]Budget révisé'!$A$2:$AO$496,MATCH($A10,'[6]Budget révisé'!$A$2:$A$496,0),MATCH(G$2,'[6]Budget révisé'!$A$2:$AO$2,0))</f>
        <v>0</v>
      </c>
      <c r="H10" s="31">
        <f t="shared" si="6"/>
        <v>0</v>
      </c>
      <c r="I10" s="31">
        <f>+INDEX('[6]Budget révisé'!$A$2:$AO$496,MATCH($A10,'[6]Budget révisé'!$A$2:$A$496,0),MATCH(I$2,'[6]Budget révisé'!$A$2:$AO$2,0))</f>
        <v>0</v>
      </c>
      <c r="J10" s="32">
        <f>-SUMIFS([6]BV_Data_An_Cour!$O:$O,[6]BV_Data_An_Cour!$U:$U,$B10,[6]BV_Data_An_Cour!$V:$V,$C10,[6]BV_Data_An_Cour!$W:$W,J$2)</f>
        <v>0</v>
      </c>
      <c r="K10" s="31">
        <f t="shared" si="7"/>
        <v>0</v>
      </c>
      <c r="L10" s="33">
        <f>-SUMIFS([6]BV_Data_An_Cour!$O:$O,[6]BV_Data_An_Cour!$U:$U,$B10,[6]BV_Data_An_Cour!$V:$V,$C10,[6]BV_Data_An_Cour!$W:$W,L$2)</f>
        <v>0</v>
      </c>
      <c r="M10" s="32">
        <f t="shared" si="2"/>
        <v>0</v>
      </c>
      <c r="N10" s="34">
        <f t="shared" si="8"/>
        <v>0</v>
      </c>
      <c r="O10" s="32">
        <f>-SUMIFS([6]BV_Data_An_Prec!$O:$O,[6]BV_Data_An_Prec!$U:$U,$B10,[6]BV_Data_An_Prec!$V:$V,$C10,[6]BV_Data_An_Prec!$W:$W,O$2)</f>
        <v>0</v>
      </c>
      <c r="P10" s="31">
        <f t="shared" si="9"/>
        <v>0</v>
      </c>
      <c r="Q10" s="33">
        <f>-SUMIFS([6]BV_Data_An_Prec!$O:$O,[6]BV_Data_An_Prec!$U:$U,$B10,[6]BV_Data_An_Prec!$V:$V,$C10,[6]BV_Data_An_Prec!$W:$W,Q$2)</f>
        <v>0</v>
      </c>
      <c r="R10" s="32">
        <f t="shared" si="3"/>
        <v>0</v>
      </c>
      <c r="S10" s="35">
        <f t="shared" si="4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1"/>
        <v>Véhicules neufs[...]</v>
      </c>
      <c r="B11" s="12" t="str">
        <f t="shared" si="0"/>
        <v>Véhicules neufs</v>
      </c>
      <c r="C11" s="30" t="s">
        <v>21</v>
      </c>
      <c r="D11" s="31">
        <f>+INDEX('[6]Budget original'!$A$2:$AO$496,MATCH($A11,'[6]Budget original'!$A$2:$A$496,0),MATCH(D$2,'[6]Budget original'!$A$2:$AO$2,0))</f>
        <v>0</v>
      </c>
      <c r="E11" s="31">
        <f t="shared" si="5"/>
        <v>0</v>
      </c>
      <c r="F11" s="31">
        <f>+INDEX('[6]Budget original'!$A$2:$AO$496,MATCH($A11,'[6]Budget original'!$A$2:$A$496,0),MATCH(F$2,'[6]Budget original'!$A$2:$AO$2,0))</f>
        <v>0</v>
      </c>
      <c r="G11" s="32">
        <f>+INDEX('[6]Budget révisé'!$A$2:$AO$496,MATCH($A11,'[6]Budget révisé'!$A$2:$A$496,0),MATCH(G$2,'[6]Budget révisé'!$A$2:$AO$2,0))</f>
        <v>0</v>
      </c>
      <c r="H11" s="31">
        <f t="shared" si="6"/>
        <v>0</v>
      </c>
      <c r="I11" s="31">
        <f>+INDEX('[6]Budget révisé'!$A$2:$AO$496,MATCH($A11,'[6]Budget révisé'!$A$2:$A$496,0),MATCH(I$2,'[6]Budget révisé'!$A$2:$AO$2,0))</f>
        <v>0</v>
      </c>
      <c r="J11" s="32">
        <f>-SUMIFS([6]BV_Data_An_Cour!$O:$O,[6]BV_Data_An_Cour!$U:$U,$B11,[6]BV_Data_An_Cour!$V:$V,$C11,[6]BV_Data_An_Cour!$W:$W,J$2)</f>
        <v>0</v>
      </c>
      <c r="K11" s="31">
        <f t="shared" si="7"/>
        <v>0</v>
      </c>
      <c r="L11" s="33">
        <f>-SUMIFS([6]BV_Data_An_Cour!$O:$O,[6]BV_Data_An_Cour!$U:$U,$B11,[6]BV_Data_An_Cour!$V:$V,$C11,[6]BV_Data_An_Cour!$W:$W,L$2)</f>
        <v>0</v>
      </c>
      <c r="M11" s="32">
        <f t="shared" si="2"/>
        <v>0</v>
      </c>
      <c r="N11" s="34">
        <f t="shared" si="8"/>
        <v>0</v>
      </c>
      <c r="O11" s="32">
        <f>-SUMIFS([6]BV_Data_An_Prec!$O:$O,[6]BV_Data_An_Prec!$U:$U,$B11,[6]BV_Data_An_Prec!$V:$V,$C11,[6]BV_Data_An_Prec!$W:$W,O$2)</f>
        <v>0</v>
      </c>
      <c r="P11" s="31">
        <f t="shared" si="9"/>
        <v>0</v>
      </c>
      <c r="Q11" s="33">
        <f>-SUMIFS([6]BV_Data_An_Prec!$O:$O,[6]BV_Data_An_Prec!$U:$U,$B11,[6]BV_Data_An_Prec!$V:$V,$C11,[6]BV_Data_An_Prec!$W:$W,Q$2)</f>
        <v>0</v>
      </c>
      <c r="R11" s="32">
        <f t="shared" si="3"/>
        <v>0</v>
      </c>
      <c r="S11" s="35">
        <f t="shared" si="4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1"/>
        <v>Véhicules neufs[...]</v>
      </c>
      <c r="B12" s="12" t="str">
        <f t="shared" si="0"/>
        <v>Véhicules neufs</v>
      </c>
      <c r="C12" s="30" t="s">
        <v>21</v>
      </c>
      <c r="D12" s="31">
        <f>+INDEX('[6]Budget original'!$A$2:$AO$496,MATCH($A12,'[6]Budget original'!$A$2:$A$496,0),MATCH(D$2,'[6]Budget original'!$A$2:$AO$2,0))</f>
        <v>0</v>
      </c>
      <c r="E12" s="31">
        <f t="shared" si="5"/>
        <v>0</v>
      </c>
      <c r="F12" s="31">
        <f>+INDEX('[6]Budget original'!$A$2:$AO$496,MATCH($A12,'[6]Budget original'!$A$2:$A$496,0),MATCH(F$2,'[6]Budget original'!$A$2:$AO$2,0))</f>
        <v>0</v>
      </c>
      <c r="G12" s="32">
        <f>+INDEX('[6]Budget révisé'!$A$2:$AO$496,MATCH($A12,'[6]Budget révisé'!$A$2:$A$496,0),MATCH(G$2,'[6]Budget révisé'!$A$2:$AO$2,0))</f>
        <v>0</v>
      </c>
      <c r="H12" s="31">
        <f t="shared" si="6"/>
        <v>0</v>
      </c>
      <c r="I12" s="31">
        <f>+INDEX('[6]Budget révisé'!$A$2:$AO$496,MATCH($A12,'[6]Budget révisé'!$A$2:$A$496,0),MATCH(I$2,'[6]Budget révisé'!$A$2:$AO$2,0))</f>
        <v>0</v>
      </c>
      <c r="J12" s="32">
        <f>-SUMIFS([6]BV_Data_An_Cour!$O:$O,[6]BV_Data_An_Cour!$U:$U,$B12,[6]BV_Data_An_Cour!$V:$V,$C12,[6]BV_Data_An_Cour!$W:$W,J$2)</f>
        <v>0</v>
      </c>
      <c r="K12" s="31">
        <f t="shared" si="7"/>
        <v>0</v>
      </c>
      <c r="L12" s="33">
        <f>-SUMIFS([6]BV_Data_An_Cour!$O:$O,[6]BV_Data_An_Cour!$U:$U,$B12,[6]BV_Data_An_Cour!$V:$V,$C12,[6]BV_Data_An_Cour!$W:$W,L$2)</f>
        <v>0</v>
      </c>
      <c r="M12" s="32">
        <f t="shared" si="2"/>
        <v>0</v>
      </c>
      <c r="N12" s="34">
        <f t="shared" si="8"/>
        <v>0</v>
      </c>
      <c r="O12" s="32">
        <f>-SUMIFS([6]BV_Data_An_Prec!$O:$O,[6]BV_Data_An_Prec!$U:$U,$B12,[6]BV_Data_An_Prec!$V:$V,$C12,[6]BV_Data_An_Prec!$W:$W,O$2)</f>
        <v>0</v>
      </c>
      <c r="P12" s="31">
        <f t="shared" si="9"/>
        <v>0</v>
      </c>
      <c r="Q12" s="33">
        <f>-SUMIFS([6]BV_Data_An_Prec!$O:$O,[6]BV_Data_An_Prec!$U:$U,$B12,[6]BV_Data_An_Prec!$V:$V,$C12,[6]BV_Data_An_Prec!$W:$W,Q$2)</f>
        <v>0</v>
      </c>
      <c r="R12" s="32">
        <f t="shared" si="3"/>
        <v>0</v>
      </c>
      <c r="S12" s="35">
        <f t="shared" si="4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1"/>
        <v>Véhicules neufsTotal Neufs</v>
      </c>
      <c r="B13" s="12" t="str">
        <f t="shared" si="0"/>
        <v>Véhicules neufs</v>
      </c>
      <c r="C13" s="36" t="s">
        <v>22</v>
      </c>
      <c r="D13" s="37">
        <f>+SUM(D6:D12)</f>
        <v>83.794550407355558</v>
      </c>
      <c r="E13" s="37">
        <f>IF(D13&lt;=0,0,F13/D13)</f>
        <v>1011.9718309859154</v>
      </c>
      <c r="F13" s="38">
        <f>+SUM(F6:F12)</f>
        <v>84797.724602373186</v>
      </c>
      <c r="G13" s="39">
        <f>+SUM(G6:G12)</f>
        <v>83.794550407355558</v>
      </c>
      <c r="H13" s="37">
        <f>IF(G13&lt;=0,0,I13/G13)</f>
        <v>1383.616133679466</v>
      </c>
      <c r="I13" s="38">
        <f>+SUM(I6:I12)</f>
        <v>115939.49185803441</v>
      </c>
      <c r="J13" s="39">
        <f>+SUM(J6:J12)</f>
        <v>83</v>
      </c>
      <c r="K13" s="37">
        <f>IF(J13&lt;=0,0,L13/J13)</f>
        <v>1793.4583132530124</v>
      </c>
      <c r="L13" s="38">
        <f>+SUM(L6:L12)</f>
        <v>148857.04000000004</v>
      </c>
      <c r="M13" s="39">
        <f>+SUM(M6:M12)</f>
        <v>-0.79455040735555116</v>
      </c>
      <c r="N13" s="38">
        <f>+SUM(N6:N12)</f>
        <v>32917.548141965628</v>
      </c>
      <c r="O13" s="39">
        <f>+SUM(O6:O12)</f>
        <v>77</v>
      </c>
      <c r="P13" s="37">
        <f>IF(O13&lt;=0,0,Q13/O13)</f>
        <v>698.48428571428485</v>
      </c>
      <c r="Q13" s="38">
        <f>+SUM(Q6:Q12)</f>
        <v>53783.289999999935</v>
      </c>
      <c r="R13" s="39">
        <f>+SUM(R6:R12)</f>
        <v>6</v>
      </c>
      <c r="S13" s="40">
        <f>+SUM(S6:S12)</f>
        <v>95073.750000000102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1"/>
        <v>Véhicules neufs</v>
      </c>
      <c r="B14" s="12" t="str">
        <f t="shared" si="0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-9.4821250724892586E-3</v>
      </c>
      <c r="N14" s="44">
        <f>IF(I13=0,0,N13/I13)</f>
        <v>0.28392006566901734</v>
      </c>
      <c r="O14" s="42"/>
      <c r="P14" s="31"/>
      <c r="Q14" s="41"/>
      <c r="R14" s="43">
        <f>R13/O13</f>
        <v>7.792207792207792E-2</v>
      </c>
      <c r="S14" s="45">
        <f>IF(Q13=0,0,(S13/Q13))</f>
        <v>1.7677191187076919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1"/>
        <v>Véhicules neufsEx-Démos et courtoisies</v>
      </c>
      <c r="B15" s="12" t="str">
        <f t="shared" si="0"/>
        <v>Véhicules neufs</v>
      </c>
      <c r="C15" s="46" t="s">
        <v>23</v>
      </c>
      <c r="D15" s="26">
        <f>+INDEX('[6]Budget original'!$A$2:$AO$496,MATCH($A15,'[6]Budget original'!$A$2:$A$496,0),MATCH(D$2,'[6]Budget original'!$A$2:$AO$2,0))</f>
        <v>8.7335165213300154</v>
      </c>
      <c r="E15" s="26">
        <f t="shared" ref="E15" si="11">IF(D15=0,0,F15/D15)</f>
        <v>400</v>
      </c>
      <c r="F15" s="23">
        <f>+INDEX('[6]Budget original'!$A$2:$AO$496,MATCH($A15,'[6]Budget original'!$A$2:$A$496,0),MATCH(F$2,'[6]Budget original'!$A$2:$AO$2,0))</f>
        <v>3493.406608532006</v>
      </c>
      <c r="G15" s="47">
        <f>+INDEX('[6]Budget révisé'!$A$2:$AO$496,MATCH($A15,'[6]Budget révisé'!$A$2:$A$496,0),MATCH(G$2,'[6]Budget révisé'!$A$2:$AO$2,0))</f>
        <v>8.7335165213300154</v>
      </c>
      <c r="H15" s="48">
        <f t="shared" ref="H15" si="12">IF(G15=0,0,I15/G15)</f>
        <v>790.03378359300473</v>
      </c>
      <c r="I15" s="49">
        <f>+INDEX('[6]Budget révisé'!$A$2:$AO$496,MATCH($A15,'[6]Budget révisé'!$A$2:$A$496,0),MATCH(I$2,'[6]Budget révisé'!$A$2:$AO$2,0))</f>
        <v>6899.7731014183692</v>
      </c>
      <c r="J15" s="50">
        <f>-SUMIFS([6]BV_Data_An_Cour!$O:$O,[6]BV_Data_An_Cour!$U:$U,$B15,[6]BV_Data_An_Cour!$V:$V,$C15,[6]BV_Data_An_Cour!$W:$W,J$2)</f>
        <v>4</v>
      </c>
      <c r="K15" s="51">
        <f>IF(J15=0,0,L15/J15)</f>
        <v>2427.2750000000015</v>
      </c>
      <c r="L15" s="51">
        <f>-SUMIFS([6]BV_Data_An_Cour!$O:$O,[6]BV_Data_An_Cour!$U:$U,$B15,[6]BV_Data_An_Cour!$V:$V,$C15,[6]BV_Data_An_Cour!$W:$W,L$2)</f>
        <v>9709.1000000000058</v>
      </c>
      <c r="M15" s="52">
        <f>J15-G15</f>
        <v>-4.7335165213300154</v>
      </c>
      <c r="N15" s="49">
        <f>L15-I15</f>
        <v>2809.3268985816367</v>
      </c>
      <c r="O15" s="50">
        <f>-SUMIFS([6]BV_Data_An_Prec!$O:$O,[6]BV_Data_An_Prec!$U:$U,$B15,[6]BV_Data_An_Prec!$V:$V,$C15,[6]BV_Data_An_Prec!$W:$W,O$2)</f>
        <v>11</v>
      </c>
      <c r="P15" s="51">
        <f>IF(O15=0,0,Q15/O15)</f>
        <v>30.737272727271456</v>
      </c>
      <c r="Q15" s="51">
        <f>-SUMIFS([6]BV_Data_An_Prec!$O:$O,[6]BV_Data_An_Prec!$U:$U,$B15,[6]BV_Data_An_Prec!$V:$V,$C15,[6]BV_Data_An_Prec!$W:$W,Q$2)</f>
        <v>338.10999999998603</v>
      </c>
      <c r="R15" s="52">
        <f>J15-O15</f>
        <v>-7</v>
      </c>
      <c r="S15" s="53">
        <f>L15-Q15</f>
        <v>9370.9900000000198</v>
      </c>
      <c r="T15" s="14"/>
      <c r="U15" s="14"/>
      <c r="V15" s="87">
        <f>3125-L15</f>
        <v>-6584.1000000000058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1"/>
        <v>Véhicules neufs</v>
      </c>
      <c r="B16" s="12" t="str">
        <f t="shared" si="0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1"/>
        <v>Véhicules neufsFlottes</v>
      </c>
      <c r="B17" s="12" t="str">
        <f t="shared" si="0"/>
        <v>Véhicules neufs</v>
      </c>
      <c r="C17" s="54" t="s">
        <v>24</v>
      </c>
      <c r="D17" s="31">
        <f>+INDEX('[6]Budget original'!$A$2:$AO$496,MATCH($A17,'[6]Budget original'!$A$2:$A$496,0),MATCH(D$2,'[6]Budget original'!$A$2:$AO$2,0))</f>
        <v>0</v>
      </c>
      <c r="E17" s="31">
        <f t="shared" ref="E17" si="13">IF(D17=0,0,F17/D17)</f>
        <v>0</v>
      </c>
      <c r="F17" s="31">
        <f>+INDEX('[6]Budget original'!$A$2:$AO$496,MATCH($A17,'[6]Budget original'!$A$2:$A$496,0),MATCH(F$2,'[6]Budget original'!$A$2:$AO$2,0))</f>
        <v>0</v>
      </c>
      <c r="G17" s="32">
        <f>+INDEX('[6]Budget révisé'!$A$2:$AO$496,MATCH($A17,'[6]Budget révisé'!$A$2:$A$496,0),MATCH(G$2,'[6]Budget révisé'!$A$2:$AO$2,0))</f>
        <v>3.1998136824649825</v>
      </c>
      <c r="H17" s="31">
        <f t="shared" ref="H17" si="14">IF(G17=0,0,I17/G17)</f>
        <v>800.00000000000011</v>
      </c>
      <c r="I17" s="31">
        <f>+INDEX('[6]Budget révisé'!$A$2:$AO$496,MATCH($A17,'[6]Budget révisé'!$A$2:$A$496,0),MATCH(I$2,'[6]Budget révisé'!$A$2:$AO$2,0))</f>
        <v>2559.8509459719862</v>
      </c>
      <c r="J17" s="52">
        <f>-SUMIFS([6]BV_Data_An_Cour!$O:$O,[6]BV_Data_An_Cour!$U:$U,$B17,[6]BV_Data_An_Cour!$V:$V,$C17,[6]BV_Data_An_Cour!$W:$W,J$2)</f>
        <v>4</v>
      </c>
      <c r="K17" s="31">
        <f>IF(J17=0,0,L17/J17)</f>
        <v>2789.6125000000029</v>
      </c>
      <c r="L17" s="34">
        <f>-SUMIFS([6]BV_Data_An_Cour!$O:$O,[6]BV_Data_An_Cour!$U:$U,$B17,[6]BV_Data_An_Cour!$V:$V,$C17,[6]BV_Data_An_Cour!$W:$W,L$2)</f>
        <v>11158.450000000012</v>
      </c>
      <c r="M17" s="52">
        <f>J17-G17</f>
        <v>0.80018631753501746</v>
      </c>
      <c r="N17" s="34">
        <f>L17-I17</f>
        <v>8598.5990540280254</v>
      </c>
      <c r="O17" s="52">
        <f>-SUMIFS([6]BV_Data_An_Prec!$O:$O,[6]BV_Data_An_Prec!$U:$U,$B17,[6]BV_Data_An_Prec!$V:$V,$C17,[6]BV_Data_An_Prec!$W:$W,O$2)</f>
        <v>3</v>
      </c>
      <c r="P17" s="31">
        <f>IF(O17=0,0,Q17/O17)</f>
        <v>1624.1633333333302</v>
      </c>
      <c r="Q17" s="34">
        <f>-SUMIFS([6]BV_Data_An_Prec!$O:$O,[6]BV_Data_An_Prec!$U:$U,$B17,[6]BV_Data_An_Prec!$V:$V,$C17,[6]BV_Data_An_Prec!$W:$W,Q$2)</f>
        <v>4872.4899999999907</v>
      </c>
      <c r="R17" s="32">
        <f>J17-O17</f>
        <v>1</v>
      </c>
      <c r="S17" s="35">
        <f>L17-Q17</f>
        <v>6285.960000000021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1"/>
        <v>Véhicules neufs</v>
      </c>
      <c r="B18" s="12" t="str">
        <f t="shared" si="0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1"/>
        <v>Véhicules neufsRachat bail</v>
      </c>
      <c r="B19" s="12" t="str">
        <f t="shared" si="0"/>
        <v>Véhicules neufs</v>
      </c>
      <c r="C19" s="46" t="s">
        <v>25</v>
      </c>
      <c r="D19" s="31">
        <f>+INDEX('[6]Budget original'!$A$2:$AO$496,MATCH($A19,'[6]Budget original'!$A$2:$A$496,0),MATCH(D$2,'[6]Budget original'!$A$2:$AO$2,0))</f>
        <v>0</v>
      </c>
      <c r="E19" s="31">
        <f t="shared" ref="E19" si="15">IF(D19=0,0,F19/D19)</f>
        <v>0</v>
      </c>
      <c r="F19" s="31">
        <f>+INDEX('[6]Budget original'!$A$2:$AO$496,MATCH($A19,'[6]Budget original'!$A$2:$A$496,0),MATCH(F$2,'[6]Budget original'!$A$2:$AO$2,0))</f>
        <v>5000</v>
      </c>
      <c r="G19" s="32">
        <f>+INDEX('[6]Budget révisé'!$A$2:$AO$496,MATCH($A19,'[6]Budget révisé'!$A$2:$A$496,0),MATCH(G$2,'[6]Budget révisé'!$A$2:$AO$2,0))</f>
        <v>0</v>
      </c>
      <c r="H19" s="31">
        <f t="shared" ref="H19" si="16">IF(G19=0,0,I19/G19)</f>
        <v>0</v>
      </c>
      <c r="I19" s="31">
        <f>+INDEX('[6]Budget révisé'!$A$2:$AO$496,MATCH($A19,'[6]Budget révisé'!$A$2:$A$496,0),MATCH(I$2,'[6]Budget révisé'!$A$2:$AO$2,0))</f>
        <v>5000</v>
      </c>
      <c r="J19" s="47"/>
      <c r="K19" s="31"/>
      <c r="L19" s="34">
        <f>-SUMIFS([6]BV_Data_An_Cour!$O:$O,[6]BV_Data_An_Cour!$U:$U,$B19,[6]BV_Data_An_Cour!$V:$V,$C19,[6]BV_Data_An_Cour!$W:$W,L$2)</f>
        <v>6141.9900000000198</v>
      </c>
      <c r="M19" s="32"/>
      <c r="N19" s="34">
        <f>L19-I19</f>
        <v>1141.9900000000198</v>
      </c>
      <c r="O19" s="47"/>
      <c r="P19" s="31"/>
      <c r="Q19" s="34">
        <f>-SUMIFS([6]BV_Data_An_Prec!$O:$O,[6]BV_Data_An_Prec!$U:$U,$B19,[6]BV_Data_An_Prec!$V:$V,$C19,[6]BV_Data_An_Prec!$W:$W,Q$2)</f>
        <v>4014.8500000000058</v>
      </c>
      <c r="R19" s="32">
        <f>O19-K19</f>
        <v>0</v>
      </c>
      <c r="S19" s="35">
        <f>L19-Q19</f>
        <v>2127.140000000014</v>
      </c>
      <c r="T19" s="14"/>
      <c r="U19" s="14" t="s">
        <v>215</v>
      </c>
      <c r="V19" s="87">
        <f>G13+G15+G17</f>
        <v>95.727880611150553</v>
      </c>
      <c r="W19" s="87">
        <f>I13+I15+I17</f>
        <v>125399.11590542475</v>
      </c>
      <c r="X19" s="492">
        <f>W19/V19</f>
        <v>1309.9539559932348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1"/>
        <v>Véhicules neufs</v>
      </c>
      <c r="B20" s="12" t="str">
        <f t="shared" si="0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87">
        <f>J13+J15+J17</f>
        <v>91</v>
      </c>
      <c r="W20" s="87">
        <f>L13+L15+L17</f>
        <v>169724.59000000005</v>
      </c>
      <c r="X20" s="492">
        <f>W20/V20</f>
        <v>1865.1053846153852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30" t="s">
        <v>26</v>
      </c>
      <c r="D21" s="31">
        <f>+INDEX('[6]Budget original'!$A$2:$AO$496,MATCH($A21,'[6]Budget original'!$A$2:$A$496,0),MATCH(D$2,'[6]Budget original'!$A$2:$AO$2,0))</f>
        <v>0</v>
      </c>
      <c r="E21" s="31">
        <f t="shared" ref="E21:E23" si="17">IF(D21=0,0,F21/D21)</f>
        <v>0</v>
      </c>
      <c r="F21" s="31">
        <f>+INDEX('[6]Budget original'!$A$2:$AO$496,MATCH($A21,'[6]Budget original'!$A$2:$A$496,0),MATCH(F$2,'[6]Budget original'!$A$2:$AO$2,0))</f>
        <v>8705.0214832521433</v>
      </c>
      <c r="G21" s="42">
        <f>+INDEX('[6]Budget révisé'!$A$2:$AO$496,MATCH($A21,'[6]Budget révisé'!$A$2:$A$496,0),MATCH(G$2,'[6]Budget révisé'!$A$2:$AO$2,0))</f>
        <v>0</v>
      </c>
      <c r="H21" s="31">
        <f t="shared" ref="H21:H23" si="18">IF(G21=0,0,I21/G21)</f>
        <v>0</v>
      </c>
      <c r="I21" s="31">
        <f>+INDEX('[6]Budget révisé'!$A$2:$AO$496,MATCH($A21,'[6]Budget révisé'!$A$2:$A$496,0),MATCH(I$2,'[6]Budget révisé'!$A$2:$AO$2,0))</f>
        <v>8705.0214832521433</v>
      </c>
      <c r="J21" s="32"/>
      <c r="K21" s="31">
        <f>IF(J13=0,0,L21/(J13+J15))</f>
        <v>0</v>
      </c>
      <c r="L21" s="34">
        <f>-SUMIFS([6]BV_Data_An_Cour!$O:$O,[6]BV_Data_An_Cour!$U:$U,$B21,[6]BV_Data_An_Cour!$V:$V,$C21,[6]BV_Data_An_Cour!$W:$W,L$2)</f>
        <v>0</v>
      </c>
      <c r="M21" s="32"/>
      <c r="N21" s="34">
        <f t="shared" ref="N21:N24" si="19">L21-I21</f>
        <v>-8705.0214832521433</v>
      </c>
      <c r="O21" s="32"/>
      <c r="P21" s="31">
        <f>IF(O13=0,0,Q21/(O13+O15))</f>
        <v>66.863522727272724</v>
      </c>
      <c r="Q21" s="34">
        <f>-SUMIFS([6]BV_Data_An_Prec!$O:$O,[6]BV_Data_An_Prec!$U:$U,$B21,[6]BV_Data_An_Prec!$V:$V,$C21,[6]BV_Data_An_Prec!$W:$W,Q$2)</f>
        <v>5883.99</v>
      </c>
      <c r="R21" s="32">
        <f t="shared" ref="R21:R23" si="20">O21-K21</f>
        <v>0</v>
      </c>
      <c r="S21" s="35">
        <f t="shared" ref="S21:S24" si="21">L21-Q21</f>
        <v>-5883.99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tr">
        <f t="shared" si="1"/>
        <v>Véhicules neufsRev. Protections</v>
      </c>
      <c r="B22" s="12" t="str">
        <f t="shared" si="0"/>
        <v>Véhicules neufs</v>
      </c>
      <c r="C22" s="30" t="s">
        <v>27</v>
      </c>
      <c r="D22" s="31">
        <f>+INDEX('[6]Budget original'!$A$2:$AO$496,MATCH($A22,'[6]Budget original'!$A$2:$A$496,0),MATCH(D$2,'[6]Budget original'!$A$2:$AO$2,0))</f>
        <v>0</v>
      </c>
      <c r="E22" s="31">
        <f t="shared" si="17"/>
        <v>0</v>
      </c>
      <c r="F22" s="31">
        <f>+INDEX('[6]Budget original'!$A$2:$AO$496,MATCH($A22,'[6]Budget original'!$A$2:$A$496,0),MATCH(F$2,'[6]Budget original'!$A$2:$AO$2,0))</f>
        <v>68223.075345487727</v>
      </c>
      <c r="G22" s="42">
        <f>+INDEX('[6]Budget révisé'!$A$2:$AO$496,MATCH($A22,'[6]Budget révisé'!$A$2:$A$496,0),MATCH(G$2,'[6]Budget révisé'!$A$2:$AO$2,0))</f>
        <v>0</v>
      </c>
      <c r="H22" s="31">
        <f t="shared" si="18"/>
        <v>0</v>
      </c>
      <c r="I22" s="31">
        <f>+INDEX('[6]Budget révisé'!$A$2:$AO$496,MATCH($A22,'[6]Budget révisé'!$A$2:$A$496,0),MATCH(I$2,'[6]Budget révisé'!$A$2:$AO$2,0))</f>
        <v>68223.075345487727</v>
      </c>
      <c r="J22" s="32"/>
      <c r="K22" s="31">
        <f>IF(J13=0,0,L22/(J13+J15))</f>
        <v>765.23471264367811</v>
      </c>
      <c r="L22" s="34">
        <f>-SUMIFS([6]BV_Data_An_Cour!$O:$O,[6]BV_Data_An_Cour!$U:$U,$B22,[6]BV_Data_An_Cour!$V:$V,$C22,[6]BV_Data_An_Cour!$W:$W,L$2)</f>
        <v>66575.42</v>
      </c>
      <c r="M22" s="32"/>
      <c r="N22" s="34">
        <f t="shared" si="19"/>
        <v>-1647.6553454877285</v>
      </c>
      <c r="O22" s="32"/>
      <c r="P22" s="31">
        <f>IF(O13=0,0,Q22/(O13+O15))</f>
        <v>390.76840909090902</v>
      </c>
      <c r="Q22" s="34">
        <f>-SUMIFS([6]BV_Data_An_Prec!$O:$O,[6]BV_Data_An_Prec!$U:$U,$B22,[6]BV_Data_An_Prec!$V:$V,$C22,[6]BV_Data_An_Prec!$W:$W,Q$2)</f>
        <v>34387.619999999995</v>
      </c>
      <c r="R22" s="32">
        <f t="shared" si="20"/>
        <v>-765.23471264367811</v>
      </c>
      <c r="S22" s="35">
        <f t="shared" si="21"/>
        <v>32187.800000000003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tr">
        <f t="shared" si="1"/>
        <v>Véhicules neufsRev. Autres</v>
      </c>
      <c r="B23" s="12" t="str">
        <f t="shared" si="0"/>
        <v>Véhicules neufs</v>
      </c>
      <c r="C23" s="30" t="s">
        <v>28</v>
      </c>
      <c r="D23" s="31">
        <f>+INDEX('[6]Budget original'!$A$2:$AO$496,MATCH($A23,'[6]Budget original'!$A$2:$A$496,0),MATCH(D$2,'[6]Budget original'!$A$2:$AO$2,0))</f>
        <v>0</v>
      </c>
      <c r="E23" s="31">
        <f t="shared" si="17"/>
        <v>0</v>
      </c>
      <c r="F23" s="31">
        <f>+INDEX('[6]Budget original'!$A$2:$AO$496,MATCH($A23,'[6]Budget original'!$A$2:$A$496,0),MATCH(F$2,'[6]Budget original'!$A$2:$AO$2,0))</f>
        <v>1720.7600606428655</v>
      </c>
      <c r="G23" s="42">
        <f>+INDEX('[6]Budget révisé'!$A$2:$AO$496,MATCH($A23,'[6]Budget révisé'!$A$2:$A$496,0),MATCH(G$2,'[6]Budget révisé'!$A$2:$AO$2,0))</f>
        <v>0</v>
      </c>
      <c r="H23" s="31">
        <f t="shared" si="18"/>
        <v>0</v>
      </c>
      <c r="I23" s="31">
        <f>+INDEX('[6]Budget révisé'!$A$2:$AO$496,MATCH($A23,'[6]Budget révisé'!$A$2:$A$496,0),MATCH(I$2,'[6]Budget révisé'!$A$2:$AO$2,0))</f>
        <v>1720.7600606428655</v>
      </c>
      <c r="J23" s="32"/>
      <c r="K23" s="31">
        <f>IF(J13=0,0,L23/(J13+J15))</f>
        <v>18.082413793103449</v>
      </c>
      <c r="L23" s="34">
        <f>-SUMIFS([6]BV_Data_An_Cour!$O:$O,[6]BV_Data_An_Cour!$U:$U,$B23,[6]BV_Data_An_Cour!$V:$V,$C23,[6]BV_Data_An_Cour!$W:$W,L$2)</f>
        <v>1573.17</v>
      </c>
      <c r="M23" s="52"/>
      <c r="N23" s="34">
        <f t="shared" si="19"/>
        <v>-147.59006064286541</v>
      </c>
      <c r="O23" s="32"/>
      <c r="P23" s="31">
        <f>IF(O13=0,0,Q23/(O13+O15))</f>
        <v>6.2045454545454541</v>
      </c>
      <c r="Q23" s="34">
        <f>-SUMIFS([6]BV_Data_An_Prec!$O:$O,[6]BV_Data_An_Prec!$U:$U,$B23,[6]BV_Data_An_Prec!$V:$V,$C23,[6]BV_Data_An_Prec!$W:$W,Q$2)</f>
        <v>546</v>
      </c>
      <c r="R23" s="32">
        <f t="shared" si="20"/>
        <v>-18.082413793103449</v>
      </c>
      <c r="S23" s="35">
        <f t="shared" si="21"/>
        <v>1027.17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tr">
        <f t="shared" si="1"/>
        <v>Véhicules neufsTotal F&amp;I</v>
      </c>
      <c r="B24" s="12" t="str">
        <f t="shared" si="0"/>
        <v>Véhicules neufs</v>
      </c>
      <c r="C24" s="36" t="s">
        <v>29</v>
      </c>
      <c r="D24" s="37">
        <f>+D15+D13</f>
        <v>92.528066928685575</v>
      </c>
      <c r="E24" s="37">
        <f>IF(D24&lt;=0,0,F24/D24)</f>
        <v>849.99999999999989</v>
      </c>
      <c r="F24" s="38">
        <f>F21+F22+F23</f>
        <v>78648.856889382732</v>
      </c>
      <c r="G24" s="39">
        <f>+G15+G13</f>
        <v>92.528066928685575</v>
      </c>
      <c r="H24" s="37">
        <f>IF(G24&lt;=0,0,I24/G24)</f>
        <v>849.99999999999989</v>
      </c>
      <c r="I24" s="38">
        <f>I21+I22+I23</f>
        <v>78648.856889382732</v>
      </c>
      <c r="J24" s="39">
        <f>+J15+J13</f>
        <v>87</v>
      </c>
      <c r="K24" s="37">
        <f>IF(J24&lt;=0,0,L24/J24)</f>
        <v>783.31712643678156</v>
      </c>
      <c r="L24" s="38">
        <f>L21+L22+L23</f>
        <v>68148.59</v>
      </c>
      <c r="M24" s="59">
        <f>J24-G24</f>
        <v>-5.5280669286855755</v>
      </c>
      <c r="N24" s="38">
        <f t="shared" si="19"/>
        <v>-10500.266889382736</v>
      </c>
      <c r="O24" s="39">
        <f>+O15+O13</f>
        <v>88</v>
      </c>
      <c r="P24" s="37">
        <f>IF(O24&lt;=0,0,Q24/O24)</f>
        <v>463.83647727272722</v>
      </c>
      <c r="Q24" s="38">
        <f>Q21+Q22+Q23</f>
        <v>40817.609999999993</v>
      </c>
      <c r="R24" s="57"/>
      <c r="S24" s="40">
        <f t="shared" si="21"/>
        <v>27330.980000000003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-0.13350819458382018</v>
      </c>
      <c r="O25" s="42"/>
      <c r="P25" s="14"/>
      <c r="Q25" s="60"/>
      <c r="R25" s="61"/>
      <c r="S25" s="45">
        <f>IF(Q24=0,0,(S24/Q24))</f>
        <v>0.66958795480676125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63" t="s">
        <v>30</v>
      </c>
      <c r="D27" s="64">
        <f>+D13+D15+D17</f>
        <v>92.528066928685575</v>
      </c>
      <c r="E27" s="65">
        <f>IF(D27&lt;=0,0,F27/D27)</f>
        <v>1858.2468412833882</v>
      </c>
      <c r="F27" s="66">
        <f>F13+F17+F24+F19+F15</f>
        <v>171939.98810028791</v>
      </c>
      <c r="G27" s="67">
        <f>+G13+G15+G17</f>
        <v>95.727880611150553</v>
      </c>
      <c r="H27" s="68">
        <f>IF(G27&lt;=0,0,I27/G27)</f>
        <v>2183.7731229417527</v>
      </c>
      <c r="I27" s="66">
        <f>I13+I17+I24+I19+I15</f>
        <v>209047.97279480749</v>
      </c>
      <c r="J27" s="67">
        <f>+J13+J15+J17</f>
        <v>91</v>
      </c>
      <c r="K27" s="68">
        <f>IF(J27&lt;=0,0,L27/J27)</f>
        <v>2681.4853846153856</v>
      </c>
      <c r="L27" s="66">
        <f>L13+L17+L24+L19+L15</f>
        <v>244015.17000000007</v>
      </c>
      <c r="M27" s="67">
        <f>J27-G27</f>
        <v>-4.7278806111505531</v>
      </c>
      <c r="N27" s="66">
        <f>L27-I27</f>
        <v>34967.197205192584</v>
      </c>
      <c r="O27" s="67">
        <f>+O13+O15+O17</f>
        <v>91</v>
      </c>
      <c r="P27" s="68">
        <f>IF(O27&lt;=0,0,Q27/O27)</f>
        <v>1140.9489010989003</v>
      </c>
      <c r="Q27" s="66">
        <f>Q13+Q17+Q24+Q19+Q15</f>
        <v>103826.34999999992</v>
      </c>
      <c r="R27" s="67">
        <f>J27-O27</f>
        <v>0</v>
      </c>
      <c r="S27" s="69">
        <f>L27-Q27</f>
        <v>140188.82000000015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-4.9388752586671615E-2</v>
      </c>
      <c r="N28" s="75">
        <f>N27/I27</f>
        <v>0.1672687696403298</v>
      </c>
      <c r="O28" s="73"/>
      <c r="P28" s="71"/>
      <c r="Q28" s="72"/>
      <c r="R28" s="74">
        <f>R27/O27</f>
        <v>0</v>
      </c>
      <c r="S28" s="76">
        <f>IF(Q27=0,0,S27/Q27)</f>
        <v>1.3502239075148097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30" t="s">
        <v>32</v>
      </c>
      <c r="D31" s="82"/>
      <c r="E31" s="83">
        <f t="shared" ref="E31:E40" si="22">F31/D$24</f>
        <v>349.12555963104023</v>
      </c>
      <c r="F31" s="31">
        <f>+INDEX('[6]Budget original'!$A$2:$AO$496,MATCH($A31,'[6]Budget original'!$A$2:$A$496,0),MATCH(F$2,'[6]Budget original'!$A$2:$AO$2,0))</f>
        <v>32303.913148055697</v>
      </c>
      <c r="G31" s="152">
        <f>I31/(I15+I13)</f>
        <v>0.26854424395609855</v>
      </c>
      <c r="H31" s="83">
        <f t="shared" ref="H31:H40" si="23">I31/G$24</f>
        <v>356.51644556763387</v>
      </c>
      <c r="I31" s="31">
        <f>+INDEX('[6]Budget révisé'!$A$2:$AO$496,MATCH($A31,'[6]Budget révisé'!$A$2:$A$496,0),MATCH(I$2,'[6]Budget révisé'!$A$2:$AO$2,0))</f>
        <v>32987.777536659116</v>
      </c>
      <c r="J31" s="152">
        <f>L31/(L15+L13)</f>
        <v>0.33541858305940969</v>
      </c>
      <c r="K31" s="83">
        <f t="shared" ref="K31:K40" si="24">IF(L31=0,0,L31/J$24)</f>
        <v>611.33367816091948</v>
      </c>
      <c r="L31" s="31">
        <f>SUMIFS([6]BV_Data_An_Cour!$O:$O,[6]BV_Data_An_Cour!$U:$U,$B31,[6]BV_Data_An_Cour!$V:$V,$C31,[6]BV_Data_An_Cour!$W:$W,L$2)</f>
        <v>53186.03</v>
      </c>
      <c r="M31" s="42"/>
      <c r="N31" s="60">
        <f t="shared" ref="N31:N53" si="25">L31-I31</f>
        <v>20198.252463340883</v>
      </c>
      <c r="O31" s="42"/>
      <c r="P31" s="83">
        <f t="shared" ref="P31:P40" si="26">IF(Q31=0,0,Q31/O$24)</f>
        <v>443.6421590909091</v>
      </c>
      <c r="Q31" s="34">
        <f>SUMIFS([6]BV_Data_An_Prec!$O:$O,[6]BV_Data_An_Prec!$U:$U,$B31,[6]BV_Data_An_Prec!$V:$V,$C31,[6]BV_Data_An_Prec!$W:$W,Q$2)</f>
        <v>39040.51</v>
      </c>
      <c r="R31" s="42"/>
      <c r="S31" s="86">
        <f t="shared" ref="S31:S53" si="27">L31-Q31</f>
        <v>14145.519999999997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8" t="s">
        <v>33</v>
      </c>
      <c r="D32" s="89"/>
      <c r="E32" s="90">
        <f t="shared" si="22"/>
        <v>254.99999999999997</v>
      </c>
      <c r="F32" s="23">
        <f>+INDEX('[6]Budget original'!$A$2:$AO$496,MATCH($A32,'[6]Budget original'!$A$2:$A$496,0),MATCH(F$2,'[6]Budget original'!$A$2:$AO$2,0))</f>
        <v>23594.65706681482</v>
      </c>
      <c r="G32" s="93">
        <f>I32/I24</f>
        <v>0.3</v>
      </c>
      <c r="H32" s="92">
        <f t="shared" si="23"/>
        <v>254.99999999999997</v>
      </c>
      <c r="I32" s="23">
        <f>+INDEX('[6]Budget révisé'!$A$2:$AO$496,MATCH($A32,'[6]Budget révisé'!$A$2:$A$496,0),MATCH(I$2,'[6]Budget révisé'!$A$2:$AO$2,0))</f>
        <v>23594.65706681482</v>
      </c>
      <c r="J32" s="493">
        <f>L32/L24</f>
        <v>0.30739770257902627</v>
      </c>
      <c r="K32" s="90">
        <f t="shared" si="24"/>
        <v>240.78988505747128</v>
      </c>
      <c r="L32" s="23">
        <f>SUMIFS([6]BV_Data_An_Cour!$O:$O,[6]BV_Data_An_Cour!$U:$U,$B32,[6]BV_Data_An_Cour!$V:$V,$C32,[6]BV_Data_An_Cour!$W:$W,L$2)</f>
        <v>20948.72</v>
      </c>
      <c r="M32" s="24"/>
      <c r="N32" s="94">
        <f t="shared" si="25"/>
        <v>-2645.9370668148185</v>
      </c>
      <c r="O32" s="24"/>
      <c r="P32" s="90">
        <f t="shared" si="26"/>
        <v>244.99806818181821</v>
      </c>
      <c r="Q32" s="23">
        <f>SUMIFS([6]BV_Data_An_Prec!$O:$O,[6]BV_Data_An_Prec!$U:$U,$B32,[6]BV_Data_An_Prec!$V:$V,$C32,[6]BV_Data_An_Prec!$W:$W,Q$2)</f>
        <v>21559.83</v>
      </c>
      <c r="R32" s="24"/>
      <c r="S32" s="95">
        <f t="shared" si="27"/>
        <v>-611.11000000000058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30" t="s">
        <v>34</v>
      </c>
      <c r="D33" s="82"/>
      <c r="E33" s="83">
        <f t="shared" si="22"/>
        <v>197</v>
      </c>
      <c r="F33" s="31">
        <f>+INDEX('[6]Budget original'!$A$2:$AO$496,MATCH($A33,'[6]Budget original'!$A$2:$A$496,0),MATCH(F$2,'[6]Budget original'!$A$2:$AO$2,0))</f>
        <v>18228.029184951058</v>
      </c>
      <c r="G33" s="84"/>
      <c r="H33" s="83">
        <f t="shared" si="23"/>
        <v>197</v>
      </c>
      <c r="I33" s="31">
        <f>+INDEX('[6]Budget révisé'!$A$2:$AO$496,MATCH($A33,'[6]Budget révisé'!$A$2:$A$496,0),MATCH(I$2,'[6]Budget révisé'!$A$2:$AO$2,0))</f>
        <v>18228.029184951058</v>
      </c>
      <c r="J33" s="42"/>
      <c r="K33" s="83">
        <f t="shared" si="24"/>
        <v>74.750689655172422</v>
      </c>
      <c r="L33" s="31">
        <f>SUMIFS([6]BV_Data_An_Cour!$O:$O,[6]BV_Data_An_Cour!$U:$U,$B33,[6]BV_Data_An_Cour!$V:$V,$C33,[6]BV_Data_An_Cour!$W:$W,L$2)</f>
        <v>6503.31</v>
      </c>
      <c r="M33" s="42"/>
      <c r="N33" s="60">
        <f t="shared" si="25"/>
        <v>-11724.719184951056</v>
      </c>
      <c r="O33" s="42"/>
      <c r="P33" s="83">
        <f t="shared" si="26"/>
        <v>131.33397727272725</v>
      </c>
      <c r="Q33" s="34">
        <f>SUMIFS([6]BV_Data_An_Prec!$O:$O,[6]BV_Data_An_Prec!$U:$U,$B33,[6]BV_Data_An_Prec!$V:$V,$C33,[6]BV_Data_An_Prec!$W:$W,Q$2)</f>
        <v>11557.39</v>
      </c>
      <c r="R33" s="42"/>
      <c r="S33" s="86">
        <f t="shared" si="27"/>
        <v>-5054.079999999999</v>
      </c>
      <c r="T33" s="14"/>
      <c r="U33" s="14"/>
      <c r="V33" s="12"/>
      <c r="W33" s="12">
        <f>L24*0.3</f>
        <v>20444.576999999997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30" t="s">
        <v>35</v>
      </c>
      <c r="D34" s="82"/>
      <c r="E34" s="83">
        <f t="shared" si="22"/>
        <v>6</v>
      </c>
      <c r="F34" s="31">
        <f>+INDEX('[6]Budget original'!$A$2:$AO$496,MATCH($A34,'[6]Budget original'!$A$2:$A$496,0),MATCH(F$2,'[6]Budget original'!$A$2:$AO$2,0))</f>
        <v>555.16840157211345</v>
      </c>
      <c r="G34" s="84"/>
      <c r="H34" s="83">
        <f t="shared" si="23"/>
        <v>6</v>
      </c>
      <c r="I34" s="31">
        <f>+INDEX('[6]Budget révisé'!$A$2:$AO$496,MATCH($A34,'[6]Budget révisé'!$A$2:$A$496,0),MATCH(I$2,'[6]Budget révisé'!$A$2:$AO$2,0))</f>
        <v>555.16840157211345</v>
      </c>
      <c r="J34" s="42"/>
      <c r="K34" s="83">
        <f t="shared" si="24"/>
        <v>6.8565517241379306</v>
      </c>
      <c r="L34" s="31">
        <f>SUMIFS([6]BV_Data_An_Cour!$O:$O,[6]BV_Data_An_Cour!$U:$U,$B34,[6]BV_Data_An_Cour!$V:$V,$C34,[6]BV_Data_An_Cour!$W:$W,L$2)</f>
        <v>596.52</v>
      </c>
      <c r="M34" s="42"/>
      <c r="N34" s="60">
        <f t="shared" si="25"/>
        <v>41.351598427886529</v>
      </c>
      <c r="O34" s="42"/>
      <c r="P34" s="83">
        <f t="shared" si="26"/>
        <v>3.8197727272727273</v>
      </c>
      <c r="Q34" s="34">
        <f>SUMIFS([6]BV_Data_An_Prec!$O:$O,[6]BV_Data_An_Prec!$U:$U,$B34,[6]BV_Data_An_Prec!$V:$V,$C34,[6]BV_Data_An_Prec!$W:$W,Q$2)</f>
        <v>336.14</v>
      </c>
      <c r="R34" s="42"/>
      <c r="S34" s="86">
        <f t="shared" si="27"/>
        <v>260.38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8" t="s">
        <v>36</v>
      </c>
      <c r="D35" s="89"/>
      <c r="E35" s="90">
        <f t="shared" si="22"/>
        <v>34</v>
      </c>
      <c r="F35" s="23">
        <f>+INDEX('[6]Budget original'!$A$2:$AO$496,MATCH($A35,'[6]Budget original'!$A$2:$A$496,0),MATCH(F$2,'[6]Budget original'!$A$2:$AO$2,0))</f>
        <v>3145.9542755753096</v>
      </c>
      <c r="G35" s="91"/>
      <c r="H35" s="92">
        <f t="shared" si="23"/>
        <v>34</v>
      </c>
      <c r="I35" s="23">
        <f>+INDEX('[6]Budget révisé'!$A$2:$AO$496,MATCH($A35,'[6]Budget révisé'!$A$2:$A$496,0),MATCH(I$2,'[6]Budget révisé'!$A$2:$AO$2,0))</f>
        <v>3145.9542755753096</v>
      </c>
      <c r="J35" s="24"/>
      <c r="K35" s="90">
        <f t="shared" si="24"/>
        <v>13.448275862068966</v>
      </c>
      <c r="L35" s="23">
        <f>SUMIFS([6]BV_Data_An_Cour!$O:$O,[6]BV_Data_An_Cour!$U:$U,$B35,[6]BV_Data_An_Cour!$V:$V,$C35,[6]BV_Data_An_Cour!$W:$W,L$2)</f>
        <v>1170</v>
      </c>
      <c r="M35" s="24"/>
      <c r="N35" s="94">
        <f t="shared" si="25"/>
        <v>-1975.9542755753096</v>
      </c>
      <c r="O35" s="24"/>
      <c r="P35" s="90">
        <f t="shared" si="26"/>
        <v>24.820113636363637</v>
      </c>
      <c r="Q35" s="34">
        <f>SUMIFS([6]BV_Data_An_Prec!$O:$O,[6]BV_Data_An_Prec!$U:$U,$B35,[6]BV_Data_An_Prec!$V:$V,$C35,[6]BV_Data_An_Prec!$W:$W,Q$2)</f>
        <v>2184.17</v>
      </c>
      <c r="R35" s="24"/>
      <c r="S35" s="95">
        <f t="shared" si="27"/>
        <v>-1014.1700000000001</v>
      </c>
      <c r="T35" s="14"/>
      <c r="U35" s="14"/>
      <c r="V35" s="12"/>
      <c r="W35" s="87">
        <f>L32-W33</f>
        <v>504.14300000000367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30" t="s">
        <v>37</v>
      </c>
      <c r="D36" s="82"/>
      <c r="E36" s="83">
        <f t="shared" si="22"/>
        <v>180.6696428571428</v>
      </c>
      <c r="F36" s="31">
        <f>+INDEX('[6]Budget original'!$A$2:$AO$496,MATCH($A36,'[6]Budget original'!$A$2:$A$496,0),MATCH(F$2,'[6]Budget original'!$A$2:$AO$2,0))</f>
        <v>16717.01280626743</v>
      </c>
      <c r="G36" s="84"/>
      <c r="H36" s="83">
        <f t="shared" si="23"/>
        <v>180.6696428571428</v>
      </c>
      <c r="I36" s="31">
        <f>+INDEX('[6]Budget révisé'!$A$2:$AO$496,MATCH($A36,'[6]Budget révisé'!$A$2:$A$496,0),MATCH(I$2,'[6]Budget révisé'!$A$2:$AO$2,0))</f>
        <v>16717.01280626743</v>
      </c>
      <c r="J36" s="42"/>
      <c r="K36" s="83">
        <f t="shared" si="24"/>
        <v>119.94091954022988</v>
      </c>
      <c r="L36" s="96">
        <f>SUMIFS([6]BV_Data_An_Cour!$O:$O,[6]BV_Data_An_Cour!$U:$U,$B36,[6]BV_Data_An_Cour!$V:$V,$C36,[6]BV_Data_An_Cour!$W:$W,L$2)</f>
        <v>10434.86</v>
      </c>
      <c r="M36" s="14"/>
      <c r="N36" s="60">
        <f t="shared" si="25"/>
        <v>-6282.1528062674297</v>
      </c>
      <c r="O36" s="42"/>
      <c r="P36" s="83">
        <f t="shared" si="26"/>
        <v>93.181818181818187</v>
      </c>
      <c r="Q36" s="56">
        <f>SUMIFS([6]BV_Data_An_Prec!$O:$O,[6]BV_Data_An_Prec!$U:$U,$B36,[6]BV_Data_An_Prec!$V:$V,$C36,[6]BV_Data_An_Prec!$W:$W,Q$2)</f>
        <v>8200</v>
      </c>
      <c r="R36" s="42"/>
      <c r="S36" s="86">
        <f t="shared" si="27"/>
        <v>2234.8600000000006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30" t="s">
        <v>38</v>
      </c>
      <c r="D37" s="82"/>
      <c r="E37" s="83">
        <f t="shared" si="22"/>
        <v>164.99067931091494</v>
      </c>
      <c r="F37" s="31">
        <f>+INDEX('[6]Budget original'!$A$2:$AO$496,MATCH($A37,'[6]Budget original'!$A$2:$A$496,0),MATCH(F$2,'[6]Budget original'!$A$2:$AO$2,0))</f>
        <v>15266.268617889637</v>
      </c>
      <c r="G37" s="84"/>
      <c r="H37" s="83">
        <f t="shared" si="23"/>
        <v>166.54498091281118</v>
      </c>
      <c r="I37" s="31">
        <f>+INDEX('[6]Budget révisé'!$A$2:$AO$496,MATCH($A37,'[6]Budget révisé'!$A$2:$A$496,0),MATCH(I$2,'[6]Budget révisé'!$A$2:$AO$2,0))</f>
        <v>15410.085140537256</v>
      </c>
      <c r="J37" s="42"/>
      <c r="K37" s="83">
        <f t="shared" si="24"/>
        <v>161.06482758620689</v>
      </c>
      <c r="L37" s="97">
        <f>SUMIFS([6]BV_Data_An_Cour!$O:$O,[6]BV_Data_An_Cour!$U:$U,$B37,[6]BV_Data_An_Cour!$V:$V,$C37,[6]BV_Data_An_Cour!$W:$W,L$2)</f>
        <v>14012.64</v>
      </c>
      <c r="M37" s="14"/>
      <c r="N37" s="60">
        <f t="shared" si="25"/>
        <v>-1397.4451405372565</v>
      </c>
      <c r="O37" s="42"/>
      <c r="P37" s="83">
        <f t="shared" si="26"/>
        <v>243.43534090909091</v>
      </c>
      <c r="Q37" s="34">
        <f>SUMIFS([6]BV_Data_An_Prec!$O:$O,[6]BV_Data_An_Prec!$U:$U,$B37,[6]BV_Data_An_Prec!$V:$V,$C37,[6]BV_Data_An_Prec!$W:$W,Q$2)</f>
        <v>21422.31</v>
      </c>
      <c r="R37" s="42"/>
      <c r="S37" s="86">
        <f t="shared" si="27"/>
        <v>-7409.6700000000019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30" t="s">
        <v>21</v>
      </c>
      <c r="D38" s="82"/>
      <c r="E38" s="83">
        <f t="shared" si="22"/>
        <v>0</v>
      </c>
      <c r="F38" s="31">
        <f>+INDEX('[6]Budget original'!$A$2:$AO$496,MATCH($A38,'[6]Budget original'!$A$2:$A$496,0),MATCH(F$2,'[6]Budget original'!$A$2:$AO$2,0))</f>
        <v>0</v>
      </c>
      <c r="G38" s="84"/>
      <c r="H38" s="83">
        <f t="shared" si="23"/>
        <v>0</v>
      </c>
      <c r="I38" s="31">
        <f>+INDEX('[6]Budget révisé'!$A$2:$AO$496,MATCH($A38,'[6]Budget révisé'!$A$2:$A$496,0),MATCH(I$2,'[6]Budget révisé'!$A$2:$AO$2,0))</f>
        <v>0</v>
      </c>
      <c r="J38" s="42"/>
      <c r="K38" s="83">
        <f t="shared" si="24"/>
        <v>0</v>
      </c>
      <c r="L38" s="97">
        <f>SUMIFS([6]BV_Data_An_Cour!$O:$O,[6]BV_Data_An_Cour!$U:$U,$B38,[6]BV_Data_An_Cour!$V:$V,$C38,[6]BV_Data_An_Cour!$W:$W,L$2)</f>
        <v>0</v>
      </c>
      <c r="M38" s="14"/>
      <c r="N38" s="60">
        <f t="shared" si="25"/>
        <v>0</v>
      </c>
      <c r="O38" s="42"/>
      <c r="P38" s="83">
        <f t="shared" si="26"/>
        <v>0</v>
      </c>
      <c r="Q38" s="34">
        <f>SUMIFS([6]BV_Data_An_Prec!$O:$O,[6]BV_Data_An_Prec!$U:$U,$B38,[6]BV_Data_An_Prec!$V:$V,$C38,[6]BV_Data_An_Prec!$W:$W,Q$2)</f>
        <v>0</v>
      </c>
      <c r="R38" s="42"/>
      <c r="S38" s="86">
        <f t="shared" si="27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30" t="s">
        <v>21</v>
      </c>
      <c r="D39" s="82"/>
      <c r="E39" s="83">
        <f t="shared" si="22"/>
        <v>0</v>
      </c>
      <c r="F39" s="31">
        <f>+INDEX('[6]Budget original'!$A$2:$AO$496,MATCH($A39,'[6]Budget original'!$A$2:$A$496,0),MATCH(F$2,'[6]Budget original'!$A$2:$AO$2,0))</f>
        <v>0</v>
      </c>
      <c r="G39" s="84"/>
      <c r="H39" s="83">
        <f t="shared" si="23"/>
        <v>0</v>
      </c>
      <c r="I39" s="31">
        <f>+INDEX('[6]Budget révisé'!$A$2:$AO$496,MATCH($A39,'[6]Budget révisé'!$A$2:$A$496,0),MATCH(I$2,'[6]Budget révisé'!$A$2:$AO$2,0))</f>
        <v>0</v>
      </c>
      <c r="J39" s="42"/>
      <c r="K39" s="83">
        <f t="shared" si="24"/>
        <v>0</v>
      </c>
      <c r="L39" s="97">
        <f>SUMIFS([6]BV_Data_An_Cour!$O:$O,[6]BV_Data_An_Cour!$U:$U,$B39,[6]BV_Data_An_Cour!$V:$V,$C39,[6]BV_Data_An_Cour!$W:$W,L$2)</f>
        <v>0</v>
      </c>
      <c r="M39" s="14"/>
      <c r="N39" s="60">
        <f t="shared" si="25"/>
        <v>0</v>
      </c>
      <c r="O39" s="42"/>
      <c r="P39" s="83">
        <f t="shared" si="26"/>
        <v>0</v>
      </c>
      <c r="Q39" s="34">
        <f>SUMIFS([6]BV_Data_An_Prec!$O:$O,[6]BV_Data_An_Prec!$U:$U,$B39,[6]BV_Data_An_Prec!$V:$V,$C39,[6]BV_Data_An_Prec!$W:$W,Q$2)</f>
        <v>0</v>
      </c>
      <c r="R39" s="42"/>
      <c r="S39" s="86">
        <f t="shared" si="27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30" t="s">
        <v>21</v>
      </c>
      <c r="D40" s="82"/>
      <c r="E40" s="83">
        <f t="shared" si="22"/>
        <v>0</v>
      </c>
      <c r="F40" s="31">
        <f>+INDEX('[6]Budget original'!$A$2:$AO$496,MATCH($A40,'[6]Budget original'!$A$2:$A$496,0),MATCH(F$2,'[6]Budget original'!$A$2:$AO$2,0))</f>
        <v>0</v>
      </c>
      <c r="G40" s="84"/>
      <c r="H40" s="83">
        <f t="shared" si="23"/>
        <v>0</v>
      </c>
      <c r="I40" s="31">
        <f>+INDEX('[6]Budget révisé'!$A$2:$AO$496,MATCH($A40,'[6]Budget révisé'!$A$2:$A$496,0),MATCH(I$2,'[6]Budget révisé'!$A$2:$AO$2,0))</f>
        <v>0</v>
      </c>
      <c r="J40" s="42"/>
      <c r="K40" s="83">
        <f t="shared" si="24"/>
        <v>0</v>
      </c>
      <c r="L40" s="98">
        <f>SUMIFS([6]BV_Data_An_Cour!$O:$O,[6]BV_Data_An_Cour!$U:$U,$B40,[6]BV_Data_An_Cour!$V:$V,$C40,[6]BV_Data_An_Cour!$W:$W,L$2)</f>
        <v>0</v>
      </c>
      <c r="M40" s="14"/>
      <c r="N40" s="60">
        <f t="shared" si="25"/>
        <v>0</v>
      </c>
      <c r="O40" s="42"/>
      <c r="P40" s="83">
        <f t="shared" si="26"/>
        <v>0</v>
      </c>
      <c r="Q40" s="34">
        <f>SUMIFS([6]BV_Data_An_Prec!$O:$O,[6]BV_Data_An_Prec!$U:$U,$B40,[6]BV_Data_An_Prec!$V:$V,$C40,[6]BV_Data_An_Prec!$W:$W,Q$2)</f>
        <v>0</v>
      </c>
      <c r="R40" s="42"/>
      <c r="S40" s="86">
        <f t="shared" si="27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9" t="s">
        <v>39</v>
      </c>
      <c r="D41" s="100" t="s">
        <v>40</v>
      </c>
      <c r="E41" s="101">
        <f>F41/F$27</f>
        <v>0.63865889904026452</v>
      </c>
      <c r="F41" s="102">
        <f>SUM(F31:F40)</f>
        <v>109811.00350112606</v>
      </c>
      <c r="G41" s="103" t="s">
        <v>40</v>
      </c>
      <c r="H41" s="101">
        <f>I41/I$27</f>
        <v>0.52925021435618169</v>
      </c>
      <c r="I41" s="102">
        <f>SUM(I31:I40)</f>
        <v>110638.6844123771</v>
      </c>
      <c r="J41" s="103" t="s">
        <v>40</v>
      </c>
      <c r="K41" s="101">
        <f>L41/L$27</f>
        <v>0.43789113603059993</v>
      </c>
      <c r="L41" s="102">
        <f>SUM(L31:L40)</f>
        <v>106852.08</v>
      </c>
      <c r="M41" s="104"/>
      <c r="N41" s="102">
        <f t="shared" si="25"/>
        <v>-3786.6044123770989</v>
      </c>
      <c r="O41" s="103" t="s">
        <v>40</v>
      </c>
      <c r="P41" s="101">
        <f>Q41/Q$27</f>
        <v>1.0045653150669371</v>
      </c>
      <c r="Q41" s="105">
        <f>SUM(Q31:Q40)</f>
        <v>104300.35</v>
      </c>
      <c r="R41" s="106"/>
      <c r="S41" s="107">
        <f t="shared" si="27"/>
        <v>2551.7299999999959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108" t="s">
        <v>42</v>
      </c>
      <c r="D42" s="14"/>
      <c r="E42" s="14"/>
      <c r="F42" s="31">
        <f>+INDEX('[6]Budget original'!$A$2:$AO$496,MATCH($A42,'[6]Budget original'!$A$2:$A$496,0),MATCH(F$2,'[6]Budget original'!$A$2:$AO$2,0))</f>
        <v>25144.300574712641</v>
      </c>
      <c r="G42" s="42"/>
      <c r="H42" s="14"/>
      <c r="I42" s="31">
        <f>+INDEX('[6]Budget révisé'!$A$2:$AO$496,MATCH($A42,'[6]Budget révisé'!$A$2:$A$496,0),MATCH(I$2,'[6]Budget révisé'!$A$2:$AO$2,0))</f>
        <v>25144.300574712641</v>
      </c>
      <c r="J42" s="42"/>
      <c r="K42" s="14"/>
      <c r="L42" s="34">
        <f>SUMIFS([6]BV_Data_An_Cour!$O:$O,[6]BV_Data_An_Cour!$U:$U,$B42,[6]BV_Data_An_Cour!$V:$V,$C42,[6]BV_Data_An_Cour!$W:$W,L$2)</f>
        <v>21334.91</v>
      </c>
      <c r="M42" s="42"/>
      <c r="N42" s="60">
        <f t="shared" si="25"/>
        <v>-3809.390574712641</v>
      </c>
      <c r="O42" s="42"/>
      <c r="P42" s="14"/>
      <c r="Q42" s="34">
        <f>SUMIFS([6]BV_Data_An_Prec!$O:$O,[6]BV_Data_An_Prec!$U:$U,$B42,[6]BV_Data_An_Prec!$V:$V,$C42,[6]BV_Data_An_Prec!$W:$W,Q$2)</f>
        <v>20435.45</v>
      </c>
      <c r="R42" s="42"/>
      <c r="S42" s="86">
        <f t="shared" si="27"/>
        <v>899.45999999999913</v>
      </c>
      <c r="T42" s="14"/>
      <c r="U42" s="14" t="s">
        <v>238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9" t="s">
        <v>43</v>
      </c>
      <c r="D43" s="82"/>
      <c r="E43" s="14"/>
      <c r="F43" s="23">
        <f>+INDEX('[6]Budget original'!$A$2:$AO$496,MATCH($A43,'[6]Budget original'!$A$2:$A$496,0),MATCH(F$2,'[6]Budget original'!$A$2:$AO$2,0))</f>
        <v>10029.360540137932</v>
      </c>
      <c r="G43" s="84"/>
      <c r="H43" s="14"/>
      <c r="I43" s="23">
        <f>+INDEX('[6]Budget révisé'!$A$2:$AO$496,MATCH($A43,'[6]Budget révisé'!$A$2:$A$496,0),MATCH(I$2,'[6]Budget révisé'!$A$2:$AO$2,0))</f>
        <v>10029.360540137932</v>
      </c>
      <c r="J43" s="42"/>
      <c r="K43" s="14"/>
      <c r="L43" s="34">
        <f>SUMIFS([6]BV_Data_An_Cour!$O:$O,[6]BV_Data_An_Cour!$U:$U,$B43,[6]BV_Data_An_Cour!$V:$V,$C43,[6]BV_Data_An_Cour!$W:$W,L$2)</f>
        <v>9816.59</v>
      </c>
      <c r="M43" s="42"/>
      <c r="N43" s="60">
        <f t="shared" si="25"/>
        <v>-212.77054013793168</v>
      </c>
      <c r="O43" s="42"/>
      <c r="P43" s="14"/>
      <c r="Q43" s="34">
        <f>SUMIFS([6]BV_Data_An_Prec!$O:$O,[6]BV_Data_An_Prec!$U:$U,$B43,[6]BV_Data_An_Prec!$V:$V,$C43,[6]BV_Data_An_Prec!$W:$W,Q$2)</f>
        <v>8999.0300000000007</v>
      </c>
      <c r="R43" s="42"/>
      <c r="S43" s="86">
        <f t="shared" si="27"/>
        <v>817.55999999999949</v>
      </c>
      <c r="T43" s="14"/>
      <c r="U43" s="14"/>
      <c r="V43" s="12" t="s">
        <v>239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108" t="s">
        <v>44</v>
      </c>
      <c r="D44" s="110"/>
      <c r="E44" s="111"/>
      <c r="F44" s="31">
        <f>+INDEX('[6]Budget original'!$A$2:$AO$496,MATCH($A44,'[6]Budget original'!$A$2:$A$496,0),MATCH(F$2,'[6]Budget original'!$A$2:$AO$2,0))</f>
        <v>6319.9371168367816</v>
      </c>
      <c r="G44" s="112"/>
      <c r="H44" s="111"/>
      <c r="I44" s="31">
        <f>+INDEX('[6]Budget révisé'!$A$2:$AO$496,MATCH($A44,'[6]Budget révisé'!$A$2:$A$496,0),MATCH(I$2,'[6]Budget révisé'!$A$2:$AO$2,0))</f>
        <v>6319.9371168367816</v>
      </c>
      <c r="J44" s="113"/>
      <c r="K44" s="111"/>
      <c r="L44" s="114">
        <f>SUMIFS([6]BV_Data_An_Cour!$O:$O,[6]BV_Data_An_Cour!$U:$U,$B44,[6]BV_Data_An_Cour!$V:$V,$C44,[6]BV_Data_An_Cour!$W:$W,L$2)</f>
        <v>8653.41</v>
      </c>
      <c r="M44" s="113"/>
      <c r="N44" s="115">
        <f t="shared" si="25"/>
        <v>2333.4728831632183</v>
      </c>
      <c r="O44" s="113"/>
      <c r="P44" s="111"/>
      <c r="Q44" s="114">
        <f>SUMIFS([6]BV_Data_An_Prec!$O:$O,[6]BV_Data_An_Prec!$U:$U,$B44,[6]BV_Data_An_Prec!$V:$V,$C44,[6]BV_Data_An_Prec!$W:$W,Q$2)</f>
        <v>6801.44</v>
      </c>
      <c r="R44" s="113"/>
      <c r="S44" s="116">
        <f t="shared" si="27"/>
        <v>1851.9700000000003</v>
      </c>
      <c r="T44" s="14"/>
      <c r="U44" s="14" t="s">
        <v>240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108" t="s">
        <v>45</v>
      </c>
      <c r="D45" s="82"/>
      <c r="E45" s="14"/>
      <c r="F45" s="31">
        <f>+INDEX('[6]Budget original'!$A$2:$AO$496,MATCH($A45,'[6]Budget original'!$A$2:$A$496,0),MATCH(F$2,'[6]Budget original'!$A$2:$AO$2,0))</f>
        <v>0</v>
      </c>
      <c r="G45" s="84"/>
      <c r="H45" s="14"/>
      <c r="I45" s="31">
        <f>+INDEX('[6]Budget révisé'!$A$2:$AO$496,MATCH($A45,'[6]Budget révisé'!$A$2:$A$496,0),MATCH(I$2,'[6]Budget révisé'!$A$2:$AO$2,0))</f>
        <v>0</v>
      </c>
      <c r="J45" s="42"/>
      <c r="K45" s="14"/>
      <c r="L45" s="34">
        <f>SUMIFS([6]BV_Data_An_Cour!$O:$O,[6]BV_Data_An_Cour!$U:$U,$B45,[6]BV_Data_An_Cour!$V:$V,$C45,[6]BV_Data_An_Cour!$W:$W,L$2)</f>
        <v>0</v>
      </c>
      <c r="M45" s="42"/>
      <c r="N45" s="60">
        <f t="shared" si="25"/>
        <v>0</v>
      </c>
      <c r="O45" s="42"/>
      <c r="P45" s="14"/>
      <c r="Q45" s="34">
        <f>SUMIFS([6]BV_Data_An_Prec!$O:$O,[6]BV_Data_An_Prec!$U:$U,$B45,[6]BV_Data_An_Prec!$V:$V,$C45,[6]BV_Data_An_Prec!$W:$W,Q$2)</f>
        <v>0</v>
      </c>
      <c r="R45" s="42"/>
      <c r="S45" s="86">
        <f t="shared" si="27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108" t="s">
        <v>21</v>
      </c>
      <c r="D46" s="82"/>
      <c r="E46" s="14"/>
      <c r="F46" s="31">
        <f>+INDEX('[6]Budget original'!$A$2:$AO$496,MATCH($A46,'[6]Budget original'!$A$2:$A$496,0),MATCH(F$2,'[6]Budget original'!$A$2:$AO$2,0))</f>
        <v>0</v>
      </c>
      <c r="G46" s="84"/>
      <c r="H46" s="14"/>
      <c r="I46" s="31">
        <f>+INDEX('[6]Budget révisé'!$A$2:$AO$496,MATCH($A46,'[6]Budget révisé'!$A$2:$A$496,0),MATCH(I$2,'[6]Budget révisé'!$A$2:$AO$2,0))</f>
        <v>0</v>
      </c>
      <c r="J46" s="42"/>
      <c r="K46" s="14"/>
      <c r="L46" s="34">
        <f>SUMIFS([6]BV_Data_An_Cour!$O:$O,[6]BV_Data_An_Cour!$U:$U,$B46,[6]BV_Data_An_Cour!$V:$V,$C46,[6]BV_Data_An_Cour!$W:$W,L$2)</f>
        <v>0</v>
      </c>
      <c r="M46" s="42"/>
      <c r="N46" s="60">
        <f t="shared" si="25"/>
        <v>0</v>
      </c>
      <c r="O46" s="42"/>
      <c r="P46" s="14"/>
      <c r="Q46" s="34">
        <f>SUMIFS([6]BV_Data_An_Prec!$O:$O,[6]BV_Data_An_Prec!$U:$U,$B46,[6]BV_Data_An_Prec!$V:$V,$C46,[6]BV_Data_An_Prec!$W:$W,Q$2)</f>
        <v>0</v>
      </c>
      <c r="R46" s="42"/>
      <c r="S46" s="86">
        <f t="shared" si="27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108" t="s">
        <v>21</v>
      </c>
      <c r="D47" s="82"/>
      <c r="E47" s="14"/>
      <c r="F47" s="31">
        <f>+INDEX('[6]Budget original'!$A$2:$AO$496,MATCH($A47,'[6]Budget original'!$A$2:$A$496,0),MATCH(F$2,'[6]Budget original'!$A$2:$AO$2,0))</f>
        <v>0</v>
      </c>
      <c r="G47" s="84"/>
      <c r="H47" s="14"/>
      <c r="I47" s="31">
        <f>+INDEX('[6]Budget révisé'!$A$2:$AO$496,MATCH($A47,'[6]Budget révisé'!$A$2:$A$496,0),MATCH(I$2,'[6]Budget révisé'!$A$2:$AO$2,0))</f>
        <v>0</v>
      </c>
      <c r="J47" s="42"/>
      <c r="K47" s="14"/>
      <c r="L47" s="34">
        <f>SUMIFS([6]BV_Data_An_Cour!$O:$O,[6]BV_Data_An_Cour!$U:$U,$B47,[6]BV_Data_An_Cour!$V:$V,$C47,[6]BV_Data_An_Cour!$W:$W,L$2)</f>
        <v>0</v>
      </c>
      <c r="M47" s="42"/>
      <c r="N47" s="60">
        <f t="shared" si="25"/>
        <v>0</v>
      </c>
      <c r="O47" s="42"/>
      <c r="P47" s="14"/>
      <c r="Q47" s="34">
        <f>SUMIFS([6]BV_Data_An_Prec!$O:$O,[6]BV_Data_An_Prec!$U:$U,$B47,[6]BV_Data_An_Prec!$V:$V,$C47,[6]BV_Data_An_Prec!$W:$W,Q$2)</f>
        <v>0</v>
      </c>
      <c r="R47" s="42"/>
      <c r="S47" s="86">
        <f t="shared" si="27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108" t="s">
        <v>21</v>
      </c>
      <c r="D48" s="82"/>
      <c r="E48" s="14"/>
      <c r="F48" s="31">
        <f>+INDEX('[6]Budget original'!$A$2:$AO$496,MATCH($A48,'[6]Budget original'!$A$2:$A$496,0),MATCH(F$2,'[6]Budget original'!$A$2:$AO$2,0))</f>
        <v>0</v>
      </c>
      <c r="G48" s="84"/>
      <c r="H48" s="14"/>
      <c r="I48" s="31">
        <f>+INDEX('[6]Budget révisé'!$A$2:$AO$496,MATCH($A48,'[6]Budget révisé'!$A$2:$A$496,0),MATCH(I$2,'[6]Budget révisé'!$A$2:$AO$2,0))</f>
        <v>0</v>
      </c>
      <c r="J48" s="42"/>
      <c r="K48" s="14"/>
      <c r="L48" s="34">
        <f>SUMIFS([6]BV_Data_An_Cour!$O:$O,[6]BV_Data_An_Cour!$U:$U,$B48,[6]BV_Data_An_Cour!$V:$V,$C48,[6]BV_Data_An_Cour!$W:$W,L$2)</f>
        <v>0</v>
      </c>
      <c r="M48" s="42"/>
      <c r="N48" s="60">
        <f t="shared" si="25"/>
        <v>0</v>
      </c>
      <c r="O48" s="42"/>
      <c r="P48" s="14"/>
      <c r="Q48" s="34">
        <f>SUMIFS([6]BV_Data_An_Prec!$O:$O,[6]BV_Data_An_Prec!$U:$U,$B48,[6]BV_Data_An_Prec!$V:$V,$C48,[6]BV_Data_An_Prec!$W:$W,Q$2)</f>
        <v>0</v>
      </c>
      <c r="R48" s="42"/>
      <c r="S48" s="86">
        <f t="shared" si="27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9" t="s">
        <v>46</v>
      </c>
      <c r="D49" s="82"/>
      <c r="E49" s="14"/>
      <c r="F49" s="23">
        <f>+INDEX('[6]Budget original'!$A$2:$AO$496,MATCH($A49,'[6]Budget original'!$A$2:$A$496,0),MATCH(F$2,'[6]Budget original'!$A$2:$AO$2,0))</f>
        <v>11687.060213586945</v>
      </c>
      <c r="G49" s="84"/>
      <c r="H49" s="14"/>
      <c r="I49" s="23">
        <f>+INDEX('[6]Budget révisé'!$A$2:$AO$496,MATCH($A49,'[6]Budget révisé'!$A$2:$A$496,0),MATCH(I$2,'[6]Budget révisé'!$A$2:$AO$2,0))</f>
        <v>11769.123940219353</v>
      </c>
      <c r="J49" s="42"/>
      <c r="K49" s="14"/>
      <c r="L49" s="23">
        <f>SUMIFS([6]BV_Data_An_Cour!$O:$O,[6]BV_Data_An_Cour!$U:$U,$B49,[6]BV_Data_An_Cour!$V:$V,$C49,[6]BV_Data_An_Cour!$W:$W,L$2)</f>
        <v>15115.93</v>
      </c>
      <c r="M49" s="42"/>
      <c r="N49" s="60">
        <f t="shared" si="25"/>
        <v>3346.806059780647</v>
      </c>
      <c r="O49" s="42"/>
      <c r="P49" s="14"/>
      <c r="Q49" s="23">
        <f>SUMIFS([6]BV_Data_An_Prec!$O:$O,[6]BV_Data_An_Prec!$U:$U,$B49,[6]BV_Data_An_Prec!$V:$V,$C49,[6]BV_Data_An_Prec!$W:$W,Q$2)</f>
        <v>14250.71</v>
      </c>
      <c r="R49" s="42"/>
      <c r="S49" s="86">
        <f t="shared" si="27"/>
        <v>865.22000000000116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108" t="s">
        <v>47</v>
      </c>
      <c r="D50" s="110"/>
      <c r="E50" s="111"/>
      <c r="F50" s="31">
        <f>+INDEX('[6]Budget original'!$A$2:$AO$496,MATCH($A50,'[6]Budget original'!$A$2:$A$496,0),MATCH(F$2,'[6]Budget original'!$A$2:$AO$2,0))</f>
        <v>11687.060213586945</v>
      </c>
      <c r="G50" s="112"/>
      <c r="H50" s="111"/>
      <c r="I50" s="31">
        <f>+INDEX('[6]Budget révisé'!$A$2:$AO$496,MATCH($A50,'[6]Budget révisé'!$A$2:$A$496,0),MATCH(I$2,'[6]Budget révisé'!$A$2:$AO$2,0))</f>
        <v>11769.123940219353</v>
      </c>
      <c r="J50" s="113"/>
      <c r="K50" s="111"/>
      <c r="L50" s="34">
        <f>SUMIFS([6]BV_Data_An_Cour!$O:$O,[6]BV_Data_An_Cour!$U:$U,$B50,[6]BV_Data_An_Cour!$V:$V,$C50,[6]BV_Data_An_Cour!$W:$W,L$2)</f>
        <v>12289.25</v>
      </c>
      <c r="M50" s="113"/>
      <c r="N50" s="115">
        <f t="shared" si="25"/>
        <v>520.12605978064676</v>
      </c>
      <c r="O50" s="113"/>
      <c r="P50" s="111"/>
      <c r="Q50" s="34">
        <f>SUMIFS([6]BV_Data_An_Prec!$O:$O,[6]BV_Data_An_Prec!$U:$U,$B50,[6]BV_Data_An_Prec!$V:$V,$C50,[6]BV_Data_An_Prec!$W:$W,Q$2)</f>
        <v>12500.8</v>
      </c>
      <c r="R50" s="113"/>
      <c r="S50" s="116">
        <f t="shared" si="27"/>
        <v>-211.54999999999927</v>
      </c>
      <c r="T50" s="14"/>
      <c r="U50" s="14" t="s">
        <v>241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108" t="s">
        <v>48</v>
      </c>
      <c r="D51" s="82"/>
      <c r="E51" s="14"/>
      <c r="F51" s="31">
        <f>+INDEX('[6]Budget original'!$A$2:$AO$496,MATCH($A51,'[6]Budget original'!$A$2:$A$496,0),MATCH(F$2,'[6]Budget original'!$A$2:$AO$2,0))</f>
        <v>8375.7264864039771</v>
      </c>
      <c r="G51" s="84"/>
      <c r="H51" s="14"/>
      <c r="I51" s="31">
        <f>+INDEX('[6]Budget révisé'!$A$2:$AO$496,MATCH($A51,'[6]Budget révisé'!$A$2:$A$496,0),MATCH(I$2,'[6]Budget révisé'!$A$2:$AO$2,0))</f>
        <v>8434.5388238238702</v>
      </c>
      <c r="J51" s="42"/>
      <c r="K51" s="14"/>
      <c r="L51" s="34">
        <f>SUMIFS([6]BV_Data_An_Cour!$O:$O,[6]BV_Data_An_Cour!$U:$U,$B51,[6]BV_Data_An_Cour!$V:$V,$C51,[6]BV_Data_An_Cour!$W:$W,L$2)</f>
        <v>8807.2900000000009</v>
      </c>
      <c r="M51" s="42"/>
      <c r="N51" s="60">
        <f t="shared" si="25"/>
        <v>372.75117617613068</v>
      </c>
      <c r="O51" s="42"/>
      <c r="P51" s="14"/>
      <c r="Q51" s="34">
        <f>SUMIFS([6]BV_Data_An_Prec!$O:$O,[6]BV_Data_An_Prec!$U:$U,$B51,[6]BV_Data_An_Prec!$V:$V,$C51,[6]BV_Data_An_Prec!$W:$W,Q$2)</f>
        <v>8350.9500000000007</v>
      </c>
      <c r="R51" s="42"/>
      <c r="S51" s="86">
        <f t="shared" si="27"/>
        <v>456.34000000000015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108" t="s">
        <v>49</v>
      </c>
      <c r="D52" s="82"/>
      <c r="E52" s="14"/>
      <c r="F52" s="31">
        <f>+INDEX('[6]Budget original'!$A$2:$AO$496,MATCH($A52,'[6]Budget original'!$A$2:$A$496,0),MATCH(F$2,'[6]Budget original'!$A$2:$AO$2,0))</f>
        <v>1947.8433689311576</v>
      </c>
      <c r="G52" s="84"/>
      <c r="H52" s="14"/>
      <c r="I52" s="31">
        <f>+INDEX('[6]Budget révisé'!$A$2:$AO$496,MATCH($A52,'[6]Budget révisé'!$A$2:$A$496,0),MATCH(I$2,'[6]Budget révisé'!$A$2:$AO$2,0))</f>
        <v>1961.5206567032258</v>
      </c>
      <c r="J52" s="42"/>
      <c r="K52" s="14"/>
      <c r="L52" s="34">
        <f>SUMIFS([6]BV_Data_An_Cour!$O:$O,[6]BV_Data_An_Cour!$U:$U,$B52,[6]BV_Data_An_Cour!$V:$V,$C52,[6]BV_Data_An_Cour!$W:$W,L$2)</f>
        <v>2048.21</v>
      </c>
      <c r="M52" s="42"/>
      <c r="N52" s="60">
        <f t="shared" si="25"/>
        <v>86.689343296774268</v>
      </c>
      <c r="O52" s="42"/>
      <c r="P52" s="14"/>
      <c r="Q52" s="34">
        <f>SUMIFS([6]BV_Data_An_Prec!$O:$O,[6]BV_Data_An_Prec!$U:$U,$B52,[6]BV_Data_An_Prec!$V:$V,$C52,[6]BV_Data_An_Prec!$W:$W,Q$2)</f>
        <v>2822.32</v>
      </c>
      <c r="R52" s="42"/>
      <c r="S52" s="86">
        <f t="shared" si="27"/>
        <v>-774.11000000000013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30" t="s">
        <v>21</v>
      </c>
      <c r="D53" s="89"/>
      <c r="E53" s="117"/>
      <c r="F53" s="31">
        <f>+INDEX('[6]Budget original'!$A$2:$AO$496,MATCH($A53,'[6]Budget original'!$A$2:$A$496,0),MATCH(F$2,'[6]Budget original'!$A$2:$AO$2,0))</f>
        <v>0</v>
      </c>
      <c r="G53" s="91"/>
      <c r="H53" s="117"/>
      <c r="I53" s="31">
        <f>+INDEX('[6]Budget révisé'!$A$2:$AO$496,MATCH($A53,'[6]Budget révisé'!$A$2:$A$496,0),MATCH(I$2,'[6]Budget révisé'!$A$2:$AO$2,0))</f>
        <v>0</v>
      </c>
      <c r="J53" s="24"/>
      <c r="K53" s="117"/>
      <c r="L53" s="34">
        <f>SUMIFS([6]BV_Data_An_Cour!$O:$O,[6]BV_Data_An_Cour!$U:$U,$B53,[6]BV_Data_An_Cour!$V:$V,$C53,[6]BV_Data_An_Cour!$W:$W,L$2)</f>
        <v>0</v>
      </c>
      <c r="M53" s="24"/>
      <c r="N53" s="94">
        <f t="shared" si="25"/>
        <v>0</v>
      </c>
      <c r="O53" s="24"/>
      <c r="P53" s="117"/>
      <c r="Q53" s="34">
        <f>SUMIFS([6]BV_Data_An_Prec!$O:$O,[6]BV_Data_An_Prec!$U:$U,$B53,[6]BV_Data_An_Prec!$V:$V,$C53,[6]BV_Data_An_Prec!$W:$W,Q$2)</f>
        <v>0</v>
      </c>
      <c r="R53" s="24"/>
      <c r="S53" s="95">
        <f t="shared" si="27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9" t="s">
        <v>50</v>
      </c>
      <c r="D54" s="100" t="s">
        <v>40</v>
      </c>
      <c r="E54" s="101">
        <f>F54/F$27</f>
        <v>0.43731123483816542</v>
      </c>
      <c r="F54" s="102">
        <f>+SUM(F42:F53)</f>
        <v>75191.288514196378</v>
      </c>
      <c r="G54" s="103" t="s">
        <v>40</v>
      </c>
      <c r="H54" s="101">
        <f>I54/I$27</f>
        <v>0.36081624989824679</v>
      </c>
      <c r="I54" s="102">
        <f>+SUM(I42:I53)</f>
        <v>75427.905592653158</v>
      </c>
      <c r="J54" s="103" t="s">
        <v>40</v>
      </c>
      <c r="K54" s="101">
        <f>L54/L$27</f>
        <v>0.31992105244932101</v>
      </c>
      <c r="L54" s="102">
        <f>+SUM(L42:L53)</f>
        <v>78065.590000000011</v>
      </c>
      <c r="M54" s="106"/>
      <c r="N54" s="102">
        <f>+SUM(N42:N53)</f>
        <v>2637.6844073468446</v>
      </c>
      <c r="O54" s="103" t="s">
        <v>40</v>
      </c>
      <c r="P54" s="101">
        <f>Q54/Q$27</f>
        <v>0.71427628920789443</v>
      </c>
      <c r="Q54" s="102">
        <f>+SUM(Q42:Q53)</f>
        <v>74160.700000000012</v>
      </c>
      <c r="R54" s="106"/>
      <c r="S54" s="107">
        <f>+SUM(S42:S53)</f>
        <v>3904.8900000000008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30" t="s">
        <v>51</v>
      </c>
      <c r="D55" s="82"/>
      <c r="E55" s="14"/>
      <c r="F55" s="31">
        <f>+INDEX('[6]Budget original'!$A$2:$AO$496,MATCH($A55,'[6]Budget original'!$A$2:$A$496,0),MATCH(F$2,'[6]Budget original'!$A$2:$AO$2,0))</f>
        <v>0</v>
      </c>
      <c r="G55" s="84"/>
      <c r="H55" s="14"/>
      <c r="I55" s="31">
        <f>+INDEX('[6]Budget révisé'!$A$2:$AO$496,MATCH($A55,'[6]Budget révisé'!$A$2:$A$496,0),MATCH(I$2,'[6]Budget révisé'!$A$2:$AO$2,0))</f>
        <v>0</v>
      </c>
      <c r="J55" s="42"/>
      <c r="K55" s="14"/>
      <c r="L55" s="34">
        <f>SUMIFS([6]BV_Data_An_Cour!$O:$O,[6]BV_Data_An_Cour!$U:$U,$B55,[6]BV_Data_An_Cour!$V:$V,$C55,[6]BV_Data_An_Cour!$W:$W,L$2)</f>
        <v>0</v>
      </c>
      <c r="M55" s="42"/>
      <c r="N55" s="60">
        <f t="shared" ref="N55:N71" si="28">L55-I55</f>
        <v>0</v>
      </c>
      <c r="O55" s="42"/>
      <c r="P55" s="14"/>
      <c r="Q55" s="34">
        <f>SUMIFS([6]BV_Data_An_Prec!$O:$O,[6]BV_Data_An_Prec!$U:$U,$B55,[6]BV_Data_An_Prec!$V:$V,$C55,[6]BV_Data_An_Prec!$W:$W,Q$2)</f>
        <v>0</v>
      </c>
      <c r="R55" s="42"/>
      <c r="S55" s="86">
        <f t="shared" ref="S55:S71" si="29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30" t="s">
        <v>52</v>
      </c>
      <c r="D56" s="82"/>
      <c r="E56" s="14"/>
      <c r="F56" s="31">
        <f>+INDEX('[6]Budget original'!$A$2:$AO$496,MATCH($A56,'[6]Budget original'!$A$2:$A$496,0),MATCH(F$2,'[6]Budget original'!$A$2:$AO$2,0))</f>
        <v>0</v>
      </c>
      <c r="G56" s="84"/>
      <c r="H56" s="14"/>
      <c r="I56" s="31">
        <f>+INDEX('[6]Budget révisé'!$A$2:$AO$496,MATCH($A56,'[6]Budget révisé'!$A$2:$A$496,0),MATCH(I$2,'[6]Budget révisé'!$A$2:$AO$2,0))</f>
        <v>0</v>
      </c>
      <c r="J56" s="42"/>
      <c r="K56" s="14"/>
      <c r="L56" s="34">
        <f>SUMIFS([6]BV_Data_An_Cour!$O:$O,[6]BV_Data_An_Cour!$U:$U,$B56,[6]BV_Data_An_Cour!$V:$V,$C56,[6]BV_Data_An_Cour!$W:$W,L$2)</f>
        <v>0</v>
      </c>
      <c r="M56" s="42"/>
      <c r="N56" s="60">
        <f t="shared" si="28"/>
        <v>0</v>
      </c>
      <c r="O56" s="42"/>
      <c r="P56" s="14"/>
      <c r="Q56" s="34">
        <f>SUMIFS([6]BV_Data_An_Prec!$O:$O,[6]BV_Data_An_Prec!$U:$U,$B56,[6]BV_Data_An_Prec!$V:$V,$C56,[6]BV_Data_An_Prec!$W:$W,Q$2)</f>
        <v>0</v>
      </c>
      <c r="R56" s="42"/>
      <c r="S56" s="86">
        <f t="shared" si="29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8" t="s">
        <v>53</v>
      </c>
      <c r="D57" s="89"/>
      <c r="E57" s="117"/>
      <c r="F57" s="23">
        <f>+INDEX('[6]Budget original'!$A$2:$AO$496,MATCH($A57,'[6]Budget original'!$A$2:$A$496,0),MATCH(F$2,'[6]Budget original'!$A$2:$AO$2,0))</f>
        <v>9088.8775000000005</v>
      </c>
      <c r="G57" s="91"/>
      <c r="H57" s="117"/>
      <c r="I57" s="23">
        <f>+INDEX('[6]Budget révisé'!$A$2:$AO$496,MATCH($A57,'[6]Budget révisé'!$A$2:$A$496,0),MATCH(I$2,'[6]Budget révisé'!$A$2:$AO$2,0))</f>
        <v>9088.8775000000005</v>
      </c>
      <c r="J57" s="24"/>
      <c r="K57" s="117"/>
      <c r="L57" s="23">
        <f>SUMIFS([6]BV_Data_An_Cour!$O:$O,[6]BV_Data_An_Cour!$U:$U,$B57,[6]BV_Data_An_Cour!$V:$V,$C57,[6]BV_Data_An_Cour!$W:$W,L$2)</f>
        <v>6376</v>
      </c>
      <c r="M57" s="24"/>
      <c r="N57" s="94">
        <f t="shared" si="28"/>
        <v>-2712.8775000000005</v>
      </c>
      <c r="O57" s="24"/>
      <c r="P57" s="117"/>
      <c r="Q57" s="23">
        <f>SUMIFS([6]BV_Data_An_Prec!$O:$O,[6]BV_Data_An_Prec!$U:$U,$B57,[6]BV_Data_An_Prec!$V:$V,$C57,[6]BV_Data_An_Prec!$W:$W,Q$2)</f>
        <v>18900.59</v>
      </c>
      <c r="R57" s="24"/>
      <c r="S57" s="95">
        <f t="shared" si="29"/>
        <v>-12524.59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30" t="s">
        <v>54</v>
      </c>
      <c r="D58" s="82"/>
      <c r="E58" s="14"/>
      <c r="F58" s="31">
        <f>+INDEX('[6]Budget original'!$A$2:$AO$496,MATCH($A58,'[6]Budget original'!$A$2:$A$496,0),MATCH(F$2,'[6]Budget original'!$A$2:$AO$2,0))</f>
        <v>6677.3962666666675</v>
      </c>
      <c r="G58" s="84"/>
      <c r="H58" s="14"/>
      <c r="I58" s="31">
        <f>+INDEX('[6]Budget révisé'!$A$2:$AO$496,MATCH($A58,'[6]Budget révisé'!$A$2:$A$496,0),MATCH(I$2,'[6]Budget révisé'!$A$2:$AO$2,0))</f>
        <v>6677.3962666666675</v>
      </c>
      <c r="J58" s="42"/>
      <c r="K58" s="14"/>
      <c r="L58" s="34">
        <f>SUMIFS([6]BV_Data_An_Cour!$O:$O,[6]BV_Data_An_Cour!$U:$U,$B58,[6]BV_Data_An_Cour!$V:$V,$C58,[6]BV_Data_An_Cour!$W:$W,L$2)</f>
        <v>6391.27</v>
      </c>
      <c r="M58" s="42"/>
      <c r="N58" s="60">
        <f t="shared" si="28"/>
        <v>-286.12626666666711</v>
      </c>
      <c r="O58" s="42"/>
      <c r="P58" s="14"/>
      <c r="Q58" s="34">
        <f>SUMIFS([6]BV_Data_An_Prec!$O:$O,[6]BV_Data_An_Prec!$U:$U,$B58,[6]BV_Data_An_Prec!$V:$V,$C58,[6]BV_Data_An_Prec!$W:$W,Q$2)</f>
        <v>6161.29</v>
      </c>
      <c r="R58" s="42"/>
      <c r="S58" s="86">
        <f t="shared" si="29"/>
        <v>229.98000000000047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30" t="s">
        <v>55</v>
      </c>
      <c r="D59" s="82"/>
      <c r="E59" s="14"/>
      <c r="F59" s="31">
        <f>+INDEX('[6]Budget original'!$A$2:$AO$496,MATCH($A59,'[6]Budget original'!$A$2:$A$496,0),MATCH(F$2,'[6]Budget original'!$A$2:$AO$2,0))</f>
        <v>1596.4967999999999</v>
      </c>
      <c r="G59" s="84"/>
      <c r="H59" s="14"/>
      <c r="I59" s="31">
        <f>+INDEX('[6]Budget révisé'!$A$2:$AO$496,MATCH($A59,'[6]Budget révisé'!$A$2:$A$496,0),MATCH(I$2,'[6]Budget révisé'!$A$2:$AO$2,0))</f>
        <v>1596.4967999999999</v>
      </c>
      <c r="J59" s="42"/>
      <c r="K59" s="14"/>
      <c r="L59" s="34">
        <f>SUMIFS([6]BV_Data_An_Cour!$O:$O,[6]BV_Data_An_Cour!$U:$U,$B59,[6]BV_Data_An_Cour!$V:$V,$C59,[6]BV_Data_An_Cour!$W:$W,L$2)</f>
        <v>612.46</v>
      </c>
      <c r="M59" s="42"/>
      <c r="N59" s="60">
        <f t="shared" si="28"/>
        <v>-984.03679999999986</v>
      </c>
      <c r="O59" s="42"/>
      <c r="P59" s="14"/>
      <c r="Q59" s="34">
        <f>SUMIFS([6]BV_Data_An_Prec!$O:$O,[6]BV_Data_An_Prec!$U:$U,$B59,[6]BV_Data_An_Prec!$V:$V,$C59,[6]BV_Data_An_Prec!$W:$W,Q$2)</f>
        <v>1944.64</v>
      </c>
      <c r="R59" s="42"/>
      <c r="S59" s="86">
        <f t="shared" si="29"/>
        <v>-1332.18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8" t="s">
        <v>56</v>
      </c>
      <c r="D60" s="89"/>
      <c r="E60" s="117"/>
      <c r="F60" s="23">
        <f>+INDEX('[6]Budget original'!$A$2:$AO$496,MATCH($A60,'[6]Budget original'!$A$2:$A$496,0),MATCH(F$2,'[6]Budget original'!$A$2:$AO$2,0))</f>
        <v>9857.894666666667</v>
      </c>
      <c r="G60" s="91"/>
      <c r="H60" s="117"/>
      <c r="I60" s="23">
        <f>+INDEX('[6]Budget révisé'!$A$2:$AO$496,MATCH($A60,'[6]Budget révisé'!$A$2:$A$496,0),MATCH(I$2,'[6]Budget révisé'!$A$2:$AO$2,0))</f>
        <v>9857.894666666667</v>
      </c>
      <c r="J60" s="24"/>
      <c r="K60" s="117"/>
      <c r="L60" s="23">
        <f>SUMIFS([6]BV_Data_An_Cour!$O:$O,[6]BV_Data_An_Cour!$U:$U,$B60,[6]BV_Data_An_Cour!$V:$V,$C60,[6]BV_Data_An_Cour!$W:$W,L$2)</f>
        <v>7206.23</v>
      </c>
      <c r="M60" s="24"/>
      <c r="N60" s="94">
        <f t="shared" si="28"/>
        <v>-2651.6646666666675</v>
      </c>
      <c r="O60" s="24"/>
      <c r="P60" s="117"/>
      <c r="Q60" s="23">
        <f>SUMIFS([6]BV_Data_An_Prec!$O:$O,[6]BV_Data_An_Prec!$U:$U,$B60,[6]BV_Data_An_Prec!$V:$V,$C60,[6]BV_Data_An_Prec!$W:$W,Q$2)</f>
        <v>7248.82</v>
      </c>
      <c r="R60" s="24"/>
      <c r="S60" s="95">
        <f t="shared" si="29"/>
        <v>-42.590000000000146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30" t="s">
        <v>57</v>
      </c>
      <c r="D61" s="82"/>
      <c r="E61" s="14"/>
      <c r="F61" s="31">
        <f>+INDEX('[6]Budget original'!$A$2:$AO$496,MATCH($A61,'[6]Budget original'!$A$2:$A$496,0),MATCH(F$2,'[6]Budget original'!$A$2:$AO$2,0))</f>
        <v>370.1122677147423</v>
      </c>
      <c r="G61" s="84"/>
      <c r="H61" s="14"/>
      <c r="I61" s="31">
        <f>+INDEX('[6]Budget révisé'!$A$2:$AO$496,MATCH($A61,'[6]Budget révisé'!$A$2:$A$496,0),MATCH(I$2,'[6]Budget révisé'!$A$2:$AO$2,0))</f>
        <v>370.1122677147423</v>
      </c>
      <c r="J61" s="42"/>
      <c r="K61" s="14"/>
      <c r="L61" s="34">
        <f>SUMIFS([6]BV_Data_An_Cour!$O:$O,[6]BV_Data_An_Cour!$U:$U,$B61,[6]BV_Data_An_Cour!$V:$V,$C61,[6]BV_Data_An_Cour!$W:$W,L$2)</f>
        <v>74.930000000000007</v>
      </c>
      <c r="M61" s="42"/>
      <c r="N61" s="60">
        <f t="shared" si="28"/>
        <v>-295.1822677147423</v>
      </c>
      <c r="O61" s="42"/>
      <c r="P61" s="14"/>
      <c r="Q61" s="34">
        <f>SUMIFS([6]BV_Data_An_Prec!$O:$O,[6]BV_Data_An_Prec!$U:$U,$B61,[6]BV_Data_An_Prec!$V:$V,$C61,[6]BV_Data_An_Prec!$W:$W,Q$2)</f>
        <v>300</v>
      </c>
      <c r="R61" s="42"/>
      <c r="S61" s="86">
        <f t="shared" si="29"/>
        <v>-225.07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30" t="s">
        <v>58</v>
      </c>
      <c r="D62" s="82"/>
      <c r="E62" s="14"/>
      <c r="F62" s="31">
        <f>+INDEX('[6]Budget original'!$A$2:$AO$496,MATCH($A62,'[6]Budget original'!$A$2:$A$496,0),MATCH(F$2,'[6]Budget original'!$A$2:$AO$2,0))</f>
        <v>35</v>
      </c>
      <c r="G62" s="84"/>
      <c r="H62" s="14"/>
      <c r="I62" s="31">
        <f>+INDEX('[6]Budget révisé'!$A$2:$AO$496,MATCH($A62,'[6]Budget révisé'!$A$2:$A$496,0),MATCH(I$2,'[6]Budget révisé'!$A$2:$AO$2,0))</f>
        <v>35</v>
      </c>
      <c r="J62" s="42"/>
      <c r="K62" s="14"/>
      <c r="L62" s="34">
        <f>SUMIFS([6]BV_Data_An_Cour!$O:$O,[6]BV_Data_An_Cour!$U:$U,$B62,[6]BV_Data_An_Cour!$V:$V,$C62,[6]BV_Data_An_Cour!$W:$W,L$2)</f>
        <v>0</v>
      </c>
      <c r="M62" s="42"/>
      <c r="N62" s="60">
        <f t="shared" si="28"/>
        <v>-35</v>
      </c>
      <c r="O62" s="42"/>
      <c r="P62" s="14"/>
      <c r="Q62" s="34">
        <f>SUMIFS([6]BV_Data_An_Prec!$O:$O,[6]BV_Data_An_Prec!$U:$U,$B62,[6]BV_Data_An_Prec!$V:$V,$C62,[6]BV_Data_An_Prec!$W:$W,Q$2)</f>
        <v>35</v>
      </c>
      <c r="R62" s="42"/>
      <c r="S62" s="86">
        <f t="shared" si="29"/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30" t="s">
        <v>59</v>
      </c>
      <c r="D63" s="82"/>
      <c r="E63" s="14"/>
      <c r="F63" s="31">
        <f>+INDEX('[6]Budget original'!$A$2:$AO$496,MATCH($A63,'[6]Budget original'!$A$2:$A$496,0),MATCH(F$2,'[6]Budget original'!$A$2:$AO$2,0))</f>
        <v>697.6</v>
      </c>
      <c r="G63" s="84"/>
      <c r="H63" s="14"/>
      <c r="I63" s="31">
        <f>+INDEX('[6]Budget révisé'!$A$2:$AO$496,MATCH($A63,'[6]Budget révisé'!$A$2:$A$496,0),MATCH(I$2,'[6]Budget révisé'!$A$2:$AO$2,0))</f>
        <v>697.6</v>
      </c>
      <c r="J63" s="42"/>
      <c r="K63" s="14"/>
      <c r="L63" s="33">
        <f>SUMIFS([6]BV_Data_An_Cour!$O:$O,[6]BV_Data_An_Cour!$U:$U,$B63,[6]BV_Data_An_Cour!$V:$V,$C63,[6]BV_Data_An_Cour!$W:$W,L$2)</f>
        <v>755.68</v>
      </c>
      <c r="M63" s="42"/>
      <c r="N63" s="60">
        <f t="shared" si="28"/>
        <v>58.079999999999927</v>
      </c>
      <c r="O63" s="42"/>
      <c r="P63" s="14"/>
      <c r="Q63" s="33">
        <f>SUMIFS([6]BV_Data_An_Prec!$O:$O,[6]BV_Data_An_Prec!$U:$U,$B63,[6]BV_Data_An_Prec!$V:$V,$C63,[6]BV_Data_An_Prec!$W:$W,Q$2)</f>
        <v>592</v>
      </c>
      <c r="R63" s="42"/>
      <c r="S63" s="86">
        <f t="shared" si="29"/>
        <v>163.67999999999995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30" t="s">
        <v>60</v>
      </c>
      <c r="D64" s="82"/>
      <c r="E64" s="14"/>
      <c r="F64" s="31">
        <f>+INDEX('[6]Budget original'!$A$2:$AO$496,MATCH($A64,'[6]Budget original'!$A$2:$A$496,0),MATCH(F$2,'[6]Budget original'!$A$2:$AO$2,0))</f>
        <v>589.91200000000003</v>
      </c>
      <c r="G64" s="84"/>
      <c r="H64" s="14"/>
      <c r="I64" s="31">
        <f>+INDEX('[6]Budget révisé'!$A$2:$AO$496,MATCH($A64,'[6]Budget révisé'!$A$2:$A$496,0),MATCH(I$2,'[6]Budget révisé'!$A$2:$AO$2,0))</f>
        <v>589.91200000000003</v>
      </c>
      <c r="J64" s="42"/>
      <c r="K64" s="14"/>
      <c r="L64" s="34">
        <f>SUMIFS([6]BV_Data_An_Cour!$O:$O,[6]BV_Data_An_Cour!$U:$U,$B64,[6]BV_Data_An_Cour!$V:$V,$C64,[6]BV_Data_An_Cour!$W:$W,L$2)</f>
        <v>257.26</v>
      </c>
      <c r="M64" s="42"/>
      <c r="N64" s="60">
        <f t="shared" si="28"/>
        <v>-332.65200000000004</v>
      </c>
      <c r="O64" s="42"/>
      <c r="P64" s="14"/>
      <c r="Q64" s="34">
        <f>SUMIFS([6]BV_Data_An_Prec!$O:$O,[6]BV_Data_An_Prec!$U:$U,$B64,[6]BV_Data_An_Prec!$V:$V,$C64,[6]BV_Data_An_Prec!$W:$W,Q$2)</f>
        <v>520.07000000000005</v>
      </c>
      <c r="R64" s="42"/>
      <c r="S64" s="86">
        <f t="shared" si="29"/>
        <v>-262.81000000000006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30" t="s">
        <v>61</v>
      </c>
      <c r="D65" s="82"/>
      <c r="E65" s="14"/>
      <c r="F65" s="31">
        <f>+INDEX('[6]Budget original'!$A$2:$AO$496,MATCH($A65,'[6]Budget original'!$A$2:$A$496,0),MATCH(F$2,'[6]Budget original'!$A$2:$AO$2,0))</f>
        <v>276.8</v>
      </c>
      <c r="G65" s="84"/>
      <c r="H65" s="14"/>
      <c r="I65" s="31">
        <f>+INDEX('[6]Budget révisé'!$A$2:$AO$496,MATCH($A65,'[6]Budget révisé'!$A$2:$A$496,0),MATCH(I$2,'[6]Budget révisé'!$A$2:$AO$2,0))</f>
        <v>276.8</v>
      </c>
      <c r="J65" s="42"/>
      <c r="K65" s="14"/>
      <c r="L65" s="34">
        <f>SUMIFS([6]BV_Data_An_Cour!$O:$O,[6]BV_Data_An_Cour!$U:$U,$B65,[6]BV_Data_An_Cour!$V:$V,$C65,[6]BV_Data_An_Cour!$W:$W,L$2)</f>
        <v>162.85</v>
      </c>
      <c r="M65" s="42"/>
      <c r="N65" s="60">
        <f t="shared" si="28"/>
        <v>-113.95000000000002</v>
      </c>
      <c r="O65" s="42"/>
      <c r="P65" s="14"/>
      <c r="Q65" s="34">
        <f>SUMIFS([6]BV_Data_An_Prec!$O:$O,[6]BV_Data_An_Prec!$U:$U,$B65,[6]BV_Data_An_Prec!$V:$V,$C65,[6]BV_Data_An_Prec!$W:$W,Q$2)</f>
        <v>81.69</v>
      </c>
      <c r="R65" s="42"/>
      <c r="S65" s="86">
        <f t="shared" si="29"/>
        <v>81.16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30" t="s">
        <v>62</v>
      </c>
      <c r="D66" s="82"/>
      <c r="E66" s="14"/>
      <c r="F66" s="31">
        <f>+INDEX('[6]Budget original'!$A$2:$AO$496,MATCH($A66,'[6]Budget original'!$A$2:$A$496,0),MATCH(F$2,'[6]Budget original'!$A$2:$AO$2,0))</f>
        <v>1349.1200000000001</v>
      </c>
      <c r="G66" s="84"/>
      <c r="H66" s="14"/>
      <c r="I66" s="31">
        <f>+INDEX('[6]Budget révisé'!$A$2:$AO$496,MATCH($A66,'[6]Budget révisé'!$A$2:$A$496,0),MATCH(I$2,'[6]Budget révisé'!$A$2:$AO$2,0))</f>
        <v>1349.1200000000001</v>
      </c>
      <c r="J66" s="42"/>
      <c r="K66" s="14"/>
      <c r="L66" s="34">
        <f>SUMIFS([6]BV_Data_An_Cour!$O:$O,[6]BV_Data_An_Cour!$U:$U,$B66,[6]BV_Data_An_Cour!$V:$V,$C66,[6]BV_Data_An_Cour!$W:$W,L$2)</f>
        <v>1198.42</v>
      </c>
      <c r="M66" s="42"/>
      <c r="N66" s="60">
        <f t="shared" si="28"/>
        <v>-150.70000000000005</v>
      </c>
      <c r="O66" s="42"/>
      <c r="P66" s="14"/>
      <c r="Q66" s="34">
        <f>SUMIFS([6]BV_Data_An_Prec!$O:$O,[6]BV_Data_An_Prec!$U:$U,$B66,[6]BV_Data_An_Prec!$V:$V,$C66,[6]BV_Data_An_Prec!$W:$W,Q$2)</f>
        <v>1720.31</v>
      </c>
      <c r="R66" s="42"/>
      <c r="S66" s="86">
        <f t="shared" si="29"/>
        <v>-521.88999999999987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30" t="s">
        <v>63</v>
      </c>
      <c r="D67" s="82"/>
      <c r="E67" s="14"/>
      <c r="F67" s="31">
        <f>+INDEX('[6]Budget original'!$A$2:$AO$496,MATCH($A67,'[6]Budget original'!$A$2:$A$496,0),MATCH(F$2,'[6]Budget original'!$A$2:$AO$2,0))</f>
        <v>1438.3466666666668</v>
      </c>
      <c r="G67" s="84"/>
      <c r="H67" s="14"/>
      <c r="I67" s="31">
        <f>+INDEX('[6]Budget révisé'!$A$2:$AO$496,MATCH($A67,'[6]Budget révisé'!$A$2:$A$496,0),MATCH(I$2,'[6]Budget révisé'!$A$2:$AO$2,0))</f>
        <v>1438.3466666666668</v>
      </c>
      <c r="J67" s="42"/>
      <c r="K67" s="14"/>
      <c r="L67" s="34">
        <f>SUMIFS([6]BV_Data_An_Cour!$O:$O,[6]BV_Data_An_Cour!$U:$U,$B67,[6]BV_Data_An_Cour!$V:$V,$C67,[6]BV_Data_An_Cour!$W:$W,L$2)</f>
        <v>843.33</v>
      </c>
      <c r="M67" s="42"/>
      <c r="N67" s="60">
        <f t="shared" si="28"/>
        <v>-595.01666666666677</v>
      </c>
      <c r="O67" s="42"/>
      <c r="P67" s="14"/>
      <c r="Q67" s="34">
        <f>SUMIFS([6]BV_Data_An_Prec!$O:$O,[6]BV_Data_An_Prec!$U:$U,$B67,[6]BV_Data_An_Prec!$V:$V,$C67,[6]BV_Data_An_Prec!$W:$W,Q$2)</f>
        <v>4555.83</v>
      </c>
      <c r="R67" s="42"/>
      <c r="S67" s="86">
        <f t="shared" si="29"/>
        <v>-3712.5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30" t="s">
        <v>64</v>
      </c>
      <c r="D68" s="82"/>
      <c r="E68" s="14"/>
      <c r="F68" s="31">
        <f>+INDEX('[6]Budget original'!$A$2:$AO$496,MATCH($A68,'[6]Budget original'!$A$2:$A$496,0),MATCH(F$2,'[6]Budget original'!$A$2:$AO$2,0))</f>
        <v>3670.657400387608</v>
      </c>
      <c r="G68" s="84"/>
      <c r="H68" s="14"/>
      <c r="I68" s="31">
        <f>+INDEX('[6]Budget révisé'!$A$2:$AO$496,MATCH($A68,'[6]Budget révisé'!$A$2:$A$496,0),MATCH(I$2,'[6]Budget révisé'!$A$2:$AO$2,0))</f>
        <v>3670.657400387608</v>
      </c>
      <c r="J68" s="42"/>
      <c r="K68" s="14"/>
      <c r="L68" s="33">
        <f>AF447*W3</f>
        <v>3102.8445000000002</v>
      </c>
      <c r="M68" s="42"/>
      <c r="N68" s="60">
        <f t="shared" si="28"/>
        <v>-567.8129003876079</v>
      </c>
      <c r="O68" s="42"/>
      <c r="P68" s="14"/>
      <c r="Q68" s="34">
        <f>AL447*W3</f>
        <v>3681.1125000000002</v>
      </c>
      <c r="R68" s="42"/>
      <c r="S68" s="86">
        <f t="shared" si="29"/>
        <v>-578.26800000000003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30" t="s">
        <v>21</v>
      </c>
      <c r="D69" s="82"/>
      <c r="E69" s="14"/>
      <c r="F69" s="31">
        <f>+INDEX('[6]Budget original'!$A$2:$AO$496,MATCH($A69,'[6]Budget original'!$A$2:$A$496,0),MATCH(F$2,'[6]Budget original'!$A$2:$AO$2,0))</f>
        <v>0</v>
      </c>
      <c r="G69" s="84"/>
      <c r="H69" s="14"/>
      <c r="I69" s="31">
        <f>+INDEX('[6]Budget révisé'!$A$2:$AO$496,MATCH($A69,'[6]Budget révisé'!$A$2:$A$496,0),MATCH(I$2,'[6]Budget révisé'!$A$2:$AO$2,0))</f>
        <v>0</v>
      </c>
      <c r="J69" s="42"/>
      <c r="K69" s="14"/>
      <c r="L69" s="34"/>
      <c r="M69" s="42"/>
      <c r="N69" s="60">
        <f t="shared" si="28"/>
        <v>0</v>
      </c>
      <c r="O69" s="42"/>
      <c r="P69" s="14"/>
      <c r="Q69" s="34">
        <f>SUMIFS([6]BV_Data_An_Prec!$O:$O,[6]BV_Data_An_Prec!$U:$U,$B69,[6]BV_Data_An_Prec!$V:$V,$C69,[6]BV_Data_An_Prec!$W:$W,Q$2)</f>
        <v>0</v>
      </c>
      <c r="R69" s="42"/>
      <c r="S69" s="86">
        <f t="shared" si="29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30" t="s">
        <v>21</v>
      </c>
      <c r="D70" s="82"/>
      <c r="E70" s="14"/>
      <c r="F70" s="31">
        <f>+INDEX('[6]Budget original'!$A$2:$AO$496,MATCH($A70,'[6]Budget original'!$A$2:$A$496,0),MATCH(F$2,'[6]Budget original'!$A$2:$AO$2,0))</f>
        <v>0</v>
      </c>
      <c r="G70" s="84"/>
      <c r="H70" s="14"/>
      <c r="I70" s="31">
        <f>+INDEX('[6]Budget révisé'!$A$2:$AO$496,MATCH($A70,'[6]Budget révisé'!$A$2:$A$496,0),MATCH(I$2,'[6]Budget révisé'!$A$2:$AO$2,0))</f>
        <v>0</v>
      </c>
      <c r="J70" s="42"/>
      <c r="K70" s="14"/>
      <c r="L70" s="34">
        <f>SUMIFS([6]BV_Data_An_Cour!$O:$O,[6]BV_Data_An_Cour!$U:$U,$B70,[6]BV_Data_An_Cour!$V:$V,$C70,[6]BV_Data_An_Cour!$W:$W,L$2)</f>
        <v>0</v>
      </c>
      <c r="M70" s="42"/>
      <c r="N70" s="60">
        <f t="shared" si="28"/>
        <v>0</v>
      </c>
      <c r="O70" s="42"/>
      <c r="P70" s="14"/>
      <c r="Q70" s="34">
        <f>SUMIFS([6]BV_Data_An_Prec!$O:$O,[6]BV_Data_An_Prec!$U:$U,$B70,[6]BV_Data_An_Prec!$V:$V,$C70,[6]BV_Data_An_Prec!$W:$W,Q$2)</f>
        <v>0</v>
      </c>
      <c r="R70" s="42"/>
      <c r="S70" s="86">
        <f t="shared" si="29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30" t="s">
        <v>21</v>
      </c>
      <c r="D71" s="82"/>
      <c r="E71" s="14"/>
      <c r="F71" s="31">
        <f>+INDEX('[6]Budget original'!$A$2:$AO$496,MATCH($A71,'[6]Budget original'!$A$2:$A$496,0),MATCH(F$2,'[6]Budget original'!$A$2:$AO$2,0))</f>
        <v>0</v>
      </c>
      <c r="G71" s="84"/>
      <c r="H71" s="14"/>
      <c r="I71" s="31">
        <f>+INDEX('[6]Budget révisé'!$A$2:$AO$496,MATCH($A71,'[6]Budget révisé'!$A$2:$A$496,0),MATCH(I$2,'[6]Budget révisé'!$A$2:$AO$2,0))</f>
        <v>0</v>
      </c>
      <c r="J71" s="42"/>
      <c r="K71" s="14"/>
      <c r="L71" s="34">
        <f>SUMIFS([6]BV_Data_An_Cour!$O:$O,[6]BV_Data_An_Cour!$U:$U,$B71,[6]BV_Data_An_Cour!$V:$V,$C71,[6]BV_Data_An_Cour!$W:$W,L$2)*0.32</f>
        <v>0</v>
      </c>
      <c r="M71" s="42"/>
      <c r="N71" s="60">
        <f t="shared" si="28"/>
        <v>0</v>
      </c>
      <c r="O71" s="42"/>
      <c r="P71" s="14"/>
      <c r="Q71" s="34">
        <f>SUMIFS([6]BV_Data_An_Prec!$O:$O,[6]BV_Data_An_Prec!$U:$U,$B71,[6]BV_Data_An_Prec!$V:$V,$C71,[6]BV_Data_An_Prec!$W:$W,Q$2)*0.32</f>
        <v>0</v>
      </c>
      <c r="R71" s="42"/>
      <c r="S71" s="86">
        <f t="shared" si="29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9" t="s">
        <v>65</v>
      </c>
      <c r="D72" s="100" t="s">
        <v>40</v>
      </c>
      <c r="E72" s="101">
        <f>F72/F$27</f>
        <v>0.20732939417972809</v>
      </c>
      <c r="F72" s="102">
        <f>+SUM(F55:F71)</f>
        <v>35648.21356810235</v>
      </c>
      <c r="G72" s="103" t="s">
        <v>40</v>
      </c>
      <c r="H72" s="101">
        <f>I72/I$27</f>
        <v>0.17052647338079238</v>
      </c>
      <c r="I72" s="102">
        <f>+SUM(I55:I71)</f>
        <v>35648.21356810235</v>
      </c>
      <c r="J72" s="103" t="s">
        <v>40</v>
      </c>
      <c r="K72" s="101">
        <f>L72/L$27</f>
        <v>0.11057211934815361</v>
      </c>
      <c r="L72" s="102">
        <f>+SUM(L55:L71)</f>
        <v>26981.2745</v>
      </c>
      <c r="M72" s="106"/>
      <c r="N72" s="102">
        <f>+SUM(N55:N71)</f>
        <v>-8666.9390681023506</v>
      </c>
      <c r="O72" s="103" t="s">
        <v>40</v>
      </c>
      <c r="P72" s="101">
        <f>Q72/Q$27</f>
        <v>0.44055629905125276</v>
      </c>
      <c r="Q72" s="102">
        <f>+SUM(Q55:Q71)</f>
        <v>45741.352500000001</v>
      </c>
      <c r="R72" s="106"/>
      <c r="S72" s="107">
        <f>+SUM(S55:S71)</f>
        <v>-18760.077999999998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9" t="s">
        <v>66</v>
      </c>
      <c r="D74" s="100" t="s">
        <v>40</v>
      </c>
      <c r="E74" s="101">
        <f>F74/F$27</f>
        <v>1.2832995280581578</v>
      </c>
      <c r="F74" s="102">
        <f>F41+F54+F72</f>
        <v>220650.50558342476</v>
      </c>
      <c r="G74" s="103" t="s">
        <v>40</v>
      </c>
      <c r="H74" s="101">
        <f>I74/I$27</f>
        <v>1.0605929376352208</v>
      </c>
      <c r="I74" s="102">
        <f>I41+I54+I72</f>
        <v>221714.80357313261</v>
      </c>
      <c r="J74" s="103" t="s">
        <v>40</v>
      </c>
      <c r="K74" s="101">
        <f>L74/L$27</f>
        <v>0.86838430782807463</v>
      </c>
      <c r="L74" s="102">
        <f>L41+L54+L72</f>
        <v>211898.94450000001</v>
      </c>
      <c r="M74" s="106"/>
      <c r="N74" s="119">
        <f>L74-I74</f>
        <v>-9815.8590731325967</v>
      </c>
      <c r="O74" s="103" t="s">
        <v>40</v>
      </c>
      <c r="P74" s="101">
        <f>Q74/Q$27</f>
        <v>2.1593979033260844</v>
      </c>
      <c r="Q74" s="102">
        <f>Q41+Q54+Q72</f>
        <v>224202.40250000003</v>
      </c>
      <c r="R74" s="106"/>
      <c r="S74" s="120">
        <f>L74-Q74</f>
        <v>-12303.458000000013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30" t="s">
        <v>200</v>
      </c>
      <c r="D75" s="82"/>
      <c r="E75" s="14"/>
      <c r="F75" s="31">
        <f>+INDEX('[6]Budget original'!$A$2:$AO$496,MATCH($A75,'[6]Budget original'!$A$2:$A$496,0),MATCH(F$2,'[6]Budget original'!$A$2:$AO$2,0))</f>
        <v>49893.40125000001</v>
      </c>
      <c r="G75" s="84"/>
      <c r="H75" s="14"/>
      <c r="I75" s="31">
        <f>+INDEX('[6]Budget révisé'!$A$2:$AO$496,MATCH($A75,'[6]Budget révisé'!$A$2:$A$496,0),MATCH(I$2,'[6]Budget révisé'!$A$2:$AO$2,0))</f>
        <v>9354.2258593001643</v>
      </c>
      <c r="J75" s="42"/>
      <c r="K75" s="14"/>
      <c r="L75" s="33">
        <f>-SUMIFS([6]BV_Data_An_Cour!$O:$O,[6]BV_Data_An_Cour!$U:$U,$B75,[6]BV_Data_An_Cour!$V:$V,$C75,[6]BV_Data_An_Cour!$W:$W,L$2)-L155</f>
        <v>0</v>
      </c>
      <c r="M75" s="42"/>
      <c r="N75" s="60">
        <f>L75-I75</f>
        <v>-9354.2258593001643</v>
      </c>
      <c r="O75" s="42"/>
      <c r="P75" s="14"/>
      <c r="Q75" s="33">
        <f>-SUMIFS([6]BV_Data_An_Prec!$O:$O,[6]BV_Data_An_Prec!$U:$U,$B75,[6]BV_Data_An_Prec!$V:$V,$C75,[6]BV_Data_An_Prec!$W:$W,Q$2)-Q155</f>
        <v>45750</v>
      </c>
      <c r="R75" s="42"/>
      <c r="S75" s="86"/>
      <c r="T75" s="14"/>
      <c r="U75" s="14"/>
      <c r="V75" s="12" t="s">
        <v>242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30" t="s">
        <v>197</v>
      </c>
      <c r="D76" s="82"/>
      <c r="E76" s="14"/>
      <c r="F76" s="31">
        <f>+INDEX('[6]Budget original'!$A$2:$AO$496,MATCH($A76,'[6]Budget original'!$A$2:$A$496,0),MATCH(F$2,'[6]Budget original'!$A$2:$AO$2,0))</f>
        <v>0</v>
      </c>
      <c r="G76" s="84"/>
      <c r="H76" s="14"/>
      <c r="I76" s="31">
        <f>+INDEX('[6]Budget révisé'!$A$2:$AO$496,MATCH($A76,'[6]Budget révisé'!$A$2:$A$496,0),MATCH(I$2,'[6]Budget révisé'!$A$2:$AO$2,0))</f>
        <v>0</v>
      </c>
      <c r="J76" s="42"/>
      <c r="K76" s="14"/>
      <c r="L76" s="33">
        <f>-SUMIFS([6]BV_Data_An_Cour!$O:$O,[6]BV_Data_An_Cour!$U:$U,$B76,[6]BV_Data_An_Cour!$V:$V,$C76,[6]BV_Data_An_Cour!$W:$W,L$2)</f>
        <v>0</v>
      </c>
      <c r="M76" s="42"/>
      <c r="N76" s="60">
        <f>L76-I76</f>
        <v>0</v>
      </c>
      <c r="O76" s="42"/>
      <c r="P76" s="14"/>
      <c r="Q76" s="33">
        <f>-SUMIFS([6]BV_Data_An_Prec!$O:$O,[6]BV_Data_An_Prec!$U:$U,$B76,[6]BV_Data_An_Prec!$V:$V,$C76,[6]BV_Data_An_Prec!$W:$W,Q$2)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30" t="s">
        <v>69</v>
      </c>
      <c r="D77" s="82"/>
      <c r="E77" s="14"/>
      <c r="F77" s="31">
        <f>+INDEX('[6]Budget original'!$A$2:$AO$496,MATCH($A77,'[6]Budget original'!$A$2:$A$496,0),MATCH(F$2,'[6]Budget original'!$A$2:$AO$2,0))</f>
        <v>0</v>
      </c>
      <c r="G77" s="84"/>
      <c r="H77" s="14"/>
      <c r="I77" s="31">
        <f>+INDEX('[6]Budget révisé'!$A$2:$AO$496,MATCH($A77,'[6]Budget révisé'!$A$2:$A$496,0),MATCH(I$2,'[6]Budget révisé'!$A$2:$AO$2,0))</f>
        <v>0</v>
      </c>
      <c r="J77" s="42"/>
      <c r="K77" s="14"/>
      <c r="L77" s="33">
        <f>-SUMIFS([6]BV_Data_An_Cour!$O:$O,[6]BV_Data_An_Cour!$U:$U,$B77,[6]BV_Data_An_Cour!$V:$V,$C77,[6]BV_Data_An_Cour!$W:$W,L$2)</f>
        <v>0</v>
      </c>
      <c r="M77" s="42"/>
      <c r="N77" s="60">
        <f t="shared" ref="N77:N82" si="30">L77-I77</f>
        <v>0</v>
      </c>
      <c r="O77" s="42"/>
      <c r="P77" s="14"/>
      <c r="Q77" s="33">
        <f>-SUMIFS([6]BV_Data_An_Prec!$O:$O,[6]BV_Data_An_Prec!$U:$U,$B77,[6]BV_Data_An_Prec!$V:$V,$C77,[6]BV_Data_An_Prec!$W:$W,Q$2)</f>
        <v>0</v>
      </c>
      <c r="R77" s="42"/>
      <c r="S77" s="86">
        <f t="shared" ref="S77:S82" si="31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30" t="s">
        <v>70</v>
      </c>
      <c r="D78" s="82"/>
      <c r="E78" s="14"/>
      <c r="F78" s="31">
        <f>+INDEX('[6]Budget original'!$A$2:$AO$496,MATCH($A78,'[6]Budget original'!$A$2:$A$496,0),MATCH(F$2,'[6]Budget original'!$A$2:$AO$2,0))</f>
        <v>80053.124249999993</v>
      </c>
      <c r="G78" s="84"/>
      <c r="H78" s="14"/>
      <c r="I78" s="31">
        <f>+INDEX('[6]Budget révisé'!$A$2:$AO$496,MATCH($A78,'[6]Budget révisé'!$A$2:$A$496,0),MATCH(I$2,'[6]Budget révisé'!$A$2:$AO$2,0))</f>
        <v>81318.786293478261</v>
      </c>
      <c r="J78" s="42"/>
      <c r="K78" s="14"/>
      <c r="L78" s="34">
        <f>-SUMIFS([6]BV_Data_An_Cour!$O:$O,[6]BV_Data_An_Cour!$U:$U,$B78,[6]BV_Data_An_Cour!$V:$V,$C78,[6]BV_Data_An_Cour!$W:$W,L$2)</f>
        <v>102678</v>
      </c>
      <c r="M78" s="42"/>
      <c r="N78" s="60">
        <f t="shared" si="30"/>
        <v>21359.213706521739</v>
      </c>
      <c r="O78" s="42"/>
      <c r="P78" s="14"/>
      <c r="Q78" s="33">
        <f>-SUMIFS([6]BV_Data_An_Prec!$O:$O,[6]BV_Data_An_Prec!$U:$U,$B78,[6]BV_Data_An_Prec!$V:$V,$C78,[6]BV_Data_An_Prec!$W:$W,Q$2)</f>
        <v>72454</v>
      </c>
      <c r="R78" s="42"/>
      <c r="S78" s="86">
        <f t="shared" si="31"/>
        <v>30224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30" t="s">
        <v>21</v>
      </c>
      <c r="D79" s="82"/>
      <c r="E79" s="14"/>
      <c r="F79" s="31">
        <f>+INDEX('[6]Budget original'!$A$2:$AO$496,MATCH($A79,'[6]Budget original'!$A$2:$A$496,0),MATCH(F$2,'[6]Budget original'!$A$2:$AO$2,0))</f>
        <v>0</v>
      </c>
      <c r="G79" s="84"/>
      <c r="H79" s="14"/>
      <c r="I79" s="31">
        <f>+INDEX('[6]Budget révisé'!$A$2:$AO$496,MATCH($A79,'[6]Budget révisé'!$A$2:$A$496,0),MATCH(I$2,'[6]Budget révisé'!$A$2:$AO$2,0))</f>
        <v>0</v>
      </c>
      <c r="J79" s="42"/>
      <c r="K79" s="14"/>
      <c r="L79" s="34">
        <f>-SUMIFS([6]BV_Data_An_Cour!$O:$O,[6]BV_Data_An_Cour!$U:$U,$B79,[6]BV_Data_An_Cour!$V:$V,$C79,[6]BV_Data_An_Cour!$W:$W,L$2)</f>
        <v>0</v>
      </c>
      <c r="M79" s="42"/>
      <c r="N79" s="60">
        <f t="shared" si="30"/>
        <v>0</v>
      </c>
      <c r="O79" s="42"/>
      <c r="P79" s="14"/>
      <c r="Q79" s="33">
        <f>-SUMIFS([6]BV_Data_An_Prec!$O:$O,[6]BV_Data_An_Prec!$U:$U,$B79,[6]BV_Data_An_Prec!$V:$V,$C79,[6]BV_Data_An_Prec!$W:$W,Q$2)</f>
        <v>0</v>
      </c>
      <c r="R79" s="42"/>
      <c r="S79" s="86">
        <f t="shared" si="31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30" t="s">
        <v>21</v>
      </c>
      <c r="D80" s="82"/>
      <c r="E80" s="14"/>
      <c r="F80" s="31">
        <f>+INDEX('[6]Budget original'!$A$2:$AO$496,MATCH($A80,'[6]Budget original'!$A$2:$A$496,0),MATCH(F$2,'[6]Budget original'!$A$2:$AO$2,0))</f>
        <v>0</v>
      </c>
      <c r="G80" s="84"/>
      <c r="H80" s="14"/>
      <c r="I80" s="31">
        <f>+INDEX('[6]Budget révisé'!$A$2:$AO$496,MATCH($A80,'[6]Budget révisé'!$A$2:$A$496,0),MATCH(I$2,'[6]Budget révisé'!$A$2:$AO$2,0))</f>
        <v>0</v>
      </c>
      <c r="J80" s="42"/>
      <c r="K80" s="14"/>
      <c r="L80" s="34">
        <f>-SUMIFS([6]BV_Data_An_Cour!$O:$O,[6]BV_Data_An_Cour!$U:$U,$B80,[6]BV_Data_An_Cour!$V:$V,$C80,[6]BV_Data_An_Cour!$W:$W,L$2)</f>
        <v>0</v>
      </c>
      <c r="M80" s="42"/>
      <c r="N80" s="60">
        <f t="shared" si="30"/>
        <v>0</v>
      </c>
      <c r="O80" s="42"/>
      <c r="P80" s="14"/>
      <c r="Q80" s="33">
        <f>-SUMIFS([6]BV_Data_An_Prec!$O:$O,[6]BV_Data_An_Prec!$U:$U,$B80,[6]BV_Data_An_Prec!$V:$V,$C80,[6]BV_Data_An_Prec!$W:$W,Q$2)</f>
        <v>0</v>
      </c>
      <c r="R80" s="42"/>
      <c r="S80" s="86">
        <f t="shared" si="31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30" t="s">
        <v>21</v>
      </c>
      <c r="D81" s="82"/>
      <c r="E81" s="14"/>
      <c r="F81" s="31">
        <f>+INDEX('[6]Budget original'!$A$2:$AO$496,MATCH($A81,'[6]Budget original'!$A$2:$A$496,0),MATCH(F$2,'[6]Budget original'!$A$2:$AO$2,0))</f>
        <v>0</v>
      </c>
      <c r="G81" s="84"/>
      <c r="H81" s="14"/>
      <c r="I81" s="31">
        <f>+INDEX('[6]Budget révisé'!$A$2:$AO$496,MATCH($A81,'[6]Budget révisé'!$A$2:$A$496,0),MATCH(I$2,'[6]Budget révisé'!$A$2:$AO$2,0))</f>
        <v>0</v>
      </c>
      <c r="J81" s="42"/>
      <c r="K81" s="14"/>
      <c r="L81" s="34">
        <f>-SUMIFS([6]BV_Data_An_Cour!$O:$O,[6]BV_Data_An_Cour!$U:$U,$B81,[6]BV_Data_An_Cour!$V:$V,$C81,[6]BV_Data_An_Cour!$W:$W,L$2)</f>
        <v>0</v>
      </c>
      <c r="M81" s="42"/>
      <c r="N81" s="60">
        <f t="shared" si="30"/>
        <v>0</v>
      </c>
      <c r="O81" s="42"/>
      <c r="P81" s="14"/>
      <c r="Q81" s="33">
        <f>-SUMIFS([6]BV_Data_An_Prec!$O:$O,[6]BV_Data_An_Prec!$U:$U,$B81,[6]BV_Data_An_Prec!$V:$V,$C81,[6]BV_Data_An_Prec!$W:$W,Q$2)</f>
        <v>0</v>
      </c>
      <c r="R81" s="42"/>
      <c r="S81" s="86">
        <f t="shared" si="31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30" t="s">
        <v>71</v>
      </c>
      <c r="D82" s="82"/>
      <c r="E82" s="14"/>
      <c r="F82" s="31">
        <f>+INDEX('[6]Budget original'!$A$2:$AO$496,MATCH($A82,'[6]Budget original'!$A$2:$A$496,0),MATCH(F$2,'[6]Budget original'!$A$2:$AO$2,0))</f>
        <v>29063.065822300141</v>
      </c>
      <c r="G82" s="84"/>
      <c r="H82" s="14"/>
      <c r="I82" s="31">
        <f>+INDEX('[6]Budget révisé'!$A$2:$AO$496,MATCH($A82,'[6]Budget révisé'!$A$2:$A$496,0),MATCH(I$2,'[6]Budget révisé'!$A$2:$AO$2,0))</f>
        <v>29063.065822300134</v>
      </c>
      <c r="J82" s="42"/>
      <c r="K82" s="14"/>
      <c r="L82" s="33">
        <f>-SUMIFS([6]BV_Data_An_Cour!$O:$O,[6]BV_Data_An_Cour!$U:$U,$B82,[6]BV_Data_An_Cour!$V:$V,$C82,[6]BV_Data_An_Cour!$W:$W,L$2)-L158</f>
        <v>25377</v>
      </c>
      <c r="M82" s="42"/>
      <c r="N82" s="60">
        <f t="shared" si="30"/>
        <v>-3686.0658223001337</v>
      </c>
      <c r="O82" s="42"/>
      <c r="P82" s="14"/>
      <c r="Q82" s="33">
        <f>-SUMIFS([6]BV_Data_An_Prec!$O:$O,[6]BV_Data_An_Prec!$U:$U,$B82,[6]BV_Data_An_Prec!$V:$V,$C82,[6]BV_Data_An_Prec!$W:$W,Q$2)-Q158</f>
        <v>9865</v>
      </c>
      <c r="R82" s="42"/>
      <c r="S82" s="86">
        <f t="shared" si="31"/>
        <v>15512</v>
      </c>
      <c r="T82" s="14"/>
      <c r="U82" s="14" t="s">
        <v>252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9" t="s">
        <v>72</v>
      </c>
      <c r="D83" s="100"/>
      <c r="E83" s="101"/>
      <c r="F83" s="102">
        <f>+SUM(F75:F82)</f>
        <v>159009.59132230014</v>
      </c>
      <c r="G83" s="103"/>
      <c r="H83" s="101"/>
      <c r="I83" s="102">
        <f>+SUM(I75:I82)</f>
        <v>119736.07797507856</v>
      </c>
      <c r="J83" s="103"/>
      <c r="K83" s="101"/>
      <c r="L83" s="102">
        <f>+SUM(L75:L82)</f>
        <v>128055</v>
      </c>
      <c r="M83" s="106"/>
      <c r="N83" s="102">
        <f>+SUM(N75:N82)</f>
        <v>8318.9220249214413</v>
      </c>
      <c r="O83" s="103"/>
      <c r="P83" s="101"/>
      <c r="Q83" s="102">
        <f>+SUM(Q75:Q82)</f>
        <v>128069</v>
      </c>
      <c r="R83" s="106"/>
      <c r="S83" s="107">
        <f>+SUM(S75:S82)</f>
        <v>45736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30" t="s">
        <v>73</v>
      </c>
      <c r="D85" s="131"/>
      <c r="E85" s="132"/>
      <c r="F85" s="133">
        <f>F27-F74+F83</f>
        <v>110299.07383916329</v>
      </c>
      <c r="G85" s="134"/>
      <c r="H85" s="132"/>
      <c r="I85" s="133">
        <f>I27-I74+I83</f>
        <v>107069.24719675344</v>
      </c>
      <c r="J85" s="134"/>
      <c r="K85" s="131"/>
      <c r="L85" s="133">
        <f>L27-L74+L83</f>
        <v>160171.22550000006</v>
      </c>
      <c r="M85" s="134"/>
      <c r="N85" s="133">
        <f>N27-N41-N54-N72+N83</f>
        <v>53101.978303246629</v>
      </c>
      <c r="O85" s="134"/>
      <c r="P85" s="131"/>
      <c r="Q85" s="133">
        <f>Q27-Q74+Q83</f>
        <v>7692.9474999998929</v>
      </c>
      <c r="R85" s="134"/>
      <c r="S85" s="135">
        <f>S27-S41-S54-S72+S83</f>
        <v>198228.27800000014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8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Mai 2021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19" t="s">
        <v>5</v>
      </c>
      <c r="E91" s="520"/>
      <c r="F91" s="521"/>
      <c r="G91" s="522" t="s">
        <v>75</v>
      </c>
      <c r="H91" s="520"/>
      <c r="I91" s="521"/>
      <c r="J91" s="522" t="s">
        <v>7</v>
      </c>
      <c r="K91" s="520"/>
      <c r="L91" s="521"/>
      <c r="M91" s="522" t="s">
        <v>8</v>
      </c>
      <c r="N91" s="521"/>
      <c r="O91" s="519" t="s">
        <v>9</v>
      </c>
      <c r="P91" s="520"/>
      <c r="Q91" s="521"/>
      <c r="R91" s="522" t="s">
        <v>10</v>
      </c>
      <c r="S91" s="52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2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+INDEX('[6]Budget original'!$A$2:$AO$496,MATCH($A93,'[6]Budget original'!$A$2:$A$496,0),MATCH(F$2,'[6]Budget original'!$A$2:$AO$2,0))</f>
        <v>1240477.1936189239</v>
      </c>
      <c r="G93" s="47"/>
      <c r="H93" s="26"/>
      <c r="I93" s="23">
        <f>+INDEX('[6]Budget révisé'!$A$2:$AO$496,MATCH($A93,'[6]Budget révisé'!$A$2:$A$496,0),MATCH(I$2,'[6]Budget révisé'!$A$2:$AO$2,0))</f>
        <v>1240477.1936189239</v>
      </c>
      <c r="J93" s="24"/>
      <c r="K93" s="26"/>
      <c r="L93" s="23">
        <f>-SUMIFS([6]BV_Data_An_Cour!$O:$O,[6]BV_Data_An_Cour!$X:$X,"Oui",[6]BV_Data_An_Cour!$U:$U,$B93)</f>
        <v>1342441.4</v>
      </c>
      <c r="M93" s="143"/>
      <c r="N93" s="144"/>
      <c r="O93" s="24"/>
      <c r="P93" s="26"/>
      <c r="Q93" s="23">
        <f>-SUMIFS([6]BV_Data_An_Prec!$O:$O,[6]BV_Data_An_Prec!$X:$X,"Oui",[6]BV_Data_An_Prec!$U:$U,$B93)</f>
        <v>1121291.5899999999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2"/>
        <v>Véhicules usagésCertifié</v>
      </c>
      <c r="B94" s="12" t="s">
        <v>74</v>
      </c>
      <c r="C94" s="30" t="s">
        <v>76</v>
      </c>
      <c r="D94" s="31">
        <f>+INDEX('[6]Budget original'!$A$2:$AO$496,MATCH($A94,'[6]Budget original'!$A$2:$A$496,0),MATCH(D$2,'[6]Budget original'!$A$2:$AO$2,0))</f>
        <v>37.229810905039251</v>
      </c>
      <c r="E94" s="31">
        <f>IF(D94=0,0,F94/D94)</f>
        <v>750</v>
      </c>
      <c r="F94" s="31">
        <f>+INDEX('[6]Budget original'!$A$2:$AO$496,MATCH($A94,'[6]Budget original'!$A$2:$A$496,0),MATCH(F$2,'[6]Budget original'!$A$2:$AO$2,0))</f>
        <v>27922.358178779439</v>
      </c>
      <c r="G94" s="32">
        <f>+INDEX('[6]Budget révisé'!$A$2:$AO$496,MATCH($A94,'[6]Budget révisé'!$A$2:$A$496,0),MATCH(G$2,'[6]Budget révisé'!$A$2:$AO$2,0))</f>
        <v>37.229810905039251</v>
      </c>
      <c r="H94" s="31">
        <f>IF(G94=0,0,I94/G94)</f>
        <v>750</v>
      </c>
      <c r="I94" s="31">
        <f>+INDEX('[6]Budget révisé'!$A$2:$AO$496,MATCH($A94,'[6]Budget révisé'!$A$2:$A$496,0),MATCH(I$2,'[6]Budget révisé'!$A$2:$AO$2,0))</f>
        <v>27922.358178779439</v>
      </c>
      <c r="J94" s="32">
        <f>-SUMIFS([6]BV_Data_An_Cour!$O:$O,[6]BV_Data_An_Cour!$U:$U,$B94,[6]BV_Data_An_Cour!$V:$V,$C94,[6]BV_Data_An_Cour!$W:$W,J$2)</f>
        <v>38</v>
      </c>
      <c r="K94" s="31">
        <f t="shared" ref="K94:K95" si="33">IF(J94=0,0,L94/J94)</f>
        <v>1319.4100000000019</v>
      </c>
      <c r="L94" s="34">
        <f>-SUMIFS([6]BV_Data_An_Cour!$O:$O,[6]BV_Data_An_Cour!$U:$U,$B94,[6]BV_Data_An_Cour!$V:$V,$C94,[6]BV_Data_An_Cour!$W:$W,$L2)</f>
        <v>50137.580000000075</v>
      </c>
      <c r="M94" s="32">
        <f>J94-G94</f>
        <v>0.77018909496074883</v>
      </c>
      <c r="N94" s="34">
        <f>L94-I94</f>
        <v>22215.221821220635</v>
      </c>
      <c r="O94" s="32">
        <f>-SUMIFS([6]BV_Data_An_Prec!$O:$O,[6]BV_Data_An_Prec!$U:$U,$B94,[6]BV_Data_An_Prec!$V:$V,$C94,[6]BV_Data_An_Prec!$W:$W,O$2)</f>
        <v>0</v>
      </c>
      <c r="P94" s="31">
        <f t="shared" ref="P94:P95" si="34">IF(O94=0,0,Q94/O94)</f>
        <v>0</v>
      </c>
      <c r="Q94" s="34">
        <f>-SUMIFS([6]BV_Data_An_Prec!$O:$O,[6]BV_Data_An_Prec!$U:$U,$B94,[6]BV_Data_An_Prec!$V:$V,$C94,[6]BV_Data_An_Prec!$W:$W,$L2)</f>
        <v>0</v>
      </c>
      <c r="R94" s="32">
        <f t="shared" ref="R94:R95" si="35">J94-O94</f>
        <v>38</v>
      </c>
      <c r="S94" s="35">
        <f t="shared" ref="S94:S95" si="36">L94-Q94</f>
        <v>50137.580000000075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2"/>
        <v>Véhicules usagésNon Certifié</v>
      </c>
      <c r="B95" s="12" t="s">
        <v>74</v>
      </c>
      <c r="C95" s="30" t="s">
        <v>77</v>
      </c>
      <c r="D95" s="31">
        <f>+INDEX('[6]Budget original'!$A$2:$AO$496,MATCH($A95,'[6]Budget original'!$A$2:$A$496,0),MATCH(D$2,'[6]Budget original'!$A$2:$AO$2,0))</f>
        <v>2.1233732455345575</v>
      </c>
      <c r="E95" s="26">
        <f t="shared" ref="E95:E104" si="37">IF(D95=0,0,F95/D95)</f>
        <v>750</v>
      </c>
      <c r="F95" s="31">
        <f>+INDEX('[6]Budget original'!$A$2:$AO$496,MATCH($A95,'[6]Budget original'!$A$2:$A$496,0),MATCH(F$2,'[6]Budget original'!$A$2:$AO$2,0))</f>
        <v>1592.5299341509181</v>
      </c>
      <c r="G95" s="32">
        <f>+INDEX('[6]Budget révisé'!$A$2:$AO$496,MATCH($A95,'[6]Budget révisé'!$A$2:$A$496,0),MATCH(G$2,'[6]Budget révisé'!$A$2:$AO$2,0))</f>
        <v>2.1233732455345575</v>
      </c>
      <c r="H95" s="31">
        <f t="shared" ref="H95:H97" si="38">IF(G95=0,0,I95/G95)</f>
        <v>750</v>
      </c>
      <c r="I95" s="31">
        <f>+INDEX('[6]Budget révisé'!$A$2:$AO$496,MATCH($A95,'[6]Budget révisé'!$A$2:$A$496,0),MATCH(I$2,'[6]Budget révisé'!$A$2:$AO$2,0))</f>
        <v>1592.5299341509181</v>
      </c>
      <c r="J95" s="32">
        <f>-SUMIFS([6]BV_Data_An_Cour!$O:$O,[6]BV_Data_An_Cour!$U:$U,$B95,[6]BV_Data_An_Cour!$V:$V,$C95,[6]BV_Data_An_Cour!$W:$W,J$2)</f>
        <v>1</v>
      </c>
      <c r="K95" s="31">
        <f t="shared" si="33"/>
        <v>-434</v>
      </c>
      <c r="L95" s="33">
        <f>-SUMIFS([6]BV_Data_An_Cour!$O:$O,[6]BV_Data_An_Cour!$U:$U,$B95,[6]BV_Data_An_Cour!$V:$V,$C95,[6]BV_Data_An_Cour!$W:$W,$L2)</f>
        <v>-434</v>
      </c>
      <c r="M95" s="32"/>
      <c r="N95" s="34"/>
      <c r="O95" s="32">
        <f>-SUMIFS([6]BV_Data_An_Prec!$O:$O,[6]BV_Data_An_Prec!$U:$U,$B95,[6]BV_Data_An_Prec!$V:$V,$C95,[6]BV_Data_An_Prec!$W:$W,O$2)</f>
        <v>38</v>
      </c>
      <c r="P95" s="31">
        <f t="shared" si="34"/>
        <v>484.78447368421007</v>
      </c>
      <c r="Q95" s="33">
        <f>-SUMIFS([6]BV_Data_An_Prec!$O:$O,[6]BV_Data_An_Prec!$U:$U,$B95,[6]BV_Data_An_Prec!$V:$V,$C95,[6]BV_Data_An_Prec!$W:$W,$L2)</f>
        <v>18421.809999999983</v>
      </c>
      <c r="R95" s="32">
        <f t="shared" si="35"/>
        <v>-37</v>
      </c>
      <c r="S95" s="35">
        <f t="shared" si="36"/>
        <v>-18855.809999999983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2"/>
        <v>Véhicules usagésTotal Usagés</v>
      </c>
      <c r="B96" s="12" t="s">
        <v>74</v>
      </c>
      <c r="C96" s="36" t="s">
        <v>78</v>
      </c>
      <c r="D96" s="37">
        <f>+D95+D94</f>
        <v>39.35318415057381</v>
      </c>
      <c r="E96" s="31">
        <f t="shared" si="37"/>
        <v>750</v>
      </c>
      <c r="F96" s="38">
        <f t="shared" ref="F96" si="39">+F94+F95</f>
        <v>29514.888112930355</v>
      </c>
      <c r="G96" s="39">
        <f>+G95+G94</f>
        <v>39.35318415057381</v>
      </c>
      <c r="H96" s="37">
        <f t="shared" si="38"/>
        <v>750</v>
      </c>
      <c r="I96" s="38">
        <f t="shared" ref="I96:J96" si="40">+I94+I95</f>
        <v>29514.888112930355</v>
      </c>
      <c r="J96" s="39">
        <f t="shared" si="40"/>
        <v>39</v>
      </c>
      <c r="K96" s="37">
        <f>IF(J96&lt;=0,0,L96/J96)</f>
        <v>1274.4507692307711</v>
      </c>
      <c r="L96" s="38">
        <f>+L94+L95</f>
        <v>49703.580000000075</v>
      </c>
      <c r="M96" s="39">
        <f>J96-G96</f>
        <v>-0.35318415057381003</v>
      </c>
      <c r="N96" s="38">
        <f>L96-I96</f>
        <v>20188.691887069719</v>
      </c>
      <c r="O96" s="39">
        <f t="shared" ref="O96" si="41">+O94+O95</f>
        <v>38</v>
      </c>
      <c r="P96" s="37">
        <f>IF(O96&lt;=0,0,Q96/O96)</f>
        <v>484.78447368421007</v>
      </c>
      <c r="Q96" s="38">
        <f>+Q94+Q95</f>
        <v>18421.809999999983</v>
      </c>
      <c r="R96" s="39">
        <f t="shared" ref="R96:S96" si="42">R94+R95</f>
        <v>1</v>
      </c>
      <c r="S96" s="40">
        <f t="shared" si="42"/>
        <v>31281.770000000091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2"/>
        <v>Véhicules usagés</v>
      </c>
      <c r="B97" s="12" t="s">
        <v>74</v>
      </c>
      <c r="C97" s="30"/>
      <c r="D97" s="14"/>
      <c r="E97" s="31">
        <f t="shared" si="37"/>
        <v>0</v>
      </c>
      <c r="F97" s="41"/>
      <c r="G97" s="42"/>
      <c r="H97" s="14">
        <f t="shared" si="38"/>
        <v>0</v>
      </c>
      <c r="I97" s="41"/>
      <c r="J97" s="42"/>
      <c r="K97" s="14"/>
      <c r="L97" s="41"/>
      <c r="M97" s="43">
        <f>M96/G96</f>
        <v>-8.9747286832610792E-3</v>
      </c>
      <c r="N97" s="44">
        <f>N96/I96</f>
        <v>0.68401722580900226</v>
      </c>
      <c r="O97" s="42"/>
      <c r="P97" s="14"/>
      <c r="Q97" s="41"/>
      <c r="R97" s="43">
        <f>R96/O96</f>
        <v>2.6315789473684209E-2</v>
      </c>
      <c r="S97" s="45">
        <f>IF(Q96=0,0,(S96/Q96))</f>
        <v>1.6980834130848228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2"/>
        <v>Véhicules usagésUS</v>
      </c>
      <c r="B98" s="12" t="s">
        <v>74</v>
      </c>
      <c r="C98" s="30" t="s">
        <v>196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2"/>
        <v>Véhicules usagésVentes au Gros</v>
      </c>
      <c r="B99" s="12" t="s">
        <v>74</v>
      </c>
      <c r="C99" s="30" t="s">
        <v>79</v>
      </c>
      <c r="D99" s="31">
        <f>+INDEX('[6]Budget original'!$A$2:$AO$496,MATCH($A99,'[6]Budget original'!$A$2:$A$496,0),MATCH(D$2,'[6]Budget original'!$A$2:$AO$2,0))</f>
        <v>33.34664551706517</v>
      </c>
      <c r="E99" s="31">
        <f t="shared" si="37"/>
        <v>120</v>
      </c>
      <c r="F99" s="31">
        <f>+INDEX('[6]Budget original'!$A$2:$AO$496,MATCH($A99,'[6]Budget original'!$A$2:$A$496,0),MATCH(F$2,'[6]Budget original'!$A$2:$AO$2,0))</f>
        <v>4001.5974620478205</v>
      </c>
      <c r="G99" s="42">
        <f>+INDEX('[6]Budget révisé'!$A$2:$AO$496,MATCH($A99,'[6]Budget révisé'!$A$2:$A$496,0),MATCH(G$2,'[6]Budget révisé'!$A$2:$AO$2,0))</f>
        <v>33.34664551706517</v>
      </c>
      <c r="H99" s="31">
        <f t="shared" ref="H99:H104" si="43">IF(G99=0,0,I99/G99)</f>
        <v>120</v>
      </c>
      <c r="I99" s="31">
        <f>+INDEX('[6]Budget révisé'!$A$2:$AO$496,MATCH($A99,'[6]Budget révisé'!$A$2:$A$496,0),MATCH(I$2,'[6]Budget révisé'!$A$2:$AO$2,0))</f>
        <v>4001.5974620478205</v>
      </c>
      <c r="J99" s="32">
        <f>-SUMIFS([6]BV_Data_An_Cour!$O:$O,[6]BV_Data_An_Cour!$U:$U,$B99,[6]BV_Data_An_Cour!$V:$V,$C99,[6]BV_Data_An_Cour!$W:$W,J$2)</f>
        <v>41</v>
      </c>
      <c r="K99" s="31">
        <f t="shared" ref="K99" si="44">IF(J99=0,0,L99/J99)</f>
        <v>611.62902439024344</v>
      </c>
      <c r="L99" s="34">
        <f>-SUMIFS([6]BV_Data_An_Cour!$O:$O,[6]BV_Data_An_Cour!$U:$U,$B99,[6]BV_Data_An_Cour!$V:$V,$C99,[6]BV_Data_An_Cour!$W:$W,L$2)</f>
        <v>25076.789999999979</v>
      </c>
      <c r="M99" s="32">
        <f t="shared" ref="M99" si="45">J99-G99</f>
        <v>7.6533544829348301</v>
      </c>
      <c r="N99" s="34">
        <f t="shared" ref="N99" si="46">L99-I99</f>
        <v>21075.19253795216</v>
      </c>
      <c r="O99" s="32">
        <f>-SUMIFS([6]BV_Data_An_Prec!$O:$O,[6]BV_Data_An_Prec!$U:$U,$B99,[6]BV_Data_An_Prec!$V:$V,$C99,[6]BV_Data_An_Prec!$W:$W,O$2)</f>
        <v>35</v>
      </c>
      <c r="P99" s="31">
        <f t="shared" ref="P99" si="47">IF(O99=0,0,Q99/O99)</f>
        <v>374.76085714285728</v>
      </c>
      <c r="Q99" s="34">
        <f>-SUMIFS([6]BV_Data_An_Prec!$O:$O,[6]BV_Data_An_Prec!$U:$U,$B99,[6]BV_Data_An_Prec!$V:$V,$C99,[6]BV_Data_An_Prec!$W:$W,Q$2)</f>
        <v>13116.630000000005</v>
      </c>
      <c r="R99" s="32">
        <f t="shared" ref="R99" si="48">J99-O99</f>
        <v>6</v>
      </c>
      <c r="S99" s="35">
        <f t="shared" ref="S99" si="49">L99-Q99</f>
        <v>11960.159999999974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2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2"/>
        <v>Véhicules usagésRev. Finances</v>
      </c>
      <c r="B101" s="12" t="s">
        <v>74</v>
      </c>
      <c r="C101" s="30" t="s">
        <v>26</v>
      </c>
      <c r="D101" s="31">
        <f>+INDEX('[6]Budget original'!$A$2:$AO$496,MATCH($A101,'[6]Budget original'!$A$2:$A$496,0),MATCH(D$2,'[6]Budget original'!$A$2:$AO$2,0))</f>
        <v>0</v>
      </c>
      <c r="E101" s="31">
        <f t="shared" si="37"/>
        <v>0</v>
      </c>
      <c r="F101" s="34">
        <f>+INDEX('[6]Budget original'!$A$2:$AO$496,MATCH($A101,'[6]Budget original'!$A$2:$A$496,0),MATCH(F$2,'[6]Budget original'!$A$2:$AO$2,0))</f>
        <v>31643.64222633859</v>
      </c>
      <c r="G101" s="32">
        <f>+INDEX('[6]Budget révisé'!$A$2:$AO$496,MATCH($A101,'[6]Budget révisé'!$A$2:$A$496,0),MATCH(G$2,'[6]Budget révisé'!$A$2:$AO$2,0))</f>
        <v>0</v>
      </c>
      <c r="H101" s="31">
        <f t="shared" si="43"/>
        <v>0</v>
      </c>
      <c r="I101" s="31">
        <f>+INDEX('[6]Budget révisé'!$A$2:$AO$496,MATCH($A101,'[6]Budget révisé'!$A$2:$A$496,0),MATCH(I$2,'[6]Budget révisé'!$A$2:$AO$2,0))</f>
        <v>31643.64222633859</v>
      </c>
      <c r="J101" s="32"/>
      <c r="K101" s="31">
        <f>IF(J96=0,0,L101/J96)</f>
        <v>799.67384615384617</v>
      </c>
      <c r="L101" s="34">
        <f>-SUMIFS([6]BV_Data_An_Cour!$O:$O,[6]BV_Data_An_Cour!$U:$U,$B101,[6]BV_Data_An_Cour!$V:$V,$C101,[6]BV_Data_An_Cour!$W:$W,$L2)</f>
        <v>31187.279999999999</v>
      </c>
      <c r="M101" s="32"/>
      <c r="N101" s="34">
        <f t="shared" ref="N101:N104" si="50">L101-I101</f>
        <v>-456.36222633859143</v>
      </c>
      <c r="O101" s="32"/>
      <c r="P101" s="31">
        <f>IF(O96=0,0,Q101/O96)</f>
        <v>613.01947368421054</v>
      </c>
      <c r="Q101" s="34">
        <f>-SUMIFS([6]BV_Data_An_Prec!$O:$O,[6]BV_Data_An_Prec!$U:$U,$B101,[6]BV_Data_An_Prec!$V:$V,$C101,[6]BV_Data_An_Prec!$W:$W,$L2)</f>
        <v>23294.74</v>
      </c>
      <c r="R101" s="32">
        <f t="shared" ref="R101:R103" si="51">O101-K101</f>
        <v>-799.67384615384617</v>
      </c>
      <c r="S101" s="35">
        <f t="shared" ref="S101:S104" si="52">L101-Q101</f>
        <v>7892.5399999999972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2"/>
        <v>Véhicules usagésRev. Protections</v>
      </c>
      <c r="B102" s="12" t="s">
        <v>74</v>
      </c>
      <c r="C102" s="30" t="s">
        <v>27</v>
      </c>
      <c r="D102" s="31">
        <f>+INDEX('[6]Budget original'!$A$2:$AO$496,MATCH($A102,'[6]Budget original'!$A$2:$A$496,0),MATCH(D$2,'[6]Budget original'!$A$2:$AO$2,0))</f>
        <v>0</v>
      </c>
      <c r="E102" s="31">
        <f t="shared" si="37"/>
        <v>0</v>
      </c>
      <c r="F102" s="34">
        <f>+INDEX('[6]Budget original'!$A$2:$AO$496,MATCH($A102,'[6]Budget original'!$A$2:$A$496,0),MATCH(F$2,'[6]Budget original'!$A$2:$AO$2,0))</f>
        <v>35862.794523183737</v>
      </c>
      <c r="G102" s="32">
        <f>+INDEX('[6]Budget révisé'!$A$2:$AO$496,MATCH($A102,'[6]Budget révisé'!$A$2:$A$496,0),MATCH(G$2,'[6]Budget révisé'!$A$2:$AO$2,0))</f>
        <v>0</v>
      </c>
      <c r="H102" s="31">
        <f t="shared" si="43"/>
        <v>0</v>
      </c>
      <c r="I102" s="31">
        <f>+INDEX('[6]Budget révisé'!$A$2:$AO$496,MATCH($A102,'[6]Budget révisé'!$A$2:$A$496,0),MATCH(I$2,'[6]Budget révisé'!$A$2:$AO$2,0))</f>
        <v>35862.794523183737</v>
      </c>
      <c r="J102" s="32"/>
      <c r="K102" s="31">
        <f>IF(J96=0,0,L102/J96)</f>
        <v>1285.4225641025639</v>
      </c>
      <c r="L102" s="34">
        <f>-SUMIFS([6]BV_Data_An_Cour!$O:$O,[6]BV_Data_An_Cour!$U:$U,$B102,[6]BV_Data_An_Cour!$V:$V,$C102,[6]BV_Data_An_Cour!$W:$W,$L2)</f>
        <v>50131.479999999996</v>
      </c>
      <c r="M102" s="32"/>
      <c r="N102" s="34">
        <f t="shared" si="50"/>
        <v>14268.685476816259</v>
      </c>
      <c r="O102" s="32"/>
      <c r="P102" s="31">
        <f>IF(O96=0,0,Q102/O96)</f>
        <v>594.36447368421045</v>
      </c>
      <c r="Q102" s="34">
        <f>-SUMIFS([6]BV_Data_An_Prec!$O:$O,[6]BV_Data_An_Prec!$U:$U,$B102,[6]BV_Data_An_Prec!$V:$V,$C102,[6]BV_Data_An_Prec!$W:$W,$L2)</f>
        <v>22585.85</v>
      </c>
      <c r="R102" s="32">
        <f t="shared" si="51"/>
        <v>-1285.4225641025639</v>
      </c>
      <c r="S102" s="35">
        <f t="shared" si="52"/>
        <v>27545.629999999997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2"/>
        <v>Véhicules usagésRev. Autres</v>
      </c>
      <c r="B103" s="12" t="s">
        <v>74</v>
      </c>
      <c r="C103" s="30" t="s">
        <v>28</v>
      </c>
      <c r="D103" s="31">
        <f>+INDEX('[6]Budget original'!$A$2:$AO$496,MATCH($A103,'[6]Budget original'!$A$2:$A$496,0),MATCH(D$2,'[6]Budget original'!$A$2:$AO$2,0))</f>
        <v>0</v>
      </c>
      <c r="E103" s="26">
        <f t="shared" si="37"/>
        <v>0</v>
      </c>
      <c r="F103" s="34">
        <f>+INDEX('[6]Budget original'!$A$2:$AO$496,MATCH($A103,'[6]Budget original'!$A$2:$A$496,0),MATCH(F$2,'[6]Budget original'!$A$2:$AO$2,0))</f>
        <v>0</v>
      </c>
      <c r="G103" s="32">
        <f>+INDEX('[6]Budget révisé'!$A$2:$AO$496,MATCH($A103,'[6]Budget révisé'!$A$2:$A$496,0),MATCH(G$2,'[6]Budget révisé'!$A$2:$AO$2,0))</f>
        <v>0</v>
      </c>
      <c r="H103" s="48">
        <f t="shared" si="43"/>
        <v>0</v>
      </c>
      <c r="I103" s="31">
        <f>+INDEX('[6]Budget révisé'!$A$2:$AO$496,MATCH($A103,'[6]Budget révisé'!$A$2:$A$496,0),MATCH(I$2,'[6]Budget révisé'!$A$2:$AO$2,0))</f>
        <v>0</v>
      </c>
      <c r="J103" s="32"/>
      <c r="K103" s="48">
        <f>IF(J96=0,0,L103/J96)</f>
        <v>41.958461538461542</v>
      </c>
      <c r="L103" s="34">
        <f>-SUMIFS([6]BV_Data_An_Cour!$O:$O,[6]BV_Data_An_Cour!$U:$U,$B103,[6]BV_Data_An_Cour!$V:$V,$C103,[6]BV_Data_An_Cour!$W:$W,$L$2)</f>
        <v>1636.38</v>
      </c>
      <c r="M103" s="52"/>
      <c r="N103" s="34">
        <f t="shared" si="50"/>
        <v>1636.38</v>
      </c>
      <c r="O103" s="32"/>
      <c r="P103" s="48">
        <f>IF(O96=0,0,Q103/O96)</f>
        <v>20.980789473684212</v>
      </c>
      <c r="Q103" s="34">
        <f>-SUMIFS([6]BV_Data_An_Prec!$O:$O,[6]BV_Data_An_Prec!$U:$U,$B103,[6]BV_Data_An_Prec!$V:$V,$C103,[6]BV_Data_An_Prec!$W:$W,$L$2)</f>
        <v>797.27</v>
      </c>
      <c r="R103" s="32">
        <f t="shared" si="51"/>
        <v>-41.958461538461542</v>
      </c>
      <c r="S103" s="35">
        <f t="shared" si="52"/>
        <v>839.11000000000013</v>
      </c>
      <c r="T103" s="14"/>
      <c r="U103" s="14" t="s">
        <v>253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2"/>
        <v>Véhicules usagésTotal F&amp;I</v>
      </c>
      <c r="B104" s="12" t="s">
        <v>74</v>
      </c>
      <c r="C104" s="36" t="s">
        <v>29</v>
      </c>
      <c r="D104" s="37">
        <f>D96</f>
        <v>39.35318415057381</v>
      </c>
      <c r="E104" s="31">
        <f t="shared" si="37"/>
        <v>1715.3996101364523</v>
      </c>
      <c r="F104" s="38">
        <f>F101+F102+F103</f>
        <v>67506.436749522327</v>
      </c>
      <c r="G104" s="39">
        <f>G96</f>
        <v>39.35318415057381</v>
      </c>
      <c r="H104" s="37">
        <f t="shared" si="43"/>
        <v>1715.3996101364523</v>
      </c>
      <c r="I104" s="38">
        <f>I101+I102+I103</f>
        <v>67506.436749522327</v>
      </c>
      <c r="J104" s="39">
        <f>J96</f>
        <v>39</v>
      </c>
      <c r="K104" s="37">
        <f>IF(J104&lt;=0,0,L104/J104)</f>
        <v>2127.0548717948718</v>
      </c>
      <c r="L104" s="38">
        <f>L101+L102+L103</f>
        <v>82955.14</v>
      </c>
      <c r="M104" s="32">
        <f>J104-G104</f>
        <v>-0.35318415057381003</v>
      </c>
      <c r="N104" s="38">
        <f t="shared" si="50"/>
        <v>15448.703250477673</v>
      </c>
      <c r="O104" s="39">
        <f>O96</f>
        <v>38</v>
      </c>
      <c r="P104" s="37">
        <f>IF(O104&lt;=0,0,Q104/O104)</f>
        <v>1228.364736842105</v>
      </c>
      <c r="Q104" s="38">
        <f>Q101+Q102+Q103</f>
        <v>46677.859999999993</v>
      </c>
      <c r="R104" s="57"/>
      <c r="S104" s="40">
        <f t="shared" si="52"/>
        <v>36277.280000000006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2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0.22884785502453567</v>
      </c>
      <c r="O105" s="42"/>
      <c r="P105" s="14"/>
      <c r="Q105" s="60"/>
      <c r="R105" s="61"/>
      <c r="S105" s="45">
        <f>IF(Q104=0,0,(S104/Q104))</f>
        <v>0.77718387261112676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2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tr">
        <f t="shared" si="32"/>
        <v>Véhicules usagésTotal Dépt. Usagés</v>
      </c>
      <c r="B107" s="12" t="s">
        <v>74</v>
      </c>
      <c r="C107" s="63" t="s">
        <v>80</v>
      </c>
      <c r="D107" s="64">
        <f>D96+D99</f>
        <v>72.69982966763898</v>
      </c>
      <c r="E107" s="68">
        <f>IF(D107&lt;=0,0,F107/D107)</f>
        <v>1389.5895325524957</v>
      </c>
      <c r="F107" s="66">
        <f>F96+F104+F99</f>
        <v>101022.92232450051</v>
      </c>
      <c r="G107" s="67">
        <f>G96+G99</f>
        <v>72.69982966763898</v>
      </c>
      <c r="H107" s="68">
        <f>IF(G107&lt;=0,0,I107/G107)</f>
        <v>1389.5895325524957</v>
      </c>
      <c r="I107" s="66">
        <f>I96+I104+I99</f>
        <v>101022.92232450051</v>
      </c>
      <c r="J107" s="67">
        <f>J96+J99</f>
        <v>80</v>
      </c>
      <c r="K107" s="68">
        <f>IF(J107&lt;=0,0,L107/J107)</f>
        <v>1971.6938750000008</v>
      </c>
      <c r="L107" s="66">
        <f>L96+L104+L99</f>
        <v>157735.51000000007</v>
      </c>
      <c r="M107" s="67">
        <f>J107-G107</f>
        <v>7.3001703323610201</v>
      </c>
      <c r="N107" s="66">
        <f>L107-I107</f>
        <v>56712.587675499555</v>
      </c>
      <c r="O107" s="67">
        <f>O96+O99</f>
        <v>73</v>
      </c>
      <c r="P107" s="68">
        <f>IF(O107&lt;=0,0,Q107/O107)</f>
        <v>1071.4561643835614</v>
      </c>
      <c r="Q107" s="66">
        <f>Q96+Q104+Q99</f>
        <v>78216.299999999988</v>
      </c>
      <c r="R107" s="67">
        <f>J107-O107</f>
        <v>7</v>
      </c>
      <c r="S107" s="69">
        <f>L107-Q107</f>
        <v>79519.210000000079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2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0.10041523296182576</v>
      </c>
      <c r="N108" s="75">
        <f>N107/I107</f>
        <v>0.56138336102899866</v>
      </c>
      <c r="O108" s="73"/>
      <c r="P108" s="71"/>
      <c r="Q108" s="72"/>
      <c r="R108" s="74">
        <f>O107/R107</f>
        <v>10.428571428571429</v>
      </c>
      <c r="S108" s="151">
        <f>IF(Q107=0,0,(S107/Q107))</f>
        <v>1.016657781050754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2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2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2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3">F111/D$96</f>
        <v>400.41957519365081</v>
      </c>
      <c r="F111" s="31">
        <f>+INDEX('[6]Budget original'!$A$2:$AO$496,MATCH($A111,'[6]Budget original'!$A$2:$A$496,0),MATCH(F$2,'[6]Budget original'!$A$2:$AO$2,0))</f>
        <v>15757.785280090277</v>
      </c>
      <c r="G111" s="152">
        <f>I111/I96</f>
        <v>0.53389276692486776</v>
      </c>
      <c r="H111" s="83">
        <f t="shared" ref="H111:H119" si="54">I111/G$96</f>
        <v>400.41957519365081</v>
      </c>
      <c r="I111" s="31">
        <f>+INDEX('[6]Budget révisé'!$A$2:$AO$496,MATCH($A111,'[6]Budget révisé'!$A$2:$A$496,0),MATCH(I$2,'[6]Budget révisé'!$A$2:$AO$2,0))</f>
        <v>15757.785280090277</v>
      </c>
      <c r="J111" s="152">
        <f>L111/L96</f>
        <v>0.37944993097076651</v>
      </c>
      <c r="K111" s="83">
        <f t="shared" ref="K111:K119" si="55">IF($J$96=0,0,L111/(J$94+J$95))</f>
        <v>483.59025641025642</v>
      </c>
      <c r="L111" s="34">
        <f>SUMIFS([6]BV_Data_An_Cour!$O:$O,[6]BV_Data_An_Cour!$U:$U,$B111,[6]BV_Data_An_Cour!$V:$V,$C111,[6]BV_Data_An_Cour!$W:$W,$L$2)</f>
        <v>18860.02</v>
      </c>
      <c r="M111" s="42"/>
      <c r="N111" s="60">
        <f t="shared" ref="N111:N152" si="56">L111-I111</f>
        <v>3102.2347199097239</v>
      </c>
      <c r="O111" s="42"/>
      <c r="P111" s="83">
        <f t="shared" ref="P111:P119" si="57">IF($J$96=0,0,Q111/(O$94+O$95))</f>
        <v>436.33236842105265</v>
      </c>
      <c r="Q111" s="34">
        <f>SUMIFS([6]BV_Data_An_Prec!$O:$O,[6]BV_Data_An_Prec!$U:$U,$B111,[6]BV_Data_An_Prec!$V:$V,$C111,[6]BV_Data_An_Prec!$W:$W,$L$2)</f>
        <v>16580.63</v>
      </c>
      <c r="R111" s="42"/>
      <c r="S111" s="86">
        <f t="shared" ref="S111:S152" si="58">L111-Q111</f>
        <v>2279.3899999999994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2"/>
        <v>Véhicules usagésComm. F&amp;I</v>
      </c>
      <c r="B112" s="12" t="s">
        <v>74</v>
      </c>
      <c r="C112" s="88" t="s">
        <v>33</v>
      </c>
      <c r="D112" s="89"/>
      <c r="E112" s="90">
        <f t="shared" si="53"/>
        <v>514.61988304093563</v>
      </c>
      <c r="F112" s="23">
        <f>+INDEX('[6]Budget original'!$A$2:$AO$496,MATCH($A112,'[6]Budget original'!$A$2:$A$496,0),MATCH(F$2,'[6]Budget original'!$A$2:$AO$2,0))</f>
        <v>20251.931024856698</v>
      </c>
      <c r="G112" s="93">
        <f>I112/I104</f>
        <v>0.3</v>
      </c>
      <c r="H112" s="90">
        <f t="shared" si="54"/>
        <v>514.61988304093563</v>
      </c>
      <c r="I112" s="23">
        <f>+INDEX('[6]Budget révisé'!$A$2:$AO$496,MATCH($A112,'[6]Budget révisé'!$A$2:$A$496,0),MATCH(I$2,'[6]Budget révisé'!$A$2:$AO$2,0))</f>
        <v>20251.931024856698</v>
      </c>
      <c r="J112" s="93">
        <f>L112/L104</f>
        <v>0.29226736281802435</v>
      </c>
      <c r="K112" s="90">
        <f t="shared" si="55"/>
        <v>621.66871794871804</v>
      </c>
      <c r="L112" s="34">
        <f>SUMIFS([6]BV_Data_An_Cour!$O:$O,[6]BV_Data_An_Cour!$U:$U,$B112,[6]BV_Data_An_Cour!$V:$V,$C112,[6]BV_Data_An_Cour!$W:$W,$L$2)</f>
        <v>24245.08</v>
      </c>
      <c r="M112" s="24"/>
      <c r="N112" s="94">
        <f t="shared" si="56"/>
        <v>3993.1489751433037</v>
      </c>
      <c r="O112" s="24"/>
      <c r="P112" s="90">
        <f t="shared" si="57"/>
        <v>311.99894736842106</v>
      </c>
      <c r="Q112" s="34">
        <f>SUMIFS([6]BV_Data_An_Prec!$O:$O,[6]BV_Data_An_Prec!$U:$U,$B112,[6]BV_Data_An_Prec!$V:$V,$C112,[6]BV_Data_An_Prec!$W:$W,$L$2)</f>
        <v>11855.96</v>
      </c>
      <c r="R112" s="24"/>
      <c r="S112" s="95">
        <f t="shared" si="58"/>
        <v>12389.120000000003</v>
      </c>
      <c r="T112" s="14"/>
      <c r="U112" s="14"/>
      <c r="V112" s="14"/>
      <c r="W112" s="14">
        <f>L104*0.3</f>
        <v>24886.541999999998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2"/>
        <v>Véhicules usagésFrais de livraison</v>
      </c>
      <c r="B113" s="12" t="s">
        <v>74</v>
      </c>
      <c r="C113" s="30" t="s">
        <v>34</v>
      </c>
      <c r="D113" s="82"/>
      <c r="E113" s="83">
        <f t="shared" si="53"/>
        <v>54</v>
      </c>
      <c r="F113" s="31">
        <f>+INDEX('[6]Budget original'!$A$2:$AO$496,MATCH($A113,'[6]Budget original'!$A$2:$A$496,0),MATCH(F$2,'[6]Budget original'!$A$2:$AO$2,0))</f>
        <v>2125.0719441309857</v>
      </c>
      <c r="G113" s="84"/>
      <c r="H113" s="83">
        <f t="shared" si="54"/>
        <v>54</v>
      </c>
      <c r="I113" s="31">
        <f>+INDEX('[6]Budget révisé'!$A$2:$AO$496,MATCH($A113,'[6]Budget révisé'!$A$2:$A$496,0),MATCH(I$2,'[6]Budget révisé'!$A$2:$AO$2,0))</f>
        <v>2125.0719441309857</v>
      </c>
      <c r="J113" s="42"/>
      <c r="K113" s="83">
        <f t="shared" si="55"/>
        <v>63.044102564102559</v>
      </c>
      <c r="L113" s="114">
        <f>SUMIFS([6]BV_Data_An_Cour!$O:$O,[6]BV_Data_An_Cour!$U:$U,$B113,[6]BV_Data_An_Cour!$V:$V,$C113,[6]BV_Data_An_Cour!$W:$W,$L$2)</f>
        <v>2458.7199999999998</v>
      </c>
      <c r="M113" s="42"/>
      <c r="N113" s="60">
        <f t="shared" si="56"/>
        <v>333.64805586901412</v>
      </c>
      <c r="O113" s="42"/>
      <c r="P113" s="83">
        <f t="shared" si="57"/>
        <v>8.4871052631578952</v>
      </c>
      <c r="Q113" s="114">
        <f>SUMIFS([6]BV_Data_An_Prec!$O:$O,[6]BV_Data_An_Prec!$U:$U,$B113,[6]BV_Data_An_Prec!$V:$V,$C113,[6]BV_Data_An_Prec!$W:$W,$L$2)</f>
        <v>322.51</v>
      </c>
      <c r="R113" s="42"/>
      <c r="S113" s="86">
        <f t="shared" si="58"/>
        <v>2136.21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2"/>
        <v>Véhicules usagésService gratuit 1</v>
      </c>
      <c r="B114" s="12" t="s">
        <v>74</v>
      </c>
      <c r="C114" s="30" t="s">
        <v>35</v>
      </c>
      <c r="D114" s="82"/>
      <c r="E114" s="83">
        <f t="shared" si="53"/>
        <v>105</v>
      </c>
      <c r="F114" s="31">
        <f>+INDEX('[6]Budget original'!$A$2:$AO$496,MATCH($A114,'[6]Budget original'!$A$2:$A$496,0),MATCH(F$2,'[6]Budget original'!$A$2:$AO$2,0))</f>
        <v>4132.0843358102502</v>
      </c>
      <c r="G114" s="84"/>
      <c r="H114" s="83">
        <f t="shared" si="54"/>
        <v>105</v>
      </c>
      <c r="I114" s="31">
        <f>+INDEX('[6]Budget révisé'!$A$2:$AO$496,MATCH($A114,'[6]Budget révisé'!$A$2:$A$496,0),MATCH(I$2,'[6]Budget révisé'!$A$2:$AO$2,0))</f>
        <v>4132.0843358102502</v>
      </c>
      <c r="J114" s="42"/>
      <c r="K114" s="83">
        <f t="shared" si="55"/>
        <v>3.1074358974358973</v>
      </c>
      <c r="L114" s="34">
        <f>SUMIFS([6]BV_Data_An_Cour!$O:$O,[6]BV_Data_An_Cour!$U:$U,$B114,[6]BV_Data_An_Cour!$V:$V,$C114,[6]BV_Data_An_Cour!$W:$W,$L$2)</f>
        <v>121.19</v>
      </c>
      <c r="M114" s="42"/>
      <c r="N114" s="60">
        <f t="shared" si="56"/>
        <v>-4010.8943358102501</v>
      </c>
      <c r="O114" s="42"/>
      <c r="P114" s="83">
        <f t="shared" si="57"/>
        <v>0</v>
      </c>
      <c r="Q114" s="34">
        <f>SUMIFS([6]BV_Data_An_Prec!$O:$O,[6]BV_Data_An_Prec!$U:$U,$B114,[6]BV_Data_An_Prec!$V:$V,$C114,[6]BV_Data_An_Prec!$W:$W,$L$2)</f>
        <v>0</v>
      </c>
      <c r="R114" s="42"/>
      <c r="S114" s="86">
        <f t="shared" si="58"/>
        <v>121.19</v>
      </c>
      <c r="T114" s="14"/>
      <c r="U114" s="14"/>
      <c r="V114" s="14"/>
      <c r="W114" s="31">
        <f>L112-W112</f>
        <v>-641.4619999999959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2"/>
        <v>Véhicules usagésEntretien stock</v>
      </c>
      <c r="B115" s="12" t="s">
        <v>74</v>
      </c>
      <c r="C115" s="88" t="s">
        <v>36</v>
      </c>
      <c r="D115" s="89"/>
      <c r="E115" s="90">
        <f t="shared" si="53"/>
        <v>60.999999999999993</v>
      </c>
      <c r="F115" s="23">
        <f>+INDEX('[6]Budget original'!$A$2:$AO$496,MATCH($A115,'[6]Budget original'!$A$2:$A$496,0),MATCH(F$2,'[6]Budget original'!$A$2:$AO$2,0))</f>
        <v>2400.5442331850022</v>
      </c>
      <c r="G115" s="91"/>
      <c r="H115" s="90">
        <f t="shared" si="54"/>
        <v>60.999999999999993</v>
      </c>
      <c r="I115" s="23">
        <f>+INDEX('[6]Budget révisé'!$A$2:$AO$496,MATCH($A115,'[6]Budget révisé'!$A$2:$A$496,0),MATCH(I$2,'[6]Budget révisé'!$A$2:$AO$2,0))</f>
        <v>2400.5442331850022</v>
      </c>
      <c r="J115" s="24"/>
      <c r="K115" s="90">
        <f t="shared" si="55"/>
        <v>114.14435897435898</v>
      </c>
      <c r="L115" s="49">
        <f>SUMIFS([6]BV_Data_An_Cour!$O:$O,[6]BV_Data_An_Cour!$U:$U,$B115,[6]BV_Data_An_Cour!$V:$V,$C115,[6]BV_Data_An_Cour!$W:$W,$L$2)</f>
        <v>4451.63</v>
      </c>
      <c r="M115" s="24"/>
      <c r="N115" s="94">
        <f t="shared" si="56"/>
        <v>2051.0857668149979</v>
      </c>
      <c r="O115" s="24"/>
      <c r="P115" s="90">
        <f t="shared" si="57"/>
        <v>65</v>
      </c>
      <c r="Q115" s="49">
        <f>SUMIFS([6]BV_Data_An_Prec!$O:$O,[6]BV_Data_An_Prec!$U:$U,$B115,[6]BV_Data_An_Prec!$V:$V,$C115,[6]BV_Data_An_Prec!$W:$W,$L$2)</f>
        <v>2470</v>
      </c>
      <c r="R115" s="24"/>
      <c r="S115" s="95">
        <f t="shared" si="58"/>
        <v>1981.63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tr">
        <f t="shared" si="32"/>
        <v>Véhicules usagésPublicité 1</v>
      </c>
      <c r="B116" s="12" t="s">
        <v>74</v>
      </c>
      <c r="C116" s="30" t="s">
        <v>37</v>
      </c>
      <c r="D116" s="82"/>
      <c r="E116" s="83">
        <f t="shared" si="53"/>
        <v>27.410526315789454</v>
      </c>
      <c r="F116" s="31">
        <f>+INDEX('[6]Budget original'!$A$2:$AO$496,MATCH($A116,'[6]Budget original'!$A$2:$A$496,0),MATCH(F$2,'[6]Budget original'!$A$2:$AO$2,0))</f>
        <v>1078.6914897694119</v>
      </c>
      <c r="G116" s="84"/>
      <c r="H116" s="83">
        <f t="shared" si="54"/>
        <v>27.410526315789454</v>
      </c>
      <c r="I116" s="31">
        <f>+INDEX('[6]Budget révisé'!$A$2:$AO$496,MATCH($A116,'[6]Budget révisé'!$A$2:$A$496,0),MATCH(I$2,'[6]Budget révisé'!$A$2:$AO$2,0))</f>
        <v>1078.6914897694119</v>
      </c>
      <c r="J116" s="42"/>
      <c r="K116" s="83">
        <f t="shared" si="55"/>
        <v>17.77128205128205</v>
      </c>
      <c r="L116" s="34">
        <f>SUMIFS([6]BV_Data_An_Cour!$O:$O,[6]BV_Data_An_Cour!$U:$U,$B116,[6]BV_Data_An_Cour!$V:$V,$C116,[6]BV_Data_An_Cour!$W:$W,$L$2)</f>
        <v>693.07999999999993</v>
      </c>
      <c r="M116" s="42"/>
      <c r="N116" s="60">
        <f t="shared" si="56"/>
        <v>-385.61148976941195</v>
      </c>
      <c r="O116" s="42"/>
      <c r="P116" s="83">
        <f t="shared" si="57"/>
        <v>196.05263157894737</v>
      </c>
      <c r="Q116" s="34">
        <f>SUMIFS([6]BV_Data_An_Prec!$O:$O,[6]BV_Data_An_Prec!$U:$U,$B116,[6]BV_Data_An_Prec!$V:$V,$C116,[6]BV_Data_An_Prec!$W:$W,$L$2)</f>
        <v>7450</v>
      </c>
      <c r="R116" s="42"/>
      <c r="S116" s="86">
        <f t="shared" si="58"/>
        <v>-6756.92</v>
      </c>
      <c r="T116" s="14"/>
      <c r="U116" s="14"/>
      <c r="V116" s="14"/>
      <c r="W116" s="12" t="s">
        <v>243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2"/>
        <v>Véhicules usagésIntérêt de gros</v>
      </c>
      <c r="B117" s="12" t="s">
        <v>74</v>
      </c>
      <c r="C117" s="30" t="s">
        <v>38</v>
      </c>
      <c r="D117" s="82"/>
      <c r="E117" s="83">
        <f t="shared" si="53"/>
        <v>35.110718730025852</v>
      </c>
      <c r="F117" s="31">
        <f>+INDEX('[6]Budget original'!$A$2:$AO$496,MATCH($A117,'[6]Budget original'!$A$2:$A$496,0),MATCH(F$2,'[6]Budget original'!$A$2:$AO$2,0))</f>
        <v>1381.7185798417083</v>
      </c>
      <c r="G117" s="84"/>
      <c r="H117" s="83">
        <f t="shared" si="54"/>
        <v>35.110718730025852</v>
      </c>
      <c r="I117" s="31">
        <f>+INDEX('[6]Budget révisé'!$A$2:$AO$496,MATCH($A117,'[6]Budget révisé'!$A$2:$A$496,0),MATCH(I$2,'[6]Budget révisé'!$A$2:$AO$2,0))</f>
        <v>1381.7185798417083</v>
      </c>
      <c r="J117" s="42"/>
      <c r="K117" s="83">
        <f t="shared" si="55"/>
        <v>14.314102564102564</v>
      </c>
      <c r="L117" s="34">
        <f>SUMIFS([6]BV_Data_An_Cour!$O:$O,[6]BV_Data_An_Cour!$U:$U,$B117,[6]BV_Data_An_Cour!$V:$V,$C117,[6]BV_Data_An_Cour!$W:$W,$L$2)</f>
        <v>558.25</v>
      </c>
      <c r="M117" s="42"/>
      <c r="N117" s="60">
        <f t="shared" si="56"/>
        <v>-823.46857984170833</v>
      </c>
      <c r="O117" s="42"/>
      <c r="P117" s="83">
        <f t="shared" si="57"/>
        <v>8.0426315789473684</v>
      </c>
      <c r="Q117" s="34">
        <f>SUMIFS([6]BV_Data_An_Prec!$O:$O,[6]BV_Data_An_Prec!$U:$U,$B117,[6]BV_Data_An_Prec!$V:$V,$C117,[6]BV_Data_An_Prec!$W:$W,$L$2)</f>
        <v>305.62</v>
      </c>
      <c r="R117" s="42"/>
      <c r="S117" s="86">
        <f t="shared" si="58"/>
        <v>252.63</v>
      </c>
      <c r="T117" s="14"/>
      <c r="U117" s="14"/>
      <c r="V117" s="14"/>
      <c r="W117" s="31">
        <f>W114+W35</f>
        <v>-137.31899999999223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2"/>
        <v>Véhicules usagés[...]</v>
      </c>
      <c r="B118" s="12" t="s">
        <v>74</v>
      </c>
      <c r="C118" s="30" t="s">
        <v>21</v>
      </c>
      <c r="D118" s="82"/>
      <c r="E118" s="83">
        <f t="shared" si="53"/>
        <v>0</v>
      </c>
      <c r="F118" s="31">
        <f>+INDEX('[6]Budget original'!$A$2:$AO$496,MATCH($A118,'[6]Budget original'!$A$2:$A$496,0),MATCH(F$2,'[6]Budget original'!$A$2:$AO$2,0))</f>
        <v>0</v>
      </c>
      <c r="G118" s="84"/>
      <c r="H118" s="83">
        <f t="shared" si="54"/>
        <v>0</v>
      </c>
      <c r="I118" s="31">
        <f>+INDEX('[6]Budget révisé'!$A$2:$AO$496,MATCH($A118,'[6]Budget révisé'!$A$2:$A$496,0),MATCH(I$2,'[6]Budget révisé'!$A$2:$AO$2,0))</f>
        <v>0</v>
      </c>
      <c r="J118" s="42"/>
      <c r="K118" s="83">
        <f t="shared" si="55"/>
        <v>0</v>
      </c>
      <c r="L118" s="34">
        <f>SUMIFS([6]BV_Data_An_Cour!$O:$O,[6]BV_Data_An_Cour!$U:$U,$B118,[6]BV_Data_An_Cour!$V:$V,$C118,[6]BV_Data_An_Cour!$W:$W,$L$2)</f>
        <v>0</v>
      </c>
      <c r="M118" s="42"/>
      <c r="N118" s="60">
        <f t="shared" si="56"/>
        <v>0</v>
      </c>
      <c r="O118" s="42"/>
      <c r="P118" s="83">
        <f t="shared" si="57"/>
        <v>0</v>
      </c>
      <c r="Q118" s="34">
        <f>SUMIFS([6]BV_Data_An_Prec!$O:$O,[6]BV_Data_An_Prec!$U:$U,$B118,[6]BV_Data_An_Prec!$V:$V,$C118,[6]BV_Data_An_Prec!$W:$W,$L$2)</f>
        <v>0</v>
      </c>
      <c r="R118" s="42"/>
      <c r="S118" s="86">
        <f t="shared" si="58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2"/>
        <v>Véhicules usagés[...]</v>
      </c>
      <c r="B119" s="12" t="s">
        <v>74</v>
      </c>
      <c r="C119" s="30" t="s">
        <v>21</v>
      </c>
      <c r="D119" s="82"/>
      <c r="E119" s="83">
        <f t="shared" si="53"/>
        <v>0</v>
      </c>
      <c r="F119" s="31">
        <f>+INDEX('[6]Budget original'!$A$2:$AO$496,MATCH($A119,'[6]Budget original'!$A$2:$A$496,0),MATCH(F$2,'[6]Budget original'!$A$2:$AO$2,0))</f>
        <v>0</v>
      </c>
      <c r="G119" s="84"/>
      <c r="H119" s="83">
        <f t="shared" si="54"/>
        <v>0</v>
      </c>
      <c r="I119" s="31">
        <f>+INDEX('[6]Budget révisé'!$A$2:$AO$496,MATCH($A119,'[6]Budget révisé'!$A$2:$A$496,0),MATCH(I$2,'[6]Budget révisé'!$A$2:$AO$2,0))</f>
        <v>0</v>
      </c>
      <c r="J119" s="42"/>
      <c r="K119" s="83">
        <f t="shared" si="55"/>
        <v>0</v>
      </c>
      <c r="L119" s="34">
        <f>SUMIFS([6]BV_Data_An_Cour!$O:$O,[6]BV_Data_An_Cour!$U:$U,$B119,[6]BV_Data_An_Cour!$V:$V,$C119,[6]BV_Data_An_Cour!$W:$W,$L$2)</f>
        <v>0</v>
      </c>
      <c r="M119" s="42"/>
      <c r="N119" s="60">
        <f t="shared" si="56"/>
        <v>0</v>
      </c>
      <c r="O119" s="42"/>
      <c r="P119" s="83">
        <f t="shared" si="57"/>
        <v>0</v>
      </c>
      <c r="Q119" s="34">
        <f>SUMIFS([6]BV_Data_An_Prec!$O:$O,[6]BV_Data_An_Prec!$U:$U,$B119,[6]BV_Data_An_Prec!$V:$V,$C119,[6]BV_Data_An_Prec!$W:$W,$L$2)</f>
        <v>0</v>
      </c>
      <c r="R119" s="42"/>
      <c r="S119" s="86">
        <f t="shared" si="58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2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+INDEX('[6]Budget original'!$A$2:$AO$496,MATCH($A120,'[6]Budget original'!$A$2:$A$496,0),MATCH(F$2,'[6]Budget original'!$A$2:$AO$2,0))</f>
        <v>0</v>
      </c>
      <c r="G120" s="84"/>
      <c r="H120" s="83">
        <f>I120/G$96</f>
        <v>0</v>
      </c>
      <c r="I120" s="31">
        <f>+INDEX('[6]Budget révisé'!$A$2:$AO$496,MATCH($A120,'[6]Budget révisé'!$A$2:$A$496,0),MATCH(I$2,'[6]Budget révisé'!$A$2:$AO$2,0))</f>
        <v>0</v>
      </c>
      <c r="J120" s="42"/>
      <c r="K120" s="83">
        <f>IF($J$96=0,0,L120/(J$94+J$95))</f>
        <v>0</v>
      </c>
      <c r="L120" s="34">
        <f>SUMIFS([6]BV_Data_An_Cour!$O:$O,[6]BV_Data_An_Cour!$U:$U,$B120,[6]BV_Data_An_Cour!$V:$V,$C120,[6]BV_Data_An_Cour!$W:$W,$L$2)</f>
        <v>0</v>
      </c>
      <c r="M120" s="42"/>
      <c r="N120" s="60">
        <f t="shared" si="56"/>
        <v>0</v>
      </c>
      <c r="O120" s="42"/>
      <c r="P120" s="83">
        <f>IF($J$96=0,0,Q120/(O$94+O$95))</f>
        <v>0</v>
      </c>
      <c r="Q120" s="34">
        <f>SUMIFS([6]BV_Data_An_Prec!$O:$O,[6]BV_Data_An_Prec!$U:$U,$B120,[6]BV_Data_An_Prec!$V:$V,$C120,[6]BV_Data_An_Prec!$W:$W,$L$2)</f>
        <v>0</v>
      </c>
      <c r="R120" s="42"/>
      <c r="S120" s="86">
        <f t="shared" si="58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2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0.46650627207459711</v>
      </c>
      <c r="F121" s="102">
        <f>SUM(F111:F120)</f>
        <v>47127.826887684329</v>
      </c>
      <c r="G121" s="103" t="s">
        <v>40</v>
      </c>
      <c r="H121" s="101">
        <f>I121/I$107</f>
        <v>0.46650627207459711</v>
      </c>
      <c r="I121" s="102">
        <f>SUM(I111:I120)</f>
        <v>47127.826887684329</v>
      </c>
      <c r="J121" s="103" t="s">
        <v>40</v>
      </c>
      <c r="K121" s="101">
        <f>L121/L$107</f>
        <v>0.32578567755605564</v>
      </c>
      <c r="L121" s="102">
        <f>SUM(L111:L120)</f>
        <v>51387.970000000008</v>
      </c>
      <c r="M121" s="106"/>
      <c r="N121" s="102">
        <f t="shared" si="56"/>
        <v>4260.1431123156799</v>
      </c>
      <c r="O121" s="103" t="s">
        <v>40</v>
      </c>
      <c r="P121" s="101">
        <f>Q121/Q$107</f>
        <v>0.49842194018382369</v>
      </c>
      <c r="Q121" s="102">
        <f>SUM(Q111:Q120)</f>
        <v>38984.720000000001</v>
      </c>
      <c r="R121" s="106"/>
      <c r="S121" s="107">
        <f t="shared" si="58"/>
        <v>12403.250000000007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tr">
        <f t="shared" si="32"/>
        <v>Véhicules usagésSalaires cadres</v>
      </c>
      <c r="B122" s="12" t="s">
        <v>74</v>
      </c>
      <c r="C122" s="108" t="s">
        <v>42</v>
      </c>
      <c r="D122" s="14"/>
      <c r="E122" s="14"/>
      <c r="F122" s="31">
        <f>+INDEX('[6]Budget original'!$A$2:$AO$496,MATCH($A122,'[6]Budget original'!$A$2:$A$496,0),MATCH(F$2,'[6]Budget original'!$A$2:$AO$2,0))</f>
        <v>6544.9093869731805</v>
      </c>
      <c r="G122" s="42"/>
      <c r="H122" s="14"/>
      <c r="I122" s="31">
        <f>+INDEX('[6]Budget révisé'!$A$2:$AO$496,MATCH($A122,'[6]Budget révisé'!$A$2:$A$496,0),MATCH(I$2,'[6]Budget révisé'!$A$2:$AO$2,0))</f>
        <v>6544.9093869731805</v>
      </c>
      <c r="J122" s="42"/>
      <c r="K122" s="14"/>
      <c r="L122" s="34">
        <f>SUMIFS([6]BV_Data_An_Cour!$O:$O,[6]BV_Data_An_Cour!$U:$U,$B122,[6]BV_Data_An_Cour!$V:$V,$C122,[6]BV_Data_An_Cour!$W:$W,$L$2)</f>
        <v>7917.04</v>
      </c>
      <c r="M122" s="42"/>
      <c r="N122" s="60">
        <f t="shared" si="56"/>
        <v>1372.1306130268194</v>
      </c>
      <c r="O122" s="42"/>
      <c r="P122" s="14"/>
      <c r="Q122" s="34">
        <f>SUMIFS([6]BV_Data_An_Prec!$O:$O,[6]BV_Data_An_Prec!$U:$U,$B122,[6]BV_Data_An_Prec!$V:$V,$C122,[6]BV_Data_An_Prec!$W:$W,$L$2)</f>
        <v>7464.96</v>
      </c>
      <c r="R122" s="42"/>
      <c r="S122" s="86">
        <f t="shared" si="58"/>
        <v>452.07999999999993</v>
      </c>
      <c r="T122" s="14"/>
      <c r="U122" s="14"/>
      <c r="V122" s="14" t="s">
        <v>244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tr">
        <f t="shared" si="32"/>
        <v>Véhicules usagésSalaires commis</v>
      </c>
      <c r="B123" s="12" t="s">
        <v>74</v>
      </c>
      <c r="C123" s="109" t="s">
        <v>43</v>
      </c>
      <c r="D123" s="82"/>
      <c r="E123" s="14"/>
      <c r="F123" s="23">
        <f>+INDEX('[6]Budget original'!$A$2:$AO$496,MATCH($A123,'[6]Budget original'!$A$2:$A$496,0),MATCH(F$2,'[6]Budget original'!$A$2:$AO$2,0))</f>
        <v>2228.7467866973179</v>
      </c>
      <c r="G123" s="84"/>
      <c r="H123" s="14"/>
      <c r="I123" s="23">
        <f>+INDEX('[6]Budget révisé'!$A$2:$AO$496,MATCH($A123,'[6]Budget révisé'!$A$2:$A$496,0),MATCH(I$2,'[6]Budget révisé'!$A$2:$AO$2,0))</f>
        <v>2228.7467866973179</v>
      </c>
      <c r="J123" s="42"/>
      <c r="K123" s="14"/>
      <c r="L123" s="23">
        <f>SUMIFS([6]BV_Data_An_Cour!$O:$O,[6]BV_Data_An_Cour!$U:$U,$B123,[6]BV_Data_An_Cour!$V:$V,$C123,[6]BV_Data_An_Cour!$W:$W,$L$2)</f>
        <v>2181.4699999999998</v>
      </c>
      <c r="M123" s="42"/>
      <c r="N123" s="60">
        <f t="shared" si="56"/>
        <v>-47.27678669731813</v>
      </c>
      <c r="O123" s="42"/>
      <c r="P123" s="14"/>
      <c r="Q123" s="23">
        <f>SUMIFS([6]BV_Data_An_Prec!$O:$O,[6]BV_Data_An_Prec!$U:$U,$B123,[6]BV_Data_An_Prec!$V:$V,$C123,[6]BV_Data_An_Prec!$W:$W,$L$2)</f>
        <v>3423.71</v>
      </c>
      <c r="R123" s="42"/>
      <c r="S123" s="86">
        <f t="shared" si="58"/>
        <v>-1242.2400000000002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tr">
        <f t="shared" si="32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+INDEX('[6]Budget original'!$A$2:$AO$496,MATCH($A124,'[6]Budget original'!$A$2:$A$496,0),MATCH(F$2,'[6]Budget original'!$A$2:$AO$2,0))</f>
        <v>7027.5993604413807</v>
      </c>
      <c r="G124" s="112"/>
      <c r="H124" s="111"/>
      <c r="I124" s="31">
        <f>+INDEX('[6]Budget révisé'!$A$2:$AO$496,MATCH($A124,'[6]Budget révisé'!$A$2:$A$496,0),MATCH(I$2,'[6]Budget révisé'!$A$2:$AO$2,0))</f>
        <v>7027.5993604413807</v>
      </c>
      <c r="J124" s="113"/>
      <c r="K124" s="111"/>
      <c r="L124" s="34">
        <f>SUMIFS([6]BV_Data_An_Cour!$O:$O,[6]BV_Data_An_Cour!$U:$U,$B124,[6]BV_Data_An_Cour!$V:$V,$C124,[6]BV_Data_An_Cour!$W:$W,$L$2)</f>
        <v>7209.56</v>
      </c>
      <c r="M124" s="113"/>
      <c r="N124" s="115">
        <f t="shared" si="56"/>
        <v>181.96063955861973</v>
      </c>
      <c r="O124" s="113"/>
      <c r="P124" s="111"/>
      <c r="Q124" s="34">
        <f>SUMIFS([6]BV_Data_An_Prec!$O:$O,[6]BV_Data_An_Prec!$U:$U,$B124,[6]BV_Data_An_Prec!$V:$V,$C124,[6]BV_Data_An_Prec!$W:$W,$L$2)</f>
        <v>14461.09</v>
      </c>
      <c r="R124" s="113"/>
      <c r="S124" s="116">
        <f t="shared" si="58"/>
        <v>-7251.53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2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+INDEX('[6]Budget original'!$A$2:$AO$496,MATCH($A125,'[6]Budget original'!$A$2:$A$496,0),MATCH(F$2,'[6]Budget original'!$A$2:$AO$2,0))</f>
        <v>0</v>
      </c>
      <c r="G125" s="84"/>
      <c r="H125" s="14"/>
      <c r="I125" s="31">
        <f>+INDEX('[6]Budget révisé'!$A$2:$AO$496,MATCH($A125,'[6]Budget révisé'!$A$2:$A$496,0),MATCH(I$2,'[6]Budget révisé'!$A$2:$AO$2,0))</f>
        <v>0</v>
      </c>
      <c r="J125" s="42"/>
      <c r="K125" s="14"/>
      <c r="L125" s="34">
        <f>SUMIFS([6]BV_Data_An_Cour!$O:$O,[6]BV_Data_An_Cour!$U:$U,$B125,[6]BV_Data_An_Cour!$V:$V,$C125,[6]BV_Data_An_Cour!$W:$W,$L$2)</f>
        <v>0</v>
      </c>
      <c r="M125" s="42"/>
      <c r="N125" s="60">
        <f t="shared" si="56"/>
        <v>0</v>
      </c>
      <c r="O125" s="42"/>
      <c r="P125" s="14"/>
      <c r="Q125" s="34">
        <f>SUMIFS([6]BV_Data_An_Prec!$O:$O,[6]BV_Data_An_Prec!$U:$U,$B125,[6]BV_Data_An_Prec!$V:$V,$C125,[6]BV_Data_An_Prec!$W:$W,$L$2)</f>
        <v>0</v>
      </c>
      <c r="R125" s="42"/>
      <c r="S125" s="86">
        <f t="shared" si="58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2"/>
        <v>Véhicules usagés[...]</v>
      </c>
      <c r="B126" s="12" t="s">
        <v>74</v>
      </c>
      <c r="C126" s="108" t="s">
        <v>21</v>
      </c>
      <c r="D126" s="82"/>
      <c r="E126" s="14"/>
      <c r="F126" s="31">
        <f>+INDEX('[6]Budget original'!$A$2:$AO$496,MATCH($A126,'[6]Budget original'!$A$2:$A$496,0),MATCH(F$2,'[6]Budget original'!$A$2:$AO$2,0))</f>
        <v>0</v>
      </c>
      <c r="G126" s="84"/>
      <c r="H126" s="14"/>
      <c r="I126" s="31">
        <f>+INDEX('[6]Budget révisé'!$A$2:$AO$496,MATCH($A126,'[6]Budget révisé'!$A$2:$A$496,0),MATCH(I$2,'[6]Budget révisé'!$A$2:$AO$2,0))</f>
        <v>0</v>
      </c>
      <c r="J126" s="42"/>
      <c r="K126" s="14"/>
      <c r="L126" s="34">
        <f>SUMIFS([6]BV_Data_An_Cour!$O:$O,[6]BV_Data_An_Cour!$U:$U,$B126,[6]BV_Data_An_Cour!$V:$V,$C126,[6]BV_Data_An_Cour!$W:$W,$L$2)</f>
        <v>0</v>
      </c>
      <c r="M126" s="42"/>
      <c r="N126" s="60">
        <f t="shared" si="56"/>
        <v>0</v>
      </c>
      <c r="O126" s="42"/>
      <c r="P126" s="14"/>
      <c r="Q126" s="34">
        <f>SUMIFS([6]BV_Data_An_Prec!$O:$O,[6]BV_Data_An_Prec!$U:$U,$B126,[6]BV_Data_An_Prec!$V:$V,$C126,[6]BV_Data_An_Prec!$W:$W,$L$2)</f>
        <v>0</v>
      </c>
      <c r="R126" s="42"/>
      <c r="S126" s="86">
        <f t="shared" si="58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2"/>
        <v>Véhicules usagés[...]</v>
      </c>
      <c r="B127" s="12" t="s">
        <v>74</v>
      </c>
      <c r="C127" s="108" t="s">
        <v>21</v>
      </c>
      <c r="D127" s="82"/>
      <c r="E127" s="14"/>
      <c r="F127" s="31">
        <f>+INDEX('[6]Budget original'!$A$2:$AO$496,MATCH($A127,'[6]Budget original'!$A$2:$A$496,0),MATCH(F$2,'[6]Budget original'!$A$2:$AO$2,0))</f>
        <v>0</v>
      </c>
      <c r="G127" s="84"/>
      <c r="H127" s="14"/>
      <c r="I127" s="31">
        <f>+INDEX('[6]Budget révisé'!$A$2:$AO$496,MATCH($A127,'[6]Budget révisé'!$A$2:$A$496,0),MATCH(I$2,'[6]Budget révisé'!$A$2:$AO$2,0))</f>
        <v>0</v>
      </c>
      <c r="J127" s="42"/>
      <c r="K127" s="14"/>
      <c r="L127" s="34">
        <f>SUMIFS([6]BV_Data_An_Cour!$O:$O,[6]BV_Data_An_Cour!$U:$U,$B127,[6]BV_Data_An_Cour!$V:$V,$C127,[6]BV_Data_An_Cour!$W:$W,$L$2)</f>
        <v>0</v>
      </c>
      <c r="M127" s="42"/>
      <c r="N127" s="60">
        <f t="shared" si="56"/>
        <v>0</v>
      </c>
      <c r="O127" s="42"/>
      <c r="P127" s="14"/>
      <c r="Q127" s="34">
        <f>SUMIFS([6]BV_Data_An_Prec!$O:$O,[6]BV_Data_An_Prec!$U:$U,$B127,[6]BV_Data_An_Prec!$V:$V,$C127,[6]BV_Data_An_Prec!$W:$W,$L$2)</f>
        <v>0</v>
      </c>
      <c r="R127" s="42"/>
      <c r="S127" s="86">
        <f t="shared" si="58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2"/>
        <v>Véhicules usagés[...]</v>
      </c>
      <c r="B128" s="12" t="s">
        <v>74</v>
      </c>
      <c r="C128" s="108" t="s">
        <v>21</v>
      </c>
      <c r="D128" s="82"/>
      <c r="E128" s="14"/>
      <c r="F128" s="31">
        <f>+INDEX('[6]Budget original'!$A$2:$AO$496,MATCH($A128,'[6]Budget original'!$A$2:$A$496,0),MATCH(F$2,'[6]Budget original'!$A$2:$AO$2,0))</f>
        <v>0</v>
      </c>
      <c r="G128" s="84"/>
      <c r="H128" s="14"/>
      <c r="I128" s="31">
        <f>+INDEX('[6]Budget révisé'!$A$2:$AO$496,MATCH($A128,'[6]Budget révisé'!$A$2:$A$496,0),MATCH(I$2,'[6]Budget révisé'!$A$2:$AO$2,0))</f>
        <v>0</v>
      </c>
      <c r="J128" s="42"/>
      <c r="K128" s="14"/>
      <c r="L128" s="34">
        <f>SUMIFS([6]BV_Data_An_Cour!$O:$O,[6]BV_Data_An_Cour!$U:$U,$B128,[6]BV_Data_An_Cour!$V:$V,$C128,[6]BV_Data_An_Cour!$W:$W,$L$2)</f>
        <v>0</v>
      </c>
      <c r="M128" s="42"/>
      <c r="N128" s="60">
        <f t="shared" si="56"/>
        <v>0</v>
      </c>
      <c r="O128" s="42"/>
      <c r="P128" s="14"/>
      <c r="Q128" s="34">
        <f>SUMIFS([6]BV_Data_An_Prec!$O:$O,[6]BV_Data_An_Prec!$U:$U,$B128,[6]BV_Data_An_Prec!$V:$V,$C128,[6]BV_Data_An_Prec!$W:$W,$L$2)</f>
        <v>0</v>
      </c>
      <c r="R128" s="42"/>
      <c r="S128" s="86">
        <f t="shared" si="58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2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+INDEX('[6]Budget original'!$A$2:$AO$496,MATCH($A129,'[6]Budget original'!$A$2:$A$496,0),MATCH(F$2,'[6]Budget original'!$A$2:$AO$2,0))</f>
        <v>6217.3166206870619</v>
      </c>
      <c r="G129" s="84"/>
      <c r="H129" s="14"/>
      <c r="I129" s="31">
        <f>+INDEX('[6]Budget révisé'!$A$2:$AO$496,MATCH($A129,'[6]Budget révisé'!$A$2:$A$496,0),MATCH(I$2,'[6]Budget révisé'!$A$2:$AO$2,0))</f>
        <v>6217.3166206870619</v>
      </c>
      <c r="J129" s="42"/>
      <c r="K129" s="14"/>
      <c r="L129" s="34">
        <f>SUMIFS([6]BV_Data_An_Cour!$O:$O,[6]BV_Data_An_Cour!$U:$U,$B129,[6]BV_Data_An_Cour!$V:$V,$C129,[6]BV_Data_An_Cour!$W:$W,$L$2)</f>
        <v>3223.57</v>
      </c>
      <c r="M129" s="42"/>
      <c r="N129" s="60">
        <f t="shared" si="56"/>
        <v>-2993.7466206870617</v>
      </c>
      <c r="O129" s="42"/>
      <c r="P129" s="14"/>
      <c r="Q129" s="34">
        <f>SUMIFS([6]BV_Data_An_Prec!$O:$O,[6]BV_Data_An_Prec!$U:$U,$B129,[6]BV_Data_An_Prec!$V:$V,$C129,[6]BV_Data_An_Prec!$W:$W,$L$2)</f>
        <v>5737.96</v>
      </c>
      <c r="R129" s="42"/>
      <c r="S129" s="86">
        <f t="shared" si="58"/>
        <v>-2514.39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2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+INDEX('[6]Budget original'!$A$2:$AO$496,MATCH($A130,'[6]Budget original'!$A$2:$A$496,0),MATCH(F$2,'[6]Budget original'!$A$2:$AO$2,0))</f>
        <v>6217.3166206870619</v>
      </c>
      <c r="G130" s="112"/>
      <c r="H130" s="111"/>
      <c r="I130" s="55">
        <f>+INDEX('[6]Budget révisé'!$A$2:$AO$496,MATCH($A130,'[6]Budget révisé'!$A$2:$A$496,0),MATCH(I$2,'[6]Budget révisé'!$A$2:$AO$2,0))</f>
        <v>6217.3166206870619</v>
      </c>
      <c r="J130" s="113"/>
      <c r="K130" s="111"/>
      <c r="L130" s="56">
        <f>SUMIFS([6]BV_Data_An_Cour!$O:$O,[6]BV_Data_An_Cour!$U:$U,$B130,[6]BV_Data_An_Cour!$V:$V,$C130,[6]BV_Data_An_Cour!$W:$W,$L$2)</f>
        <v>6704.76</v>
      </c>
      <c r="M130" s="113"/>
      <c r="N130" s="115">
        <f t="shared" si="56"/>
        <v>487.4433793129383</v>
      </c>
      <c r="O130" s="113"/>
      <c r="P130" s="111"/>
      <c r="Q130" s="56">
        <f>SUMIFS([6]BV_Data_An_Prec!$O:$O,[6]BV_Data_An_Prec!$U:$U,$B130,[6]BV_Data_An_Prec!$V:$V,$C130,[6]BV_Data_An_Prec!$W:$W,$L$2)</f>
        <v>5904.08</v>
      </c>
      <c r="R130" s="113"/>
      <c r="S130" s="116">
        <f t="shared" si="58"/>
        <v>800.68000000000029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2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+INDEX('[6]Budget original'!$A$2:$AO$496,MATCH($A131,'[6]Budget original'!$A$2:$A$496,0),MATCH(F$2,'[6]Budget original'!$A$2:$AO$2,0))</f>
        <v>4455.7435781590611</v>
      </c>
      <c r="G131" s="84"/>
      <c r="H131" s="14"/>
      <c r="I131" s="31">
        <f>+INDEX('[6]Budget révisé'!$A$2:$AO$496,MATCH($A131,'[6]Budget révisé'!$A$2:$A$496,0),MATCH(I$2,'[6]Budget révisé'!$A$2:$AO$2,0))</f>
        <v>4455.7435781590611</v>
      </c>
      <c r="J131" s="42"/>
      <c r="K131" s="14"/>
      <c r="L131" s="34">
        <f>SUMIFS([6]BV_Data_An_Cour!$O:$O,[6]BV_Data_An_Cour!$U:$U,$B131,[6]BV_Data_An_Cour!$V:$V,$C131,[6]BV_Data_An_Cour!$W:$W,$L$2)</f>
        <v>4805.08</v>
      </c>
      <c r="M131" s="42"/>
      <c r="N131" s="60">
        <f t="shared" si="56"/>
        <v>349.33642184093878</v>
      </c>
      <c r="O131" s="42"/>
      <c r="P131" s="14"/>
      <c r="Q131" s="34">
        <f>SUMIFS([6]BV_Data_An_Prec!$O:$O,[6]BV_Data_An_Prec!$U:$U,$B131,[6]BV_Data_An_Prec!$V:$V,$C131,[6]BV_Data_An_Prec!$W:$W,$L$2)</f>
        <v>3696.06</v>
      </c>
      <c r="R131" s="42"/>
      <c r="S131" s="86">
        <f t="shared" si="58"/>
        <v>1109.02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2"/>
        <v>Véhicules usagésCsst</v>
      </c>
      <c r="B132" s="12" t="s">
        <v>74</v>
      </c>
      <c r="C132" s="108" t="s">
        <v>49</v>
      </c>
      <c r="D132" s="82"/>
      <c r="E132" s="14"/>
      <c r="F132" s="31">
        <f>+INDEX('[6]Budget original'!$A$2:$AO$496,MATCH($A132,'[6]Budget original'!$A$2:$A$496,0),MATCH(F$2,'[6]Budget original'!$A$2:$AO$2,0))</f>
        <v>1036.2194367811771</v>
      </c>
      <c r="G132" s="84"/>
      <c r="H132" s="14"/>
      <c r="I132" s="31">
        <f>+INDEX('[6]Budget révisé'!$A$2:$AO$496,MATCH($A132,'[6]Budget révisé'!$A$2:$A$496,0),MATCH(I$2,'[6]Budget révisé'!$A$2:$AO$2,0))</f>
        <v>1036.2194367811771</v>
      </c>
      <c r="J132" s="42"/>
      <c r="K132" s="14"/>
      <c r="L132" s="34">
        <f>SUMIFS([6]BV_Data_An_Cour!$O:$O,[6]BV_Data_An_Cour!$U:$U,$B132,[6]BV_Data_An_Cour!$V:$V,$C132,[6]BV_Data_An_Cour!$W:$W,$L$2)</f>
        <v>1117.46</v>
      </c>
      <c r="M132" s="42"/>
      <c r="N132" s="60">
        <f t="shared" si="56"/>
        <v>81.240563218822899</v>
      </c>
      <c r="O132" s="42"/>
      <c r="P132" s="14"/>
      <c r="Q132" s="34">
        <f>SUMIFS([6]BV_Data_An_Prec!$O:$O,[6]BV_Data_An_Prec!$U:$U,$B132,[6]BV_Data_An_Prec!$V:$V,$C132,[6]BV_Data_An_Prec!$W:$W,$L$2)</f>
        <v>1337.25</v>
      </c>
      <c r="R132" s="42"/>
      <c r="S132" s="86">
        <f t="shared" si="58"/>
        <v>-219.78999999999996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2"/>
        <v>Véhicules usagés[...]</v>
      </c>
      <c r="B133" s="12" t="s">
        <v>74</v>
      </c>
      <c r="C133" s="30" t="s">
        <v>21</v>
      </c>
      <c r="D133" s="89"/>
      <c r="E133" s="117"/>
      <c r="F133" s="31">
        <f>+INDEX('[6]Budget original'!$A$2:$AO$496,MATCH($A133,'[6]Budget original'!$A$2:$A$496,0),MATCH(F$2,'[6]Budget original'!$A$2:$AO$2,0))</f>
        <v>0</v>
      </c>
      <c r="G133" s="91"/>
      <c r="H133" s="117"/>
      <c r="I133" s="31">
        <f>+INDEX('[6]Budget révisé'!$A$2:$AO$496,MATCH($A133,'[6]Budget révisé'!$A$2:$A$496,0),MATCH(I$2,'[6]Budget révisé'!$A$2:$AO$2,0))</f>
        <v>0</v>
      </c>
      <c r="J133" s="24"/>
      <c r="K133" s="117"/>
      <c r="L133" s="34">
        <f>SUMIFS([6]BV_Data_An_Cour!$O:$O,[6]BV_Data_An_Cour!$U:$U,$B133,[6]BV_Data_An_Cour!$V:$V,$C133,[6]BV_Data_An_Cour!$W:$W,$L$2)</f>
        <v>0</v>
      </c>
      <c r="M133" s="24"/>
      <c r="N133" s="153">
        <f t="shared" si="56"/>
        <v>0</v>
      </c>
      <c r="O133" s="24"/>
      <c r="P133" s="117"/>
      <c r="Q133" s="34">
        <f>SUMIFS([6]BV_Data_An_Prec!$O:$O,[6]BV_Data_An_Prec!$U:$U,$B133,[6]BV_Data_An_Prec!$V:$V,$C133,[6]BV_Data_An_Prec!$W:$W,$L$2)</f>
        <v>0</v>
      </c>
      <c r="R133" s="24"/>
      <c r="S133" s="95">
        <f t="shared" si="58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2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0.33386335511150045</v>
      </c>
      <c r="F134" s="102">
        <f>+SUM(F122:F133)</f>
        <v>33727.851790426241</v>
      </c>
      <c r="G134" s="103" t="s">
        <v>40</v>
      </c>
      <c r="H134" s="101">
        <f>I134/I$107</f>
        <v>0.33386335511150045</v>
      </c>
      <c r="I134" s="102">
        <f>+SUM(I122:I133)</f>
        <v>33727.851790426241</v>
      </c>
      <c r="J134" s="103" t="s">
        <v>40</v>
      </c>
      <c r="K134" s="101">
        <f>L134/L$107</f>
        <v>0.21021861215651433</v>
      </c>
      <c r="L134" s="102">
        <f>SUM(L122:L133)</f>
        <v>33158.94</v>
      </c>
      <c r="M134" s="154"/>
      <c r="N134" s="119">
        <f t="shared" si="56"/>
        <v>-568.91179042623844</v>
      </c>
      <c r="O134" s="103" t="s">
        <v>40</v>
      </c>
      <c r="P134" s="101">
        <f>Q134/Q$107</f>
        <v>0.53729350531794529</v>
      </c>
      <c r="Q134" s="102">
        <f>SUM(Q122:Q133)</f>
        <v>42025.11</v>
      </c>
      <c r="R134" s="154"/>
      <c r="S134" s="120">
        <f t="shared" si="58"/>
        <v>-8866.1699999999983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2"/>
        <v>Véhicules usagésPublicité 2</v>
      </c>
      <c r="B135" s="12" t="s">
        <v>74</v>
      </c>
      <c r="C135" s="30" t="s">
        <v>51</v>
      </c>
      <c r="D135" s="82"/>
      <c r="E135" s="14"/>
      <c r="F135" s="31">
        <f>+INDEX('[6]Budget original'!$A$2:$AO$496,MATCH($A135,'[6]Budget original'!$A$2:$A$496,0),MATCH(F$2,'[6]Budget original'!$A$2:$AO$2,0))</f>
        <v>0</v>
      </c>
      <c r="G135" s="84"/>
      <c r="H135" s="14"/>
      <c r="I135" s="31">
        <f>+INDEX('[6]Budget révisé'!$A$2:$AO$496,MATCH($A135,'[6]Budget révisé'!$A$2:$A$496,0),MATCH(I$2,'[6]Budget révisé'!$A$2:$AO$2,0))</f>
        <v>0</v>
      </c>
      <c r="J135" s="42"/>
      <c r="K135" s="14"/>
      <c r="L135" s="34">
        <f>SUMIFS([6]BV_Data_An_Cour!$O:$O,[6]BV_Data_An_Cour!$U:$U,$B135,[6]BV_Data_An_Cour!$V:$V,$C135,[6]BV_Data_An_Cour!$W:$W,$L$2)</f>
        <v>0</v>
      </c>
      <c r="M135" s="42"/>
      <c r="N135" s="60">
        <f t="shared" si="56"/>
        <v>0</v>
      </c>
      <c r="O135" s="42"/>
      <c r="P135" s="14"/>
      <c r="Q135" s="34">
        <f>SUMIFS([6]BV_Data_An_Prec!$O:$O,[6]BV_Data_An_Prec!$U:$U,$B135,[6]BV_Data_An_Prec!$V:$V,$C135,[6]BV_Data_An_Prec!$W:$W,$L$2)</f>
        <v>0</v>
      </c>
      <c r="R135" s="42"/>
      <c r="S135" s="86">
        <f t="shared" si="58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2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+INDEX('[6]Budget original'!$A$2:$AO$496,MATCH($A136,'[6]Budget original'!$A$2:$A$496,0),MATCH(F$2,'[6]Budget original'!$A$2:$AO$2,0))</f>
        <v>0</v>
      </c>
      <c r="G136" s="84"/>
      <c r="H136" s="14"/>
      <c r="I136" s="31">
        <f>+INDEX('[6]Budget révisé'!$A$2:$AO$496,MATCH($A136,'[6]Budget révisé'!$A$2:$A$496,0),MATCH(I$2,'[6]Budget révisé'!$A$2:$AO$2,0))</f>
        <v>0</v>
      </c>
      <c r="J136" s="42"/>
      <c r="K136" s="14"/>
      <c r="L136" s="34">
        <f>SUMIFS([6]BV_Data_An_Cour!$O:$O,[6]BV_Data_An_Cour!$U:$U,$B136,[6]BV_Data_An_Cour!$V:$V,$C136,[6]BV_Data_An_Cour!$W:$W,$L$2)</f>
        <v>0</v>
      </c>
      <c r="M136" s="42"/>
      <c r="N136" s="60">
        <f t="shared" si="56"/>
        <v>0</v>
      </c>
      <c r="O136" s="42"/>
      <c r="P136" s="14"/>
      <c r="Q136" s="34">
        <f>SUMIFS([6]BV_Data_An_Prec!$O:$O,[6]BV_Data_An_Prec!$U:$U,$B136,[6]BV_Data_An_Prec!$V:$V,$C136,[6]BV_Data_An_Prec!$W:$W,$L$2)</f>
        <v>0</v>
      </c>
      <c r="R136" s="42"/>
      <c r="S136" s="86">
        <f t="shared" si="58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2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+INDEX('[6]Budget original'!$A$2:$AO$496,MATCH($A137,'[6]Budget original'!$A$2:$A$496,0),MATCH(F$2,'[6]Budget original'!$A$2:$AO$2,0))</f>
        <v>215.04</v>
      </c>
      <c r="G137" s="91"/>
      <c r="H137" s="117"/>
      <c r="I137" s="23">
        <f>+INDEX('[6]Budget révisé'!$A$2:$AO$496,MATCH($A137,'[6]Budget révisé'!$A$2:$A$496,0),MATCH(I$2,'[6]Budget révisé'!$A$2:$AO$2,0))</f>
        <v>215.04</v>
      </c>
      <c r="J137" s="24"/>
      <c r="K137" s="117"/>
      <c r="L137" s="23">
        <f>SUMIFS([6]BV_Data_An_Cour!$O:$O,[6]BV_Data_An_Cour!$U:$U,$B137,[6]BV_Data_An_Cour!$V:$V,$C137,[6]BV_Data_An_Cour!$W:$W,$L$2)</f>
        <v>-351.13</v>
      </c>
      <c r="M137" s="24"/>
      <c r="N137" s="94">
        <f t="shared" si="56"/>
        <v>-566.16999999999996</v>
      </c>
      <c r="O137" s="24"/>
      <c r="P137" s="117"/>
      <c r="Q137" s="23">
        <f>SUMIFS([6]BV_Data_An_Prec!$O:$O,[6]BV_Data_An_Prec!$U:$U,$B137,[6]BV_Data_An_Prec!$V:$V,$C137,[6]BV_Data_An_Prec!$W:$W,$L$2)</f>
        <v>557.38</v>
      </c>
      <c r="R137" s="24"/>
      <c r="S137" s="95">
        <f t="shared" si="58"/>
        <v>-908.51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2"/>
        <v>Véhicules usagésInformatique</v>
      </c>
      <c r="B138" s="12" t="s">
        <v>74</v>
      </c>
      <c r="C138" s="30" t="s">
        <v>54</v>
      </c>
      <c r="D138" s="82"/>
      <c r="E138" s="14"/>
      <c r="F138" s="31">
        <f>+INDEX('[6]Budget original'!$A$2:$AO$496,MATCH($A138,'[6]Budget original'!$A$2:$A$496,0),MATCH(F$2,'[6]Budget original'!$A$2:$AO$2,0))</f>
        <v>2662.7736</v>
      </c>
      <c r="G138" s="84"/>
      <c r="H138" s="14"/>
      <c r="I138" s="31">
        <f>+INDEX('[6]Budget révisé'!$A$2:$AO$496,MATCH($A138,'[6]Budget révisé'!$A$2:$A$496,0),MATCH(I$2,'[6]Budget révisé'!$A$2:$AO$2,0))</f>
        <v>2662.7736</v>
      </c>
      <c r="J138" s="42"/>
      <c r="K138" s="14"/>
      <c r="L138" s="34">
        <f>SUMIFS([6]BV_Data_An_Cour!$O:$O,[6]BV_Data_An_Cour!$U:$U,$B138,[6]BV_Data_An_Cour!$V:$V,$C138,[6]BV_Data_An_Cour!$W:$W,$L$2)</f>
        <v>1770.17</v>
      </c>
      <c r="M138" s="42"/>
      <c r="N138" s="60">
        <f t="shared" si="56"/>
        <v>-892.60359999999991</v>
      </c>
      <c r="O138" s="42"/>
      <c r="P138" s="14"/>
      <c r="Q138" s="34">
        <f>SUMIFS([6]BV_Data_An_Prec!$O:$O,[6]BV_Data_An_Prec!$U:$U,$B138,[6]BV_Data_An_Prec!$V:$V,$C138,[6]BV_Data_An_Prec!$W:$W,$L$2)</f>
        <v>2390.17</v>
      </c>
      <c r="R138" s="42"/>
      <c r="S138" s="86">
        <f t="shared" si="58"/>
        <v>-620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2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+INDEX('[6]Budget original'!$A$2:$AO$496,MATCH($A139,'[6]Budget original'!$A$2:$A$496,0),MATCH(F$2,'[6]Budget original'!$A$2:$AO$2,0))</f>
        <v>598.68629999999996</v>
      </c>
      <c r="G139" s="84"/>
      <c r="H139" s="14"/>
      <c r="I139" s="31">
        <f>+INDEX('[6]Budget révisé'!$A$2:$AO$496,MATCH($A139,'[6]Budget révisé'!$A$2:$A$496,0),MATCH(I$2,'[6]Budget révisé'!$A$2:$AO$2,0))</f>
        <v>598.68629999999996</v>
      </c>
      <c r="J139" s="42"/>
      <c r="K139" s="14"/>
      <c r="L139" s="34">
        <f>SUMIFS([6]BV_Data_An_Cour!$O:$O,[6]BV_Data_An_Cour!$U:$U,$B139,[6]BV_Data_An_Cour!$V:$V,$C139,[6]BV_Data_An_Cour!$W:$W,$L$2)</f>
        <v>229.67</v>
      </c>
      <c r="M139" s="42"/>
      <c r="N139" s="60">
        <f t="shared" si="56"/>
        <v>-369.0163</v>
      </c>
      <c r="O139" s="42"/>
      <c r="P139" s="14"/>
      <c r="Q139" s="34">
        <f>SUMIFS([6]BV_Data_An_Prec!$O:$O,[6]BV_Data_An_Prec!$U:$U,$B139,[6]BV_Data_An_Prec!$V:$V,$C139,[6]BV_Data_An_Prec!$W:$W,$L$2)</f>
        <v>729.24</v>
      </c>
      <c r="R139" s="42"/>
      <c r="S139" s="86">
        <f t="shared" si="58"/>
        <v>-499.57000000000005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2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+INDEX('[6]Budget original'!$A$2:$AO$496,MATCH($A140,'[6]Budget original'!$A$2:$A$496,0),MATCH(F$2,'[6]Budget original'!$A$2:$AO$2,0))</f>
        <v>2934.5604999999996</v>
      </c>
      <c r="G140" s="91"/>
      <c r="H140" s="117"/>
      <c r="I140" s="23">
        <f>+INDEX('[6]Budget révisé'!$A$2:$AO$496,MATCH($A140,'[6]Budget révisé'!$A$2:$A$496,0),MATCH(I$2,'[6]Budget révisé'!$A$2:$AO$2,0))</f>
        <v>2934.5604999999996</v>
      </c>
      <c r="J140" s="24"/>
      <c r="K140" s="117"/>
      <c r="L140" s="23">
        <f>SUMIFS([6]BV_Data_An_Cour!$O:$O,[6]BV_Data_An_Cour!$U:$U,$B140,[6]BV_Data_An_Cour!$V:$V,$C140,[6]BV_Data_An_Cour!$W:$W,$L$2)</f>
        <v>1235.5</v>
      </c>
      <c r="M140" s="24"/>
      <c r="N140" s="94">
        <f t="shared" si="56"/>
        <v>-1699.0604999999996</v>
      </c>
      <c r="O140" s="24"/>
      <c r="P140" s="117"/>
      <c r="Q140" s="23">
        <f>SUMIFS([6]BV_Data_An_Prec!$O:$O,[6]BV_Data_An_Prec!$U:$U,$B140,[6]BV_Data_An_Prec!$V:$V,$C140,[6]BV_Data_An_Prec!$W:$W,$L$2)</f>
        <v>1765.82</v>
      </c>
      <c r="R140" s="24"/>
      <c r="S140" s="95">
        <f t="shared" si="58"/>
        <v>-530.31999999999994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2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+INDEX('[6]Budget original'!$A$2:$AO$496,MATCH($A141,'[6]Budget original'!$A$2:$A$496,0),MATCH(F$2,'[6]Budget original'!$A$2:$AO$2,0))</f>
        <v>157.41273660229524</v>
      </c>
      <c r="G141" s="84"/>
      <c r="H141" s="14"/>
      <c r="I141" s="31">
        <f>+INDEX('[6]Budget révisé'!$A$2:$AO$496,MATCH($A141,'[6]Budget révisé'!$A$2:$A$496,0),MATCH(I$2,'[6]Budget révisé'!$A$2:$AO$2,0))</f>
        <v>157.41273660229524</v>
      </c>
      <c r="J141" s="42"/>
      <c r="K141" s="14"/>
      <c r="L141" s="34">
        <f>SUMIFS([6]BV_Data_An_Cour!$O:$O,[6]BV_Data_An_Cour!$U:$U,$B141,[6]BV_Data_An_Cour!$V:$V,$C141,[6]BV_Data_An_Cour!$W:$W,$L$2)</f>
        <v>28.09</v>
      </c>
      <c r="M141" s="42"/>
      <c r="N141" s="60">
        <f t="shared" si="56"/>
        <v>-129.32273660229524</v>
      </c>
      <c r="O141" s="42"/>
      <c r="P141" s="14"/>
      <c r="Q141" s="34">
        <f>SUMIFS([6]BV_Data_An_Prec!$O:$O,[6]BV_Data_An_Prec!$U:$U,$B141,[6]BV_Data_An_Prec!$V:$V,$C141,[6]BV_Data_An_Prec!$W:$W,$L$2)</f>
        <v>135</v>
      </c>
      <c r="R141" s="42"/>
      <c r="S141" s="86">
        <f t="shared" si="58"/>
        <v>-106.91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2"/>
        <v>Véhicules usagésUniformes</v>
      </c>
      <c r="B142" s="12" t="s">
        <v>74</v>
      </c>
      <c r="C142" s="30" t="s">
        <v>58</v>
      </c>
      <c r="D142" s="82"/>
      <c r="E142" s="14"/>
      <c r="F142" s="31">
        <f>+INDEX('[6]Budget original'!$A$2:$AO$496,MATCH($A142,'[6]Budget original'!$A$2:$A$496,0),MATCH(F$2,'[6]Budget original'!$A$2:$AO$2,0))</f>
        <v>10</v>
      </c>
      <c r="G142" s="84"/>
      <c r="H142" s="14"/>
      <c r="I142" s="31">
        <f>+INDEX('[6]Budget révisé'!$A$2:$AO$496,MATCH($A142,'[6]Budget révisé'!$A$2:$A$496,0),MATCH(I$2,'[6]Budget révisé'!$A$2:$AO$2,0))</f>
        <v>10</v>
      </c>
      <c r="J142" s="42"/>
      <c r="K142" s="14"/>
      <c r="L142" s="34">
        <f>SUMIFS([6]BV_Data_An_Cour!$O:$O,[6]BV_Data_An_Cour!$U:$U,$B142,[6]BV_Data_An_Cour!$V:$V,$C142,[6]BV_Data_An_Cour!$W:$W,$L$2)</f>
        <v>0</v>
      </c>
      <c r="M142" s="42"/>
      <c r="N142" s="60">
        <f t="shared" si="56"/>
        <v>-10</v>
      </c>
      <c r="O142" s="42"/>
      <c r="P142" s="14"/>
      <c r="Q142" s="34">
        <f>SUMIFS([6]BV_Data_An_Prec!$O:$O,[6]BV_Data_An_Prec!$U:$U,$B142,[6]BV_Data_An_Prec!$V:$V,$C142,[6]BV_Data_An_Prec!$W:$W,$L$2)</f>
        <v>10</v>
      </c>
      <c r="R142" s="42"/>
      <c r="S142" s="86">
        <f t="shared" si="58"/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2"/>
        <v>Véhicules usagésPapeterie</v>
      </c>
      <c r="B143" s="12" t="s">
        <v>74</v>
      </c>
      <c r="C143" s="30" t="s">
        <v>59</v>
      </c>
      <c r="D143" s="82"/>
      <c r="E143" s="14"/>
      <c r="F143" s="31">
        <f>+INDEX('[6]Budget original'!$A$2:$AO$496,MATCH($A143,'[6]Budget original'!$A$2:$A$496,0),MATCH(F$2,'[6]Budget original'!$A$2:$AO$2,0))</f>
        <v>261.59999999999997</v>
      </c>
      <c r="G143" s="84"/>
      <c r="H143" s="14"/>
      <c r="I143" s="31">
        <f>+INDEX('[6]Budget révisé'!$A$2:$AO$496,MATCH($A143,'[6]Budget révisé'!$A$2:$A$496,0),MATCH(I$2,'[6]Budget révisé'!$A$2:$AO$2,0))</f>
        <v>261.59999999999997</v>
      </c>
      <c r="J143" s="42"/>
      <c r="K143" s="14"/>
      <c r="L143" s="33">
        <f>SUMIFS([6]BV_Data_An_Cour!$O:$O,[6]BV_Data_An_Cour!$U:$U,$B143,[6]BV_Data_An_Cour!$V:$V,$C143,[6]BV_Data_An_Cour!$W:$W,$L$2)</f>
        <v>239.58</v>
      </c>
      <c r="M143" s="42"/>
      <c r="N143" s="60">
        <f t="shared" si="56"/>
        <v>-22.019999999999953</v>
      </c>
      <c r="O143" s="42"/>
      <c r="P143" s="14"/>
      <c r="Q143" s="33">
        <f>SUMIFS([6]BV_Data_An_Prec!$O:$O,[6]BV_Data_An_Prec!$U:$U,$B143,[6]BV_Data_An_Prec!$V:$V,$C143,[6]BV_Data_An_Prec!$W:$W,$L$2)</f>
        <v>222</v>
      </c>
      <c r="R143" s="42"/>
      <c r="S143" s="86">
        <f t="shared" si="58"/>
        <v>17.580000000000013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2"/>
        <v>Véhicules usagésTéléphone</v>
      </c>
      <c r="B144" s="12" t="s">
        <v>74</v>
      </c>
      <c r="C144" s="30" t="s">
        <v>60</v>
      </c>
      <c r="D144" s="82"/>
      <c r="E144" s="14"/>
      <c r="F144" s="31">
        <f>+INDEX('[6]Budget original'!$A$2:$AO$496,MATCH($A144,'[6]Budget original'!$A$2:$A$496,0),MATCH(F$2,'[6]Budget original'!$A$2:$AO$2,0))</f>
        <v>268.09199999999998</v>
      </c>
      <c r="G144" s="84"/>
      <c r="H144" s="14"/>
      <c r="I144" s="31">
        <f>+INDEX('[6]Budget révisé'!$A$2:$AO$496,MATCH($A144,'[6]Budget révisé'!$A$2:$A$496,0),MATCH(I$2,'[6]Budget révisé'!$A$2:$AO$2,0))</f>
        <v>268.09199999999998</v>
      </c>
      <c r="J144" s="42"/>
      <c r="K144" s="14"/>
      <c r="L144" s="34">
        <f>SUMIFS([6]BV_Data_An_Cour!$O:$O,[6]BV_Data_An_Cour!$U:$U,$B144,[6]BV_Data_An_Cour!$V:$V,$C144,[6]BV_Data_An_Cour!$W:$W,$L$2)</f>
        <v>48.54</v>
      </c>
      <c r="M144" s="42"/>
      <c r="N144" s="60">
        <f t="shared" si="56"/>
        <v>-219.55199999999999</v>
      </c>
      <c r="O144" s="42"/>
      <c r="P144" s="14"/>
      <c r="Q144" s="34">
        <f>SUMIFS([6]BV_Data_An_Prec!$O:$O,[6]BV_Data_An_Prec!$U:$U,$B144,[6]BV_Data_An_Prec!$V:$V,$C144,[6]BV_Data_An_Prec!$W:$W,$L$2)</f>
        <v>136.69999999999999</v>
      </c>
      <c r="R144" s="42"/>
      <c r="S144" s="86">
        <f t="shared" si="58"/>
        <v>-88.16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2"/>
        <v>Véhicules usagésFrais postaux</v>
      </c>
      <c r="B145" s="12" t="s">
        <v>74</v>
      </c>
      <c r="C145" s="30" t="s">
        <v>61</v>
      </c>
      <c r="D145" s="82"/>
      <c r="E145" s="14"/>
      <c r="F145" s="31">
        <f>+INDEX('[6]Budget original'!$A$2:$AO$496,MATCH($A145,'[6]Budget original'!$A$2:$A$496,0),MATCH(F$2,'[6]Budget original'!$A$2:$AO$2,0))</f>
        <v>103.8</v>
      </c>
      <c r="G145" s="84"/>
      <c r="H145" s="14"/>
      <c r="I145" s="31">
        <f>+INDEX('[6]Budget révisé'!$A$2:$AO$496,MATCH($A145,'[6]Budget révisé'!$A$2:$A$496,0),MATCH(I$2,'[6]Budget révisé'!$A$2:$AO$2,0))</f>
        <v>103.8</v>
      </c>
      <c r="J145" s="42"/>
      <c r="K145" s="14"/>
      <c r="L145" s="34">
        <f>SUMIFS([6]BV_Data_An_Cour!$O:$O,[6]BV_Data_An_Cour!$U:$U,$B145,[6]BV_Data_An_Cour!$V:$V,$C145,[6]BV_Data_An_Cour!$W:$W,$L$2)</f>
        <v>57.32</v>
      </c>
      <c r="M145" s="42"/>
      <c r="N145" s="60">
        <f t="shared" si="56"/>
        <v>-46.48</v>
      </c>
      <c r="O145" s="42"/>
      <c r="P145" s="14"/>
      <c r="Q145" s="34">
        <f>SUMIFS([6]BV_Data_An_Prec!$O:$O,[6]BV_Data_An_Prec!$U:$U,$B145,[6]BV_Data_An_Prec!$V:$V,$C145,[6]BV_Data_An_Prec!$W:$W,$L$2)</f>
        <v>24.8</v>
      </c>
      <c r="R145" s="42"/>
      <c r="S145" s="86">
        <f t="shared" si="58"/>
        <v>32.519999999999996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2"/>
        <v>Véhicules usagésDivers</v>
      </c>
      <c r="B146" s="12" t="s">
        <v>74</v>
      </c>
      <c r="C146" s="30" t="s">
        <v>62</v>
      </c>
      <c r="D146" s="82"/>
      <c r="E146" s="14"/>
      <c r="F146" s="31">
        <f>+INDEX('[6]Budget original'!$A$2:$AO$496,MATCH($A146,'[6]Budget original'!$A$2:$A$496,0),MATCH(F$2,'[6]Budget original'!$A$2:$AO$2,0))</f>
        <v>430.91999999999996</v>
      </c>
      <c r="G146" s="84"/>
      <c r="H146" s="14"/>
      <c r="I146" s="31">
        <f>+INDEX('[6]Budget révisé'!$A$2:$AO$496,MATCH($A146,'[6]Budget révisé'!$A$2:$A$496,0),MATCH(I$2,'[6]Budget révisé'!$A$2:$AO$2,0))</f>
        <v>430.91999999999996</v>
      </c>
      <c r="J146" s="42"/>
      <c r="K146" s="14"/>
      <c r="L146" s="34">
        <f>SUMIFS([6]BV_Data_An_Cour!$O:$O,[6]BV_Data_An_Cour!$U:$U,$B146,[6]BV_Data_An_Cour!$V:$V,$C146,[6]BV_Data_An_Cour!$W:$W,$L$2)</f>
        <v>449.41</v>
      </c>
      <c r="M146" s="42"/>
      <c r="N146" s="60">
        <f t="shared" si="56"/>
        <v>18.490000000000066</v>
      </c>
      <c r="O146" s="42"/>
      <c r="P146" s="14"/>
      <c r="Q146" s="34">
        <f>SUMIFS([6]BV_Data_An_Prec!$O:$O,[6]BV_Data_An_Prec!$U:$U,$B146,[6]BV_Data_An_Prec!$V:$V,$C146,[6]BV_Data_An_Prec!$W:$W,$L$2)</f>
        <v>689.82</v>
      </c>
      <c r="R146" s="42"/>
      <c r="S146" s="86">
        <f t="shared" si="58"/>
        <v>-240.41000000000003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2"/>
        <v>Véhicules usagésFormation</v>
      </c>
      <c r="B147" s="12" t="s">
        <v>74</v>
      </c>
      <c r="C147" s="30" t="s">
        <v>63</v>
      </c>
      <c r="D147" s="82"/>
      <c r="E147" s="14"/>
      <c r="F147" s="31">
        <f>+INDEX('[6]Budget original'!$A$2:$AO$496,MATCH($A147,'[6]Budget original'!$A$2:$A$496,0),MATCH(F$2,'[6]Budget original'!$A$2:$AO$2,0))</f>
        <v>70.63</v>
      </c>
      <c r="G147" s="84"/>
      <c r="H147" s="14"/>
      <c r="I147" s="31">
        <f>+INDEX('[6]Budget révisé'!$A$2:$AO$496,MATCH($A147,'[6]Budget révisé'!$A$2:$A$496,0),MATCH(I$2,'[6]Budget révisé'!$A$2:$AO$2,0))</f>
        <v>70.63</v>
      </c>
      <c r="J147" s="42"/>
      <c r="K147" s="14"/>
      <c r="L147" s="34">
        <f>SUMIFS([6]BV_Data_An_Cour!$O:$O,[6]BV_Data_An_Cour!$U:$U,$B147,[6]BV_Data_An_Cour!$V:$V,$C147,[6]BV_Data_An_Cour!$W:$W,$L$2)</f>
        <v>130.62</v>
      </c>
      <c r="M147" s="42"/>
      <c r="N147" s="60">
        <f t="shared" si="56"/>
        <v>59.990000000000009</v>
      </c>
      <c r="O147" s="42"/>
      <c r="P147" s="14"/>
      <c r="Q147" s="34">
        <f>SUMIFS([6]BV_Data_An_Prec!$O:$O,[6]BV_Data_An_Prec!$U:$U,$B147,[6]BV_Data_An_Prec!$V:$V,$C147,[6]BV_Data_An_Prec!$W:$W,$L$2)</f>
        <v>60</v>
      </c>
      <c r="R147" s="42"/>
      <c r="S147" s="86">
        <f t="shared" si="58"/>
        <v>70.62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2"/>
        <v>Véhicules usagésFrais bancaires</v>
      </c>
      <c r="B148" s="12" t="s">
        <v>74</v>
      </c>
      <c r="C148" s="30" t="s">
        <v>64</v>
      </c>
      <c r="D148" s="82"/>
      <c r="E148" s="14"/>
      <c r="F148" s="31">
        <f>+INDEX('[6]Budget original'!$A$2:$AO$496,MATCH($A148,'[6]Budget original'!$A$2:$A$496,0),MATCH(F$2,'[6]Budget original'!$A$2:$AO$2,0))</f>
        <v>1376.496525145353</v>
      </c>
      <c r="G148" s="84"/>
      <c r="H148" s="14"/>
      <c r="I148" s="31">
        <f>+INDEX('[6]Budget révisé'!$A$2:$AO$496,MATCH($A148,'[6]Budget révisé'!$A$2:$A$496,0),MATCH(I$2,'[6]Budget révisé'!$A$2:$AO$2,0))</f>
        <v>1376.496525145353</v>
      </c>
      <c r="J148" s="42"/>
      <c r="K148" s="14"/>
      <c r="L148" s="34">
        <f>AF447*W4</f>
        <v>689.52100000000007</v>
      </c>
      <c r="M148" s="42"/>
      <c r="N148" s="60">
        <f t="shared" si="56"/>
        <v>-686.97552514535289</v>
      </c>
      <c r="O148" s="42"/>
      <c r="P148" s="14"/>
      <c r="Q148" s="34">
        <f>AL447*W4</f>
        <v>818.02500000000009</v>
      </c>
      <c r="R148" s="42"/>
      <c r="S148" s="86">
        <f t="shared" si="58"/>
        <v>-128.50400000000002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2"/>
        <v>Véhicules usagés[...]</v>
      </c>
      <c r="B149" s="12" t="s">
        <v>74</v>
      </c>
      <c r="C149" s="30" t="s">
        <v>21</v>
      </c>
      <c r="D149" s="82"/>
      <c r="E149" s="14"/>
      <c r="F149" s="31">
        <f>+INDEX('[6]Budget original'!$A$2:$AO$496,MATCH($A149,'[6]Budget original'!$A$2:$A$496,0),MATCH(F$2,'[6]Budget original'!$A$2:$AO$2,0))</f>
        <v>0</v>
      </c>
      <c r="G149" s="84"/>
      <c r="H149" s="14"/>
      <c r="I149" s="31">
        <f>+INDEX('[6]Budget révisé'!$A$2:$AO$496,MATCH($A149,'[6]Budget révisé'!$A$2:$A$496,0),MATCH(I$2,'[6]Budget révisé'!$A$2:$AO$2,0))</f>
        <v>0</v>
      </c>
      <c r="J149" s="42"/>
      <c r="K149" s="14"/>
      <c r="L149" s="34">
        <f>SUMIFS([6]BV_Data_An_Cour!$O:$O,[6]BV_Data_An_Cour!$U:$U,$B149,[6]BV_Data_An_Cour!$V:$V,$C149,[6]BV_Data_An_Cour!$W:$W,$L$2)</f>
        <v>0</v>
      </c>
      <c r="M149" s="42"/>
      <c r="N149" s="60">
        <f t="shared" si="56"/>
        <v>0</v>
      </c>
      <c r="O149" s="42"/>
      <c r="P149" s="14"/>
      <c r="Q149" s="34">
        <f>SUMIFS([6]BV_Data_An_Prec!$O:$O,[6]BV_Data_An_Prec!$U:$U,$B149,[6]BV_Data_An_Prec!$V:$V,$C149,[6]BV_Data_An_Prec!$W:$W,$L$2)</f>
        <v>0</v>
      </c>
      <c r="R149" s="42"/>
      <c r="S149" s="86">
        <f t="shared" si="58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2"/>
        <v>Véhicules usagés[...]</v>
      </c>
      <c r="B150" s="12" t="s">
        <v>74</v>
      </c>
      <c r="C150" s="30" t="s">
        <v>21</v>
      </c>
      <c r="D150" s="82"/>
      <c r="E150" s="14"/>
      <c r="F150" s="31">
        <f>+INDEX('[6]Budget original'!$A$2:$AO$496,MATCH($A150,'[6]Budget original'!$A$2:$A$496,0),MATCH(F$2,'[6]Budget original'!$A$2:$AO$2,0))</f>
        <v>0</v>
      </c>
      <c r="G150" s="84"/>
      <c r="H150" s="14"/>
      <c r="I150" s="31">
        <f>+INDEX('[6]Budget révisé'!$A$2:$AO$496,MATCH($A150,'[6]Budget révisé'!$A$2:$A$496,0),MATCH(I$2,'[6]Budget révisé'!$A$2:$AO$2,0))</f>
        <v>0</v>
      </c>
      <c r="J150" s="42"/>
      <c r="K150" s="14"/>
      <c r="L150" s="34">
        <f>SUMIFS([6]BV_Data_An_Cour!$O:$O,[6]BV_Data_An_Cour!$U:$U,$B150,[6]BV_Data_An_Cour!$V:$V,$C150,[6]BV_Data_An_Cour!$W:$W,$L$2)</f>
        <v>0</v>
      </c>
      <c r="M150" s="42"/>
      <c r="N150" s="60">
        <f t="shared" si="56"/>
        <v>0</v>
      </c>
      <c r="O150" s="42"/>
      <c r="P150" s="14"/>
      <c r="Q150" s="34">
        <f>SUMIFS([6]BV_Data_An_Prec!$O:$O,[6]BV_Data_An_Prec!$U:$U,$B150,[6]BV_Data_An_Prec!$V:$V,$C150,[6]BV_Data_An_Prec!$W:$W,$L$2)</f>
        <v>0</v>
      </c>
      <c r="R150" s="42"/>
      <c r="S150" s="86">
        <f t="shared" si="58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2"/>
        <v>Véhicules usagés[...]</v>
      </c>
      <c r="B151" s="12" t="s">
        <v>74</v>
      </c>
      <c r="C151" s="30" t="s">
        <v>21</v>
      </c>
      <c r="D151" s="82"/>
      <c r="E151" s="14"/>
      <c r="F151" s="31">
        <f>+INDEX('[6]Budget original'!$A$2:$AO$496,MATCH($A151,'[6]Budget original'!$A$2:$A$496,0),MATCH(F$2,'[6]Budget original'!$A$2:$AO$2,0))</f>
        <v>0</v>
      </c>
      <c r="G151" s="84"/>
      <c r="H151" s="14"/>
      <c r="I151" s="31">
        <f>+INDEX('[6]Budget révisé'!$A$2:$AO$496,MATCH($A151,'[6]Budget révisé'!$A$2:$A$496,0),MATCH(I$2,'[6]Budget révisé'!$A$2:$AO$2,0))</f>
        <v>0</v>
      </c>
      <c r="J151" s="42"/>
      <c r="K151" s="14"/>
      <c r="L151" s="34">
        <f>SUMIFS([6]BV_Data_An_Cour!$O:$O,[6]BV_Data_An_Cour!$U:$U,$B151,[6]BV_Data_An_Cour!$V:$V,$C151,[6]BV_Data_An_Cour!$W:$W,$L$2)</f>
        <v>0</v>
      </c>
      <c r="M151" s="42"/>
      <c r="N151" s="60">
        <f t="shared" si="56"/>
        <v>0</v>
      </c>
      <c r="O151" s="42"/>
      <c r="P151" s="14"/>
      <c r="Q151" s="34">
        <f>SUMIFS([6]BV_Data_An_Prec!$O:$O,[6]BV_Data_An_Prec!$U:$U,$B151,[6]BV_Data_An_Prec!$V:$V,$C151,[6]BV_Data_An_Prec!$W:$W,$L$2)</f>
        <v>0</v>
      </c>
      <c r="R151" s="42"/>
      <c r="S151" s="86">
        <f t="shared" si="58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2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8.9979694237602728E-2</v>
      </c>
      <c r="F152" s="102">
        <f>+SUM(F135:F151)</f>
        <v>9090.0116617476469</v>
      </c>
      <c r="G152" s="103" t="s">
        <v>40</v>
      </c>
      <c r="H152" s="101">
        <f>I152/I$107</f>
        <v>8.9979694237602728E-2</v>
      </c>
      <c r="I152" s="102">
        <f>+SUM(I135:I151)</f>
        <v>9090.0116617476469</v>
      </c>
      <c r="J152" s="103" t="s">
        <v>40</v>
      </c>
      <c r="K152" s="101">
        <f>L152/L$107</f>
        <v>2.8701786934343436E-2</v>
      </c>
      <c r="L152" s="102">
        <f>+SUM(L135:L151)</f>
        <v>4527.2910000000002</v>
      </c>
      <c r="M152" s="106"/>
      <c r="N152" s="102">
        <f t="shared" si="56"/>
        <v>-4562.7206617476468</v>
      </c>
      <c r="O152" s="103" t="s">
        <v>40</v>
      </c>
      <c r="P152" s="101">
        <f>Q152/Q$107</f>
        <v>9.6385983484260973E-2</v>
      </c>
      <c r="Q152" s="102">
        <f>+SUM(Q135:Q151)</f>
        <v>7538.9549999999999</v>
      </c>
      <c r="R152" s="106"/>
      <c r="S152" s="107">
        <f t="shared" si="58"/>
        <v>-3011.6639999999998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2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2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0.89034932142370027</v>
      </c>
      <c r="F154" s="102">
        <f>F121+F134+F152</f>
        <v>89945.690339858207</v>
      </c>
      <c r="G154" s="103" t="s">
        <v>40</v>
      </c>
      <c r="H154" s="101">
        <f>I154/I$107</f>
        <v>0.89034932142370027</v>
      </c>
      <c r="I154" s="102">
        <f>I121+I134+I152</f>
        <v>89945.690339858207</v>
      </c>
      <c r="J154" s="103" t="s">
        <v>40</v>
      </c>
      <c r="K154" s="101">
        <f>L154/L$107</f>
        <v>0.5647060766469133</v>
      </c>
      <c r="L154" s="102">
        <f>L121+L134+L152</f>
        <v>89074.201000000001</v>
      </c>
      <c r="M154" s="106"/>
      <c r="N154" s="119">
        <f>L154-I154</f>
        <v>-871.48933985820622</v>
      </c>
      <c r="O154" s="103" t="s">
        <v>40</v>
      </c>
      <c r="P154" s="101">
        <f>Q154/Q$107</f>
        <v>1.1321014289860301</v>
      </c>
      <c r="Q154" s="102">
        <f>Q121+Q134+Q152</f>
        <v>88548.785000000003</v>
      </c>
      <c r="R154" s="106"/>
      <c r="S154" s="120">
        <f>L154-Q154</f>
        <v>525.41599999999744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2"/>
        <v>Véhicules usagésProgramme used 1</v>
      </c>
      <c r="B155" s="494" t="s">
        <v>74</v>
      </c>
      <c r="C155" s="30" t="s">
        <v>216</v>
      </c>
      <c r="D155" s="156"/>
      <c r="E155" s="157"/>
      <c r="F155" s="31">
        <f>+INDEX('[6]Budget original'!$A$2:$AO$496,MATCH($A155,'[6]Budget original'!$A$2:$A$496,0),MATCH(F$2,'[6]Budget original'!$A$2:$AO$2,0))</f>
        <v>0</v>
      </c>
      <c r="G155" s="158"/>
      <c r="H155" s="157"/>
      <c r="I155" s="31">
        <f>+INDEX('[6]Budget révisé'!$A$2:$AO$496,MATCH($A155,'[6]Budget révisé'!$A$2:$A$496,0),MATCH(I$2,'[6]Budget révisé'!$A$2:$AO$2,0))</f>
        <v>0</v>
      </c>
      <c r="J155" s="158"/>
      <c r="K155" s="157"/>
      <c r="L155" s="33">
        <v>0</v>
      </c>
      <c r="M155" s="42"/>
      <c r="N155" s="60">
        <f t="shared" ref="N155:N161" si="59">L155-I155</f>
        <v>0</v>
      </c>
      <c r="O155" s="158"/>
      <c r="P155" s="157"/>
      <c r="Q155" s="34">
        <f>-SUMIFS([6]BV_Data_An_Prec!$O:$O,[6]BV_Data_An_Prec!$U:$U,$B155,[6]BV_Data_An_Prec!$V:$V,$C155,[6]BV_Data_An_Prec!$W:$W,$L$2)</f>
        <v>0</v>
      </c>
      <c r="R155" s="42"/>
      <c r="S155" s="86">
        <f t="shared" ref="S155:S161" si="60">L155-Q155</f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2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+INDEX('[6]Budget original'!$A$2:$AO$496,MATCH($A156,'[6]Budget original'!$A$2:$A$496,0),MATCH(F$2,'[6]Budget original'!$A$2:$AO$2,0))</f>
        <v>0</v>
      </c>
      <c r="G156" s="158"/>
      <c r="H156" s="157"/>
      <c r="I156" s="31">
        <f>+INDEX('[6]Budget révisé'!$A$2:$AO$496,MATCH($A156,'[6]Budget révisé'!$A$2:$A$496,0),MATCH(I$2,'[6]Budget révisé'!$A$2:$AO$2,0))</f>
        <v>0</v>
      </c>
      <c r="J156" s="158"/>
      <c r="K156" s="157"/>
      <c r="L156" s="34">
        <f>-SUMIFS([6]BV_Data_An_Cour!$O:$O,[6]BV_Data_An_Cour!$U:$U,$B156,[6]BV_Data_An_Cour!$V:$V,$C156,[6]BV_Data_An_Cour!$W:$W,$L$2)</f>
        <v>0</v>
      </c>
      <c r="M156" s="42"/>
      <c r="N156" s="60">
        <f t="shared" si="59"/>
        <v>0</v>
      </c>
      <c r="O156" s="158"/>
      <c r="P156" s="157"/>
      <c r="Q156" s="34">
        <f>-SUMIFS([6]BV_Data_An_Prec!$O:$O,[6]BV_Data_An_Prec!$U:$U,$B156,[6]BV_Data_An_Prec!$V:$V,$C156,[6]BV_Data_An_Prec!$W:$W,$L$2)</f>
        <v>0</v>
      </c>
      <c r="R156" s="42"/>
      <c r="S156" s="86">
        <f t="shared" si="60"/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2"/>
        <v>Véhicules usagésProgramme used 3</v>
      </c>
      <c r="B157" s="12" t="s">
        <v>74</v>
      </c>
      <c r="C157" s="30" t="s">
        <v>83</v>
      </c>
      <c r="D157" s="82"/>
      <c r="E157" s="14"/>
      <c r="F157" s="31">
        <f>+INDEX('[6]Budget original'!$A$2:$AO$496,MATCH($A157,'[6]Budget original'!$A$2:$A$496,0),MATCH(F$2,'[6]Budget original'!$A$2:$AO$2,0))</f>
        <v>0</v>
      </c>
      <c r="G157" s="84"/>
      <c r="H157" s="14"/>
      <c r="I157" s="31">
        <f>+INDEX('[6]Budget révisé'!$A$2:$AO$496,MATCH($A157,'[6]Budget révisé'!$A$2:$A$496,0),MATCH(I$2,'[6]Budget révisé'!$A$2:$AO$2,0))</f>
        <v>0</v>
      </c>
      <c r="J157" s="42"/>
      <c r="K157" s="14"/>
      <c r="L157" s="34">
        <f>-SUMIFS([6]BV_Data_An_Cour!$O:$O,[6]BV_Data_An_Cour!$U:$U,$B157,[6]BV_Data_An_Cour!$V:$V,$C157,[6]BV_Data_An_Cour!$W:$W,$L$2)</f>
        <v>0</v>
      </c>
      <c r="M157" s="42"/>
      <c r="N157" s="60">
        <f t="shared" si="59"/>
        <v>0</v>
      </c>
      <c r="O157" s="42"/>
      <c r="P157" s="14"/>
      <c r="Q157" s="34">
        <f>-SUMIFS([6]BV_Data_An_Prec!$O:$O,[6]BV_Data_An_Prec!$U:$U,$B157,[6]BV_Data_An_Prec!$V:$V,$C157,[6]BV_Data_An_Prec!$W:$W,$L$2)</f>
        <v>0</v>
      </c>
      <c r="R157" s="42"/>
      <c r="S157" s="86">
        <f t="shared" si="60"/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1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+INDEX('[6]Budget original'!$A$2:$AO$496,MATCH($A158,'[6]Budget original'!$A$2:$A$496,0),MATCH(F$2,'[6]Budget original'!$A$2:$AO$2,0))</f>
        <v>12360.835141695234</v>
      </c>
      <c r="G158" s="84"/>
      <c r="H158" s="14"/>
      <c r="I158" s="31">
        <f>+INDEX('[6]Budget révisé'!$A$2:$AO$496,MATCH($A158,'[6]Budget révisé'!$A$2:$A$496,0),MATCH(I$2,'[6]Budget révisé'!$A$2:$AO$2,0))</f>
        <v>12360.835141695234</v>
      </c>
      <c r="J158" s="42"/>
      <c r="K158" s="14"/>
      <c r="L158" s="33">
        <f>349*J96</f>
        <v>13611</v>
      </c>
      <c r="M158" s="42"/>
      <c r="N158" s="60">
        <f t="shared" si="59"/>
        <v>1250.1648583047663</v>
      </c>
      <c r="O158" s="42"/>
      <c r="P158" s="14"/>
      <c r="Q158" s="34">
        <f>349*O96</f>
        <v>13262</v>
      </c>
      <c r="R158" s="42"/>
      <c r="S158" s="86">
        <f t="shared" si="60"/>
        <v>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1"/>
        <v>Véhicules usagés[...]</v>
      </c>
      <c r="B159" s="12" t="s">
        <v>74</v>
      </c>
      <c r="C159" s="30" t="s">
        <v>21</v>
      </c>
      <c r="D159" s="82"/>
      <c r="E159" s="14"/>
      <c r="F159" s="31">
        <f>+INDEX('[6]Budget original'!$A$2:$AO$496,MATCH($A159,'[6]Budget original'!$A$2:$A$496,0),MATCH(F$2,'[6]Budget original'!$A$2:$AO$2,0))</f>
        <v>0</v>
      </c>
      <c r="G159" s="84"/>
      <c r="H159" s="14"/>
      <c r="I159" s="31">
        <f>+INDEX('[6]Budget révisé'!$A$2:$AO$496,MATCH($A159,'[6]Budget révisé'!$A$2:$A$496,0),MATCH(I$2,'[6]Budget révisé'!$A$2:$AO$2,0))</f>
        <v>0</v>
      </c>
      <c r="J159" s="42"/>
      <c r="K159" s="14"/>
      <c r="L159" s="33">
        <f>-SUMIFS([6]BV_Data_An_Cour!$O:$O,[6]BV_Data_An_Cour!$U:$U,$B159,[6]BV_Data_An_Cour!$V:$V,$C159,[6]BV_Data_An_Cour!$W:$W,$L$2)</f>
        <v>0</v>
      </c>
      <c r="M159" s="42"/>
      <c r="N159" s="60">
        <f t="shared" si="59"/>
        <v>0</v>
      </c>
      <c r="O159" s="42"/>
      <c r="P159" s="14"/>
      <c r="Q159" s="34">
        <f>-SUMIFS([6]BV_Data_An_Prec!$O:$O,[6]BV_Data_An_Prec!$U:$U,$B159,[6]BV_Data_An_Prec!$V:$V,$C159,[6]BV_Data_An_Prec!$W:$W,$L$2)</f>
        <v>0</v>
      </c>
      <c r="R159" s="42"/>
      <c r="S159" s="86">
        <f t="shared" si="60"/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1"/>
        <v>Véhicules usagés[...]</v>
      </c>
      <c r="B160" s="12" t="s">
        <v>74</v>
      </c>
      <c r="C160" s="30" t="s">
        <v>21</v>
      </c>
      <c r="D160" s="82"/>
      <c r="E160" s="14"/>
      <c r="F160" s="31">
        <f>+INDEX('[6]Budget original'!$A$2:$AO$496,MATCH($A160,'[6]Budget original'!$A$2:$A$496,0),MATCH(F$2,'[6]Budget original'!$A$2:$AO$2,0))</f>
        <v>0</v>
      </c>
      <c r="G160" s="84"/>
      <c r="H160" s="14"/>
      <c r="I160" s="31">
        <f>+INDEX('[6]Budget révisé'!$A$2:$AO$496,MATCH($A160,'[6]Budget révisé'!$A$2:$A$496,0),MATCH(I$2,'[6]Budget révisé'!$A$2:$AO$2,0))</f>
        <v>0</v>
      </c>
      <c r="J160" s="42"/>
      <c r="K160" s="14"/>
      <c r="L160" s="33">
        <f>-SUMIFS([6]BV_Data_An_Cour!$O:$O,[6]BV_Data_An_Cour!$U:$U,$B160,[6]BV_Data_An_Cour!$V:$V,$C160,[6]BV_Data_An_Cour!$W:$W,$L$2)</f>
        <v>0</v>
      </c>
      <c r="M160" s="42"/>
      <c r="N160" s="60">
        <f t="shared" si="59"/>
        <v>0</v>
      </c>
      <c r="O160" s="42"/>
      <c r="P160" s="14"/>
      <c r="Q160" s="34">
        <f>-SUMIFS([6]BV_Data_An_Prec!$O:$O,[6]BV_Data_An_Prec!$U:$U,$B160,[6]BV_Data_An_Prec!$V:$V,$C160,[6]BV_Data_An_Prec!$W:$W,$L$2)</f>
        <v>0</v>
      </c>
      <c r="R160" s="42"/>
      <c r="S160" s="86">
        <f t="shared" si="60"/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1"/>
        <v>Véhicules usagés[...]</v>
      </c>
      <c r="B161" s="12" t="s">
        <v>74</v>
      </c>
      <c r="C161" s="88" t="s">
        <v>21</v>
      </c>
      <c r="D161" s="89"/>
      <c r="E161" s="117"/>
      <c r="F161" s="31">
        <f>+INDEX('[6]Budget original'!$A$2:$AO$496,MATCH($A161,'[6]Budget original'!$A$2:$A$496,0),MATCH(F$2,'[6]Budget original'!$A$2:$AO$2,0))</f>
        <v>0</v>
      </c>
      <c r="G161" s="84"/>
      <c r="H161" s="14"/>
      <c r="I161" s="31">
        <f>+INDEX('[6]Budget révisé'!$A$2:$AO$496,MATCH($A161,'[6]Budget révisé'!$A$2:$A$496,0),MATCH(I$2,'[6]Budget révisé'!$A$2:$AO$2,0))</f>
        <v>0</v>
      </c>
      <c r="J161" s="42"/>
      <c r="K161" s="14"/>
      <c r="L161" s="33">
        <f>-SUMIFS([6]BV_Data_An_Cour!$O:$O,[6]BV_Data_An_Cour!$U:$U,$B161,[6]BV_Data_An_Cour!$V:$V,$C161,[6]BV_Data_An_Cour!$W:$W,$L$2)</f>
        <v>0</v>
      </c>
      <c r="M161" s="42"/>
      <c r="N161" s="60">
        <f t="shared" si="59"/>
        <v>0</v>
      </c>
      <c r="O161" s="42"/>
      <c r="P161" s="14"/>
      <c r="Q161" s="34">
        <f>-SUMIFS([6]BV_Data_An_Prec!$O:$O,[6]BV_Data_An_Prec!$U:$U,$B161,[6]BV_Data_An_Prec!$V:$V,$C161,[6]BV_Data_An_Prec!$W:$W,$L$2)</f>
        <v>0</v>
      </c>
      <c r="R161" s="42"/>
      <c r="S161" s="86">
        <f t="shared" si="60"/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12360.835141695234</v>
      </c>
      <c r="G162" s="103"/>
      <c r="H162" s="101"/>
      <c r="I162" s="102">
        <f>+SUM(I155:I161)</f>
        <v>12360.835141695234</v>
      </c>
      <c r="J162" s="103"/>
      <c r="K162" s="101"/>
      <c r="L162" s="102">
        <f>+SUM(L155:L161)</f>
        <v>13611</v>
      </c>
      <c r="M162" s="106"/>
      <c r="N162" s="102">
        <f>SUM(N157:N157)</f>
        <v>0</v>
      </c>
      <c r="O162" s="103"/>
      <c r="P162" s="101"/>
      <c r="Q162" s="102">
        <f>+SUM(Q155:Q161)</f>
        <v>13262</v>
      </c>
      <c r="R162" s="106"/>
      <c r="S162" s="107">
        <f>+SUM(S155:S161)</f>
        <v>349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23438.067126337541</v>
      </c>
      <c r="G164" s="160"/>
      <c r="H164" s="131"/>
      <c r="I164" s="133">
        <f>I107-I154+I162</f>
        <v>23438.067126337541</v>
      </c>
      <c r="J164" s="161"/>
      <c r="K164" s="132"/>
      <c r="L164" s="133">
        <f>L107-L154+L162</f>
        <v>82272.309000000067</v>
      </c>
      <c r="M164" s="161"/>
      <c r="N164" s="133">
        <f>L164-I164</f>
        <v>58834.241873662526</v>
      </c>
      <c r="O164" s="161"/>
      <c r="P164" s="132"/>
      <c r="Q164" s="133">
        <f>Q107-Q154+Q162</f>
        <v>2929.5149999999849</v>
      </c>
      <c r="R164" s="161"/>
      <c r="S164" s="135">
        <f>L164-Q164</f>
        <v>79342.794000000082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Mai 2021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19" t="s">
        <v>5</v>
      </c>
      <c r="E169" s="520"/>
      <c r="F169" s="521"/>
      <c r="G169" s="522" t="s">
        <v>75</v>
      </c>
      <c r="H169" s="520"/>
      <c r="I169" s="521"/>
      <c r="J169" s="522" t="s">
        <v>7</v>
      </c>
      <c r="K169" s="520"/>
      <c r="L169" s="521"/>
      <c r="M169" s="522" t="s">
        <v>8</v>
      </c>
      <c r="N169" s="521"/>
      <c r="O169" s="519" t="s">
        <v>9</v>
      </c>
      <c r="P169" s="520"/>
      <c r="Q169" s="521"/>
      <c r="R169" s="522" t="s">
        <v>10</v>
      </c>
      <c r="S169" s="523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2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2"/>
        <v>ServiceM/O Client</v>
      </c>
      <c r="B171" s="12" t="s">
        <v>84</v>
      </c>
      <c r="C171" s="30" t="s">
        <v>87</v>
      </c>
      <c r="D171" s="14">
        <f>+INDEX('[6]Budget original'!$A$2:$AO$496,MATCH($A171,'[6]Budget original'!$A$2:$A$496,0),MATCH(D$2,'[6]Budget original'!$A$2:$AO$2,0))</f>
        <v>646.98142975837663</v>
      </c>
      <c r="E171" s="83">
        <f>+INDEX('[6]Budget original'!$A$2:$AO$496,MATCH($A171,'[6]Budget original'!$A$2:$A$496,0),MATCH(E$2,'[6]Budget original'!$A$2:$AO$2,0))</f>
        <v>158794.14246347235</v>
      </c>
      <c r="F171" s="83">
        <f>+INDEX('[6]Budget original'!$A$2:$AO$496,MATCH($A171,'[6]Budget original'!$A$2:$A$496,0),MATCH(F$2,'[6]Budget original'!$A$2:$AO$2,0))</f>
        <v>119175.94609597976</v>
      </c>
      <c r="G171" s="163">
        <f>+INDEX('[6]Budget révisé'!$A$2:$AO$496,MATCH($A171,'[6]Budget révisé'!$A$2:$A$496,0),MATCH(G$2,'[6]Budget révisé'!$A$2:$AO$2,0))</f>
        <v>646.98142975837663</v>
      </c>
      <c r="H171" s="83">
        <f>+INDEX('[6]Budget révisé'!$A$2:$AO$496,MATCH($A171,'[6]Budget révisé'!$A$2:$A$496,0),MATCH(H$2,'[6]Budget révisé'!$A$2:$AO$2,0))</f>
        <v>158794.14246347235</v>
      </c>
      <c r="I171" s="83">
        <f>+INDEX('[6]Budget révisé'!$A$2:$AO$496,MATCH($A171,'[6]Budget révisé'!$A$2:$A$496,0),MATCH(I$2,'[6]Budget révisé'!$A$2:$AO$2,0))</f>
        <v>119175.94609597976</v>
      </c>
      <c r="J171" s="61">
        <f>-SUMIFS([6]BV_Data_An_Cour!$O:$O,[6]BV_Data_An_Cour!$U:$U,$B171,[6]BV_Data_An_Cour!$V:$V,$C171,[6]BV_Data_An_Cour!$W:$W,J$2)</f>
        <v>554</v>
      </c>
      <c r="K171" s="31">
        <f>-SUMIFS([6]BV_Data_An_Cour!$O:$O,[6]BV_Data_An_Cour!$X:$X,"Oui",[6]BV_Data_An_Cour!$U:$U,$B171,[6]BV_Data_An_Cour!$V:$V,$C171)</f>
        <v>120082.12</v>
      </c>
      <c r="L171" s="34">
        <f>-SUMIFS([6]BV_Data_An_Cour!$O:$O,[6]BV_Data_An_Cour!$U:$U,$B171,[6]BV_Data_An_Cour!$V:$V,$C171,[6]BV_Data_An_Cour!$W:$W,$L$2)</f>
        <v>91878.689999999988</v>
      </c>
      <c r="M171" s="164">
        <f>(K171-H171)/H171</f>
        <v>-0.24378747139477983</v>
      </c>
      <c r="N171" s="60">
        <f>L171-I171</f>
        <v>-27297.25609597977</v>
      </c>
      <c r="O171" s="61">
        <f>-SUMIFS([6]BV_Data_An_Prec!$O:$O,[6]BV_Data_An_Prec!$U:$U,$B171,[6]BV_Data_An_Prec!$V:$V,$C171,[6]BV_Data_An_Prec!$W:$W,O$2)</f>
        <v>654</v>
      </c>
      <c r="P171" s="31">
        <f>-SUMIFS([6]BV_Data_An_Prec!$O:$O,[6]BV_Data_An_Prec!$X:$X,"Oui",[6]BV_Data_An_Prec!$U:$U,$B171,[6]BV_Data_An_Prec!$V:$V,$C171)</f>
        <v>147912.38</v>
      </c>
      <c r="Q171" s="34">
        <f>-SUMIFS([6]BV_Data_An_Prec!$O:$O,[6]BV_Data_An_Prec!$U:$U,$B171,[6]BV_Data_An_Prec!$V:$V,$C171,[6]BV_Data_An_Prec!$W:$W,$L$2)</f>
        <v>111951.71</v>
      </c>
      <c r="R171" s="164">
        <f>IF(O171=0,0,J171/O171)</f>
        <v>0.84709480122324154</v>
      </c>
      <c r="S171" s="86">
        <f>L171-Q171</f>
        <v>-20073.020000000019</v>
      </c>
      <c r="T171" s="83"/>
      <c r="U171" s="14">
        <f>K171*I172</f>
        <v>90122.343546160278</v>
      </c>
      <c r="V171" s="31">
        <f>U171-L171</f>
        <v>-1756.3464538397093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2"/>
        <v>Service% profit / ventes</v>
      </c>
      <c r="B172" s="12" t="s">
        <v>84</v>
      </c>
      <c r="C172" s="30" t="s">
        <v>88</v>
      </c>
      <c r="D172" s="14"/>
      <c r="E172" s="150"/>
      <c r="F172" s="165">
        <f>F171/E171</f>
        <v>0.75050593332429738</v>
      </c>
      <c r="G172" s="42"/>
      <c r="H172" s="150"/>
      <c r="I172" s="165">
        <f>I171/H171</f>
        <v>0.75050593332429738</v>
      </c>
      <c r="J172" s="61"/>
      <c r="K172" s="14"/>
      <c r="L172" s="165">
        <f>IF(L171=0,0,L171/K171)</f>
        <v>0.76513214456906653</v>
      </c>
      <c r="M172" s="164"/>
      <c r="N172" s="60"/>
      <c r="O172" s="61"/>
      <c r="P172" s="14"/>
      <c r="Q172" s="165">
        <f>IF(Q171=0,0,Q171/P171)</f>
        <v>0.75687856553995014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2"/>
        <v>Service</v>
      </c>
      <c r="B173" s="12" t="s">
        <v>84</v>
      </c>
      <c r="C173" s="88"/>
      <c r="D173" s="117"/>
      <c r="E173" s="166">
        <f t="shared" ref="E173" si="63">IFERROR(E171/D171,0)</f>
        <v>245.43848580441642</v>
      </c>
      <c r="F173" s="167"/>
      <c r="G173" s="24"/>
      <c r="H173" s="166">
        <f t="shared" ref="H173" si="64">IFERROR(H171/G171,0)</f>
        <v>245.43848580441642</v>
      </c>
      <c r="I173" s="167"/>
      <c r="J173" s="168"/>
      <c r="K173" s="169">
        <f t="shared" ref="K173" si="65">IFERROR(K171/J171,0)</f>
        <v>216.75472924187724</v>
      </c>
      <c r="L173" s="167"/>
      <c r="M173" s="170"/>
      <c r="N173" s="94"/>
      <c r="O173" s="168"/>
      <c r="P173" s="169">
        <f t="shared" ref="P173" si="66">IFERROR(P171/O171,0)</f>
        <v>226.16571865443424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2"/>
        <v>ServiceM/O Garantie</v>
      </c>
      <c r="B174" s="12" t="s">
        <v>84</v>
      </c>
      <c r="C174" s="15" t="s">
        <v>89</v>
      </c>
      <c r="D174" s="171">
        <f>+INDEX('[6]Budget original'!$A$2:$AO$496,MATCH($A174,'[6]Budget original'!$A$2:$A$496,0),MATCH(D$2,'[6]Budget original'!$A$2:$AO$2,0))</f>
        <v>376.76791619169114</v>
      </c>
      <c r="E174" s="83">
        <f>+INDEX('[6]Budget original'!$A$2:$AO$496,MATCH($A174,'[6]Budget original'!$A$2:$A$496,0),MATCH(E$2,'[6]Budget original'!$A$2:$AO$2,0))</f>
        <v>66587.701845687625</v>
      </c>
      <c r="F174" s="83">
        <f>+INDEX('[6]Budget original'!$A$2:$AO$496,MATCH($A174,'[6]Budget original'!$A$2:$A$496,0),MATCH(F$2,'[6]Budget original'!$A$2:$AO$2,0))</f>
        <v>46489.158388346921</v>
      </c>
      <c r="G174" s="172">
        <f>+INDEX('[6]Budget révisé'!$A$2:$AO$496,MATCH($A174,'[6]Budget révisé'!$A$2:$A$496,0),MATCH(G$2,'[6]Budget révisé'!$A$2:$AO$2,0))</f>
        <v>376.76791619169114</v>
      </c>
      <c r="H174" s="83">
        <f>+INDEX('[6]Budget révisé'!$A$2:$AO$496,MATCH($A174,'[6]Budget révisé'!$A$2:$A$496,0),MATCH(H$2,'[6]Budget révisé'!$A$2:$AO$2,0))</f>
        <v>66587.701845687625</v>
      </c>
      <c r="I174" s="83">
        <f>+INDEX('[6]Budget révisé'!$A$2:$AO$496,MATCH($A174,'[6]Budget révisé'!$A$2:$A$496,0),MATCH(I$2,'[6]Budget révisé'!$A$2:$AO$2,0))</f>
        <v>46489.158388346921</v>
      </c>
      <c r="J174" s="172">
        <f>-SUMIFS([6]BV_Data_An_Cour!$O:$O,[6]BV_Data_An_Cour!$U:$U,$B174,[6]BV_Data_An_Cour!$V:$V,$C174,[6]BV_Data_An_Cour!$W:$W,J$2)</f>
        <v>246</v>
      </c>
      <c r="K174" s="173">
        <f>-SUMIFS([6]BV_Data_An_Cour!$O:$O,[6]BV_Data_An_Cour!$X:$X,"Oui",[6]BV_Data_An_Cour!$U:$U,$B174,[6]BV_Data_An_Cour!$V:$V,$C174)</f>
        <v>59705.25</v>
      </c>
      <c r="L174" s="34">
        <f>-SUMIFS([6]BV_Data_An_Cour!$O:$O,[6]BV_Data_An_Cour!$U:$U,$B174,[6]BV_Data_An_Cour!$V:$V,$C174,[6]BV_Data_An_Cour!$W:$W,$L$2)</f>
        <v>42420.630000000005</v>
      </c>
      <c r="M174" s="164">
        <f>(K174-H174)/H174</f>
        <v>-0.10335920380068424</v>
      </c>
      <c r="N174" s="115">
        <f>L174-I174</f>
        <v>-4068.5283883469165</v>
      </c>
      <c r="O174" s="172">
        <f>-SUMIFS([6]BV_Data_An_Prec!$O:$O,[6]BV_Data_An_Prec!$U:$U,$B174,[6]BV_Data_An_Prec!$V:$V,$C174,[6]BV_Data_An_Prec!$W:$W,O$2)</f>
        <v>467</v>
      </c>
      <c r="P174" s="173">
        <f>-SUMIFS([6]BV_Data_An_Prec!$O:$O,[6]BV_Data_An_Prec!$X:$X,"Oui",[6]BV_Data_An_Prec!$U:$U,$B174,[6]BV_Data_An_Prec!$V:$V,$C174)</f>
        <v>93955.59</v>
      </c>
      <c r="Q174" s="34">
        <f>-SUMIFS([6]BV_Data_An_Prec!$O:$O,[6]BV_Data_An_Prec!$U:$U,$B174,[6]BV_Data_An_Prec!$V:$V,$C174,[6]BV_Data_An_Prec!$W:$W,$L$2)</f>
        <v>61668.539999999994</v>
      </c>
      <c r="R174" s="164">
        <f>IF(O174=0,0,J174/O174)</f>
        <v>0.52676659528907921</v>
      </c>
      <c r="S174" s="86">
        <f>L174-Q174</f>
        <v>-19247.909999999989</v>
      </c>
      <c r="T174" s="83"/>
      <c r="U174" s="14">
        <f>K174*I175</f>
        <v>41684.07599196348</v>
      </c>
      <c r="V174" s="31">
        <f>U174-L174</f>
        <v>-736.55400803652446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2"/>
        <v>Service% profit / ventes</v>
      </c>
      <c r="B175" s="12" t="s">
        <v>84</v>
      </c>
      <c r="C175" s="30" t="s">
        <v>88</v>
      </c>
      <c r="D175" s="14"/>
      <c r="E175" s="14"/>
      <c r="F175" s="165">
        <f>F174/E174</f>
        <v>0.69816433214773377</v>
      </c>
      <c r="G175" s="42"/>
      <c r="H175" s="14"/>
      <c r="I175" s="165">
        <f>I174/H174</f>
        <v>0.69816433214773377</v>
      </c>
      <c r="J175" s="42"/>
      <c r="K175" s="14"/>
      <c r="L175" s="165">
        <f>IF(L174=0,0,L174/K174)</f>
        <v>0.71050083535367503</v>
      </c>
      <c r="M175" s="43"/>
      <c r="N175" s="44"/>
      <c r="O175" s="42"/>
      <c r="P175" s="14"/>
      <c r="Q175" s="165">
        <f>IF(Q174=0,0,Q174/P174)</f>
        <v>0.65635839230002169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2"/>
        <v>Service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2"/>
        <v>ServiceM/O Interne</v>
      </c>
      <c r="B177" s="12" t="s">
        <v>84</v>
      </c>
      <c r="C177" s="30" t="s">
        <v>90</v>
      </c>
      <c r="D177" s="14">
        <f>+INDEX('[6]Budget original'!$A$2:$AO$496,MATCH($A177,'[6]Budget original'!$A$2:$A$496,0),MATCH(D$2,'[6]Budget original'!$A$2:$AO$2,0))</f>
        <v>281.57639574585056</v>
      </c>
      <c r="E177" s="83">
        <f>+INDEX('[6]Budget original'!$A$2:$AO$496,MATCH($A177,'[6]Budget original'!$A$2:$A$496,0),MATCH(E$2,'[6]Budget original'!$A$2:$AO$2,0))</f>
        <v>66401.957964104484</v>
      </c>
      <c r="F177" s="83">
        <f>+INDEX('[6]Budget original'!$A$2:$AO$496,MATCH($A177,'[6]Budget original'!$A$2:$A$496,0),MATCH(F$2,'[6]Budget original'!$A$2:$AO$2,0))</f>
        <v>48687.680748074017</v>
      </c>
      <c r="G177" s="42">
        <f>+INDEX('[6]Budget révisé'!$A$2:$AO$496,MATCH($A177,'[6]Budget révisé'!$A$2:$A$496,0),MATCH(G$2,'[6]Budget révisé'!$A$2:$AO$2,0))</f>
        <v>281.57639574585056</v>
      </c>
      <c r="H177" s="83">
        <f>+INDEX('[6]Budget révisé'!$A$2:$AO$496,MATCH($A177,'[6]Budget révisé'!$A$2:$A$496,0),MATCH(H$2,'[6]Budget révisé'!$A$2:$AO$2,0))</f>
        <v>66401.957964104484</v>
      </c>
      <c r="I177" s="83">
        <f>+INDEX('[6]Budget révisé'!$A$2:$AO$496,MATCH($A177,'[6]Budget révisé'!$A$2:$A$496,0),MATCH(I$2,'[6]Budget révisé'!$A$2:$AO$2,0))</f>
        <v>48687.680748074017</v>
      </c>
      <c r="J177" s="61">
        <f>-SUMIFS([6]BV_Data_An_Cour!$O:$O,[6]BV_Data_An_Cour!$U:$U,$B177,[6]BV_Data_An_Cour!$V:$V,$C177,[6]BV_Data_An_Cour!$W:$W,J$2)</f>
        <v>302</v>
      </c>
      <c r="K177" s="173">
        <f>-SUMIFS([6]BV_Data_An_Cour!$O:$O,[6]BV_Data_An_Cour!$X:$X,"Oui",[6]BV_Data_An_Cour!$U:$U,$B177,[6]BV_Data_An_Cour!$V:$V,$C177)</f>
        <v>52572.99</v>
      </c>
      <c r="L177" s="34">
        <f>-SUMIFS([6]BV_Data_An_Cour!$O:$O,[6]BV_Data_An_Cour!$U:$U,$B177,[6]BV_Data_An_Cour!$V:$V,$C177,[6]BV_Data_An_Cour!$W:$W,$L$2)</f>
        <v>39366.6</v>
      </c>
      <c r="M177" s="164">
        <f>(K177-H177)/H177</f>
        <v>-0.20826144872987237</v>
      </c>
      <c r="N177" s="60">
        <f t="shared" ref="N177:N178" si="67">L177-I177</f>
        <v>-9321.0807480740186</v>
      </c>
      <c r="O177" s="61">
        <f>-SUMIFS([6]BV_Data_An_Prec!$O:$O,[6]BV_Data_An_Prec!$U:$U,$B177,[6]BV_Data_An_Prec!$V:$V,$C177,[6]BV_Data_An_Prec!$W:$W,O$2)</f>
        <v>262</v>
      </c>
      <c r="P177" s="173">
        <f>-SUMIFS([6]BV_Data_An_Prec!$O:$O,[6]BV_Data_An_Prec!$X:$X,"Oui",[6]BV_Data_An_Prec!$U:$U,$B177,[6]BV_Data_An_Prec!$V:$V,$C177)</f>
        <v>49785.77</v>
      </c>
      <c r="Q177" s="34">
        <f>-SUMIFS([6]BV_Data_An_Prec!$O:$O,[6]BV_Data_An_Prec!$U:$U,$B177,[6]BV_Data_An_Prec!$V:$V,$C177,[6]BV_Data_An_Prec!$W:$W,$L$2)</f>
        <v>32856.47</v>
      </c>
      <c r="R177" s="164">
        <f>IF(O177=0,0,J177/O177)</f>
        <v>1.1526717557251909</v>
      </c>
      <c r="S177" s="86">
        <f>L177-Q177</f>
        <v>6510.1299999999974</v>
      </c>
      <c r="T177" s="83"/>
      <c r="U177" s="14">
        <f>K177*I178</f>
        <v>38547.913820182606</v>
      </c>
      <c r="V177" s="31">
        <f>U177-L177</f>
        <v>-818.68617981739226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2"/>
        <v>Service% profit / ventes</v>
      </c>
      <c r="B178" s="12" t="s">
        <v>84</v>
      </c>
      <c r="C178" s="30" t="s">
        <v>88</v>
      </c>
      <c r="D178" s="14"/>
      <c r="E178" s="150"/>
      <c r="F178" s="165">
        <f>F177/E177</f>
        <v>0.73322658308349231</v>
      </c>
      <c r="G178" s="42"/>
      <c r="H178" s="150"/>
      <c r="I178" s="165">
        <f>I177/H177</f>
        <v>0.73322658308349231</v>
      </c>
      <c r="J178" s="61"/>
      <c r="K178" s="150"/>
      <c r="L178" s="165">
        <f>IF(L177=0,0,L177/K177)</f>
        <v>0.74879895550928333</v>
      </c>
      <c r="M178" s="164"/>
      <c r="N178" s="60">
        <f t="shared" si="67"/>
        <v>1.5572372425791015E-2</v>
      </c>
      <c r="O178" s="61"/>
      <c r="P178" s="150"/>
      <c r="Q178" s="165">
        <f>IF(Q177=0,0,Q177/P177)</f>
        <v>0.65995705198493471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2"/>
        <v>Service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2"/>
        <v>ServiceM/O Esthétique</v>
      </c>
      <c r="B180" s="12" t="s">
        <v>84</v>
      </c>
      <c r="C180" s="15" t="s">
        <v>91</v>
      </c>
      <c r="D180" s="111">
        <f>+INDEX('[6]Budget original'!$A$2:$AO$496,MATCH($A180,'[6]Budget original'!$A$2:$A$496,0),MATCH(D$2,'[6]Budget original'!$A$2:$AO$2,0))</f>
        <v>0</v>
      </c>
      <c r="E180" s="83">
        <f>+INDEX('[6]Budget original'!$A$2:$AO$496,MATCH($A180,'[6]Budget original'!$A$2:$A$496,0),MATCH(E$2,'[6]Budget original'!$A$2:$AO$2,0))</f>
        <v>23.953321364452425</v>
      </c>
      <c r="F180" s="83">
        <f>+INDEX('[6]Budget original'!$A$2:$AO$496,MATCH($A180,'[6]Budget original'!$A$2:$A$496,0),MATCH(F$2,'[6]Budget original'!$A$2:$AO$2,0))</f>
        <v>17.725457809694795</v>
      </c>
      <c r="G180" s="113">
        <f>+INDEX('[6]Budget révisé'!$A$2:$AO$496,MATCH($A180,'[6]Budget révisé'!$A$2:$A$496,0),MATCH(G$2,'[6]Budget révisé'!$A$2:$AO$2,0))</f>
        <v>0</v>
      </c>
      <c r="H180" s="83">
        <f>+INDEX('[6]Budget révisé'!$A$2:$AO$496,MATCH($A180,'[6]Budget révisé'!$A$2:$A$496,0),MATCH(H$2,'[6]Budget révisé'!$A$2:$AO$2,0))</f>
        <v>23.953321364452425</v>
      </c>
      <c r="I180" s="83">
        <f>+INDEX('[6]Budget révisé'!$A$2:$AO$496,MATCH($A180,'[6]Budget révisé'!$A$2:$A$496,0),MATCH(I$2,'[6]Budget révisé'!$A$2:$AO$2,0))</f>
        <v>17.725457809694795</v>
      </c>
      <c r="J180" s="172">
        <f>-SUMIFS([6]BV_Data_An_Cour!$O:$O,[6]BV_Data_An_Cour!$U:$U,$B180,[6]BV_Data_An_Cour!$V:$V,$C180,[6]BV_Data_An_Cour!$W:$W,J$2)</f>
        <v>0</v>
      </c>
      <c r="K180" s="173">
        <f>-SUMIFS([6]BV_Data_An_Cour!$O:$O,[6]BV_Data_An_Cour!$X:$X,"Oui",[6]BV_Data_An_Cour!$U:$U,$B180,[6]BV_Data_An_Cour!$V:$V,$C180)</f>
        <v>504.86</v>
      </c>
      <c r="L180" s="114">
        <f>-SUMIFS([6]BV_Data_An_Cour!$O:$O,[6]BV_Data_An_Cour!$U:$U,$B180,[6]BV_Data_An_Cour!$V:$V,$C180,[6]BV_Data_An_Cour!$W:$W,$L$2)</f>
        <v>468.08000000000004</v>
      </c>
      <c r="M180" s="182">
        <f>IF(H180=0,0,(K180-H180)/H180)</f>
        <v>20.076826562734222</v>
      </c>
      <c r="N180" s="115">
        <f>L180-I180</f>
        <v>450.35454219030527</v>
      </c>
      <c r="O180" s="172">
        <f>-SUMIFS([6]BV_Data_An_Prec!$O:$O,[6]BV_Data_An_Prec!$U:$U,$B180,[6]BV_Data_An_Prec!$V:$V,$C180,[6]BV_Data_An_Prec!$W:$W,O$2)</f>
        <v>0</v>
      </c>
      <c r="P180" s="173">
        <f>-SUMIFS([6]BV_Data_An_Prec!$O:$O,[6]BV_Data_An_Prec!$X:$X,"Oui",[6]BV_Data_An_Prec!$U:$U,$B180,[6]BV_Data_An_Prec!$V:$V,$C180)</f>
        <v>0.01</v>
      </c>
      <c r="Q180" s="114">
        <f>-SUMIFS([6]BV_Data_An_Prec!$O:$O,[6]BV_Data_An_Prec!$U:$U,$B180,[6]BV_Data_An_Prec!$V:$V,$C180,[6]BV_Data_An_Prec!$W:$W,$L$2)</f>
        <v>0.01</v>
      </c>
      <c r="R180" s="164">
        <f>IF(O180=0,0,J180/O180)</f>
        <v>0</v>
      </c>
      <c r="S180" s="116">
        <f>L180-Q180</f>
        <v>468.07000000000005</v>
      </c>
      <c r="T180" s="83"/>
      <c r="U180" s="14">
        <f>K180*I181</f>
        <v>373.59640000000002</v>
      </c>
      <c r="V180" s="31">
        <f>U180-L180</f>
        <v>-94.483600000000024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2"/>
        <v>Service% profit / ventes</v>
      </c>
      <c r="B181" s="12" t="s">
        <v>84</v>
      </c>
      <c r="C181" s="30" t="s">
        <v>88</v>
      </c>
      <c r="D181" s="77"/>
      <c r="E181" s="183"/>
      <c r="F181" s="165">
        <f>IFERROR(F180/E180,0)</f>
        <v>0.74</v>
      </c>
      <c r="G181" s="79"/>
      <c r="H181" s="183"/>
      <c r="I181" s="165">
        <f>IFERROR(I180/H180,0)</f>
        <v>0.74</v>
      </c>
      <c r="J181" s="184"/>
      <c r="K181" s="183">
        <f>IF(J181&lt;=0,0,L181/J181)</f>
        <v>0</v>
      </c>
      <c r="L181" s="165">
        <f>IF(L180=0,0,L180/K180)</f>
        <v>0.92714812027096627</v>
      </c>
      <c r="M181" s="61">
        <f>J181-G181</f>
        <v>0</v>
      </c>
      <c r="N181" s="185"/>
      <c r="O181" s="184"/>
      <c r="P181" s="183">
        <f>IF(O181&lt;=0,0,Q181/O181)</f>
        <v>0</v>
      </c>
      <c r="Q181" s="165">
        <f>IF(Q180=0,0,Q180/P180)</f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2"/>
        <v>Service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2"/>
        <v>ServiceAjustement M/O</v>
      </c>
      <c r="B183" s="12" t="s">
        <v>84</v>
      </c>
      <c r="C183" s="30" t="s">
        <v>92</v>
      </c>
      <c r="D183" s="14"/>
      <c r="E183" s="14"/>
      <c r="F183" s="60">
        <f>+INDEX('[6]Budget original'!$A$2:$AO$496,MATCH($A183,'[6]Budget original'!$A$2:$A$496,0),MATCH(F$2,'[6]Budget original'!$A$2:$AO$2,0))</f>
        <v>-5033.4209187872038</v>
      </c>
      <c r="G183" s="42"/>
      <c r="H183" s="83"/>
      <c r="I183" s="83">
        <f>+INDEX('[6]Budget révisé'!$A$2:$AO$496,MATCH($A183,'[6]Budget révisé'!$A$2:$A$496,0),MATCH(I$2,'[6]Budget révisé'!$A$2:$AO$2,0))</f>
        <v>-5033.4209187872038</v>
      </c>
      <c r="J183" s="61"/>
      <c r="K183" s="83"/>
      <c r="L183" s="83">
        <f>-SUMIFS([6]BV_Data_An_Cour!$O:$O,[6]BV_Data_An_Cour!$U:$U,$B183,[6]BV_Data_An_Cour!$V:$V,$C183,[6]BV_Data_An_Cour!$W:$W,$L$2)</f>
        <v>-4646.71</v>
      </c>
      <c r="M183" s="184"/>
      <c r="N183" s="60">
        <f t="shared" ref="N183:N184" si="68">L183-I183</f>
        <v>386.71091878720381</v>
      </c>
      <c r="O183" s="61"/>
      <c r="P183" s="83"/>
      <c r="Q183" s="34">
        <f>-SUMIFS([6]BV_Data_An_Prec!$O:$O,[6]BV_Data_An_Prec!$U:$U,$B183,[6]BV_Data_An_Prec!$V:$V,$C183,[6]BV_Data_An_Prec!$W:$W,$L$2)</f>
        <v>-6115.94</v>
      </c>
      <c r="R183" s="193"/>
      <c r="S183" s="86">
        <f t="shared" ref="S183:S184" si="69">L183-Q183</f>
        <v>1469.2299999999996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2"/>
        <v>ServiceSous-total M/O</v>
      </c>
      <c r="B184" s="12" t="s">
        <v>84</v>
      </c>
      <c r="C184" s="194" t="s">
        <v>93</v>
      </c>
      <c r="D184" s="195"/>
      <c r="E184" s="195">
        <f t="shared" ref="E184:F184" si="70">E171+E174+E177+E180+E183</f>
        <v>291807.75559462892</v>
      </c>
      <c r="F184" s="196">
        <f t="shared" si="70"/>
        <v>209337.0897714232</v>
      </c>
      <c r="G184" s="197"/>
      <c r="H184" s="195">
        <f t="shared" ref="H184:L184" si="71">H171+H174+H177+H180+H183</f>
        <v>291807.75559462892</v>
      </c>
      <c r="I184" s="196">
        <f t="shared" si="71"/>
        <v>209337.0897714232</v>
      </c>
      <c r="J184" s="197">
        <f t="shared" si="71"/>
        <v>1102</v>
      </c>
      <c r="K184" s="195">
        <f t="shared" si="71"/>
        <v>232865.21999999997</v>
      </c>
      <c r="L184" s="196">
        <f t="shared" si="71"/>
        <v>169487.29</v>
      </c>
      <c r="M184" s="198">
        <f>(K184-H184)/H184</f>
        <v>-0.20199098366840618</v>
      </c>
      <c r="N184" s="196">
        <f t="shared" si="68"/>
        <v>-39849.79977142319</v>
      </c>
      <c r="O184" s="197">
        <f t="shared" ref="O184:Q184" si="72">O171+O174+O177+O180+O183</f>
        <v>1383</v>
      </c>
      <c r="P184" s="195">
        <f t="shared" si="72"/>
        <v>291653.75</v>
      </c>
      <c r="Q184" s="196">
        <f t="shared" si="72"/>
        <v>200360.79</v>
      </c>
      <c r="R184" s="43">
        <f>IF(O184=0,0,J184/O184)</f>
        <v>0.79681851048445407</v>
      </c>
      <c r="S184" s="199">
        <f t="shared" si="69"/>
        <v>-30873.5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2"/>
        <v>Service% protit / ventes</v>
      </c>
      <c r="B185" s="12" t="s">
        <v>84</v>
      </c>
      <c r="C185" s="200" t="s">
        <v>94</v>
      </c>
      <c r="D185" s="201"/>
      <c r="E185" s="201"/>
      <c r="F185" s="202">
        <f>F184/E184</f>
        <v>0.71738014414609441</v>
      </c>
      <c r="G185" s="203"/>
      <c r="H185" s="530">
        <f>IF(G184=0,0,H184/G184)</f>
        <v>0</v>
      </c>
      <c r="I185" s="44">
        <f>I184/H184</f>
        <v>0.71738014414609441</v>
      </c>
      <c r="J185" s="203"/>
      <c r="K185" s="530">
        <f>IF(J184=0,0,K184/J184)</f>
        <v>211.31145190562611</v>
      </c>
      <c r="L185" s="44">
        <f>IF(L184=0,0,L184/K184)</f>
        <v>0.72783428113481274</v>
      </c>
      <c r="M185" s="203"/>
      <c r="N185" s="202">
        <f>N184/I184</f>
        <v>-0.19036186953270201</v>
      </c>
      <c r="O185" s="203"/>
      <c r="P185" s="530">
        <f>IF(O184=0,0,P184/O184)</f>
        <v>210.88485177151119</v>
      </c>
      <c r="Q185" s="44">
        <f>IF(Q184=0,0,Q184/P184)</f>
        <v>0.68698170347543963</v>
      </c>
      <c r="R185" s="203"/>
      <c r="S185" s="45">
        <f>IF(R184=0,0,S184/R184)</f>
        <v>-38745.962341197825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2"/>
        <v>Service</v>
      </c>
      <c r="B186" s="12" t="s">
        <v>84</v>
      </c>
      <c r="C186" s="36"/>
      <c r="D186" s="204"/>
      <c r="E186" s="205"/>
      <c r="F186" s="206"/>
      <c r="G186" s="207"/>
      <c r="H186" s="205"/>
      <c r="I186" s="206"/>
      <c r="J186" s="207"/>
      <c r="K186" s="205"/>
      <c r="L186" s="206"/>
      <c r="M186" s="207"/>
      <c r="N186" s="206"/>
      <c r="O186" s="207"/>
      <c r="P186" s="205"/>
      <c r="Q186" s="206"/>
      <c r="R186" s="207"/>
      <c r="S186" s="208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tr">
        <f t="shared" si="62"/>
        <v>ServiceSous-traitement</v>
      </c>
      <c r="B187" s="12" t="s">
        <v>84</v>
      </c>
      <c r="C187" s="30" t="s">
        <v>95</v>
      </c>
      <c r="D187" s="83"/>
      <c r="E187" s="83">
        <f>+INDEX('[6]Budget original'!$A$2:$AO$496,MATCH($A187,'[6]Budget original'!$A$2:$A$496,0),MATCH(E$2,'[6]Budget original'!$A$2:$AO$2,0))</f>
        <v>38955.433881342142</v>
      </c>
      <c r="F187" s="83">
        <f>+INDEX('[6]Budget original'!$A$2:$AO$496,MATCH($A187,'[6]Budget original'!$A$2:$A$496,0),MATCH(F$2,'[6]Budget original'!$A$2:$AO$2,0))</f>
        <v>9349.3041315221144</v>
      </c>
      <c r="G187" s="61"/>
      <c r="H187" s="83">
        <f>+INDEX('[6]Budget révisé'!$A$2:$AO$496,MATCH($A187,'[6]Budget révisé'!$A$2:$A$496,0),MATCH(H$2,'[6]Budget révisé'!$A$2:$AO$2,0))</f>
        <v>38955.433881342142</v>
      </c>
      <c r="I187" s="83">
        <f>+INDEX('[6]Budget révisé'!$A$2:$AO$496,MATCH($A187,'[6]Budget révisé'!$A$2:$A$496,0),MATCH(I$2,'[6]Budget révisé'!$A$2:$AO$2,0))</f>
        <v>9349.3041315221144</v>
      </c>
      <c r="J187" s="61"/>
      <c r="K187" s="31">
        <f>-SUMIFS([6]BV_Data_An_Cour!$O:$O,[6]BV_Data_An_Cour!$X:$X,"Oui",[6]BV_Data_An_Cour!$U:$U,$B187,[6]BV_Data_An_Cour!$V:$V,$C187)</f>
        <v>29762.71</v>
      </c>
      <c r="L187" s="34">
        <f>-SUMIFS([6]BV_Data_An_Cour!$O:$O,[6]BV_Data_An_Cour!$U:$U,$B187,[6]BV_Data_An_Cour!$V:$V,$C187,[6]BV_Data_An_Cour!$W:$W,$L$2)</f>
        <v>5379.739999999998</v>
      </c>
      <c r="M187" s="85">
        <f>IF(H187=0,0,(K187-H187)/H187)</f>
        <v>-0.23598052865597868</v>
      </c>
      <c r="N187" s="60">
        <f>L187-I187</f>
        <v>-3969.5641315221164</v>
      </c>
      <c r="O187" s="61"/>
      <c r="P187" s="31">
        <f>-SUMIFS([6]BV_Data_An_Prec!$O:$O,[6]BV_Data_An_Prec!$X:$X,"Oui",[6]BV_Data_An_Prec!$U:$U,$B187,[6]BV_Data_An_Prec!$V:$V,$C187)</f>
        <v>52150.06</v>
      </c>
      <c r="Q187" s="34">
        <f>-SUMIFS([6]BV_Data_An_Prec!$O:$O,[6]BV_Data_An_Prec!$U:$U,$B187,[6]BV_Data_An_Prec!$V:$V,$C187,[6]BV_Data_An_Prec!$W:$W,$L$2)</f>
        <v>12165.36</v>
      </c>
      <c r="R187" s="164">
        <f>IF(O187=0,0,J187/O187)</f>
        <v>0</v>
      </c>
      <c r="S187" s="86">
        <f>L187-Q187</f>
        <v>-6785.6200000000026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tr">
        <f t="shared" si="62"/>
        <v>Service% profit / ventes</v>
      </c>
      <c r="B188" s="12" t="s">
        <v>84</v>
      </c>
      <c r="C188" s="30" t="s">
        <v>88</v>
      </c>
      <c r="D188" s="14"/>
      <c r="E188" s="150"/>
      <c r="F188" s="165">
        <f>IFERROR(F187/E187,0)</f>
        <v>0.24000000000000002</v>
      </c>
      <c r="G188" s="42"/>
      <c r="H188" s="150"/>
      <c r="I188" s="165">
        <f>IFERROR(I187/H187,0)</f>
        <v>0.24000000000000002</v>
      </c>
      <c r="J188" s="184"/>
      <c r="K188" s="183"/>
      <c r="L188" s="165">
        <f>IF(L187=0,0,L187/K187)</f>
        <v>0.18075437350967025</v>
      </c>
      <c r="M188" s="184"/>
      <c r="N188" s="185"/>
      <c r="O188" s="184"/>
      <c r="P188" s="183"/>
      <c r="Q188" s="165">
        <f>IF(Q187=0,0,Q187/P187)</f>
        <v>0.23327604992209022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2"/>
        <v>Service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2"/>
        <v>ServiceM.O. Recond. MCPA</v>
      </c>
      <c r="B190" s="12" t="s">
        <v>84</v>
      </c>
      <c r="C190" s="30" t="s">
        <v>96</v>
      </c>
      <c r="D190" s="14"/>
      <c r="E190" s="83">
        <f>+INDEX('[6]Budget original'!$A$2:$AO$496,MATCH($A190,'[6]Budget original'!$A$2:$A$496,0),MATCH(E$2,'[6]Budget original'!$A$2:$AO$2,0))</f>
        <v>0</v>
      </c>
      <c r="F190" s="83">
        <f>+INDEX('[6]Budget original'!$A$2:$AO$496,MATCH($A190,'[6]Budget original'!$A$2:$A$496,0),MATCH(F$2,'[6]Budget original'!$A$2:$AO$2,0))</f>
        <v>0</v>
      </c>
      <c r="G190" s="42"/>
      <c r="H190" s="83">
        <f>+INDEX('[6]Budget révisé'!$A$2:$AO$496,MATCH($A190,'[6]Budget révisé'!$A$2:$A$496,0),MATCH(H$2,'[6]Budget révisé'!$A$2:$AO$2,0))</f>
        <v>0</v>
      </c>
      <c r="I190" s="83">
        <f>+INDEX('[6]Budget révisé'!$A$2:$AO$496,MATCH($A190,'[6]Budget révisé'!$A$2:$A$496,0),MATCH(I$2,'[6]Budget révisé'!$A$2:$AO$2,0))</f>
        <v>0</v>
      </c>
      <c r="J190" s="184"/>
      <c r="K190" s="31">
        <f>-SUMIFS([6]BV_Data_An_Cour!$O:$O,[6]BV_Data_An_Cour!$X:$X,"Oui",[6]BV_Data_An_Cour!$U:$U,$B190,[6]BV_Data_An_Cour!$V:$V,$C190)</f>
        <v>0</v>
      </c>
      <c r="L190" s="165"/>
      <c r="M190" s="184"/>
      <c r="N190" s="185"/>
      <c r="O190" s="184"/>
      <c r="P190" s="31">
        <f>-SUMIFS([6]BV_Data_An_Prec!$O:$O,[6]BV_Data_An_Prec!$X:$X,"Oui",[6]BV_Data_An_Prec!$U:$U,$B190,[6]BV_Data_An_Prec!$V:$V,$C190)</f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2"/>
        <v>Service% profit / ventes</v>
      </c>
      <c r="B191" s="12" t="s">
        <v>84</v>
      </c>
      <c r="C191" s="30" t="s">
        <v>88</v>
      </c>
      <c r="D191" s="14"/>
      <c r="E191" s="150"/>
      <c r="F191" s="165">
        <f>IF(F190=0,0,F190/E190)</f>
        <v>0</v>
      </c>
      <c r="G191" s="42"/>
      <c r="H191" s="150"/>
      <c r="I191" s="165">
        <f>IF(I190=0,0,I190/H190)</f>
        <v>0</v>
      </c>
      <c r="J191" s="184"/>
      <c r="K191" s="183"/>
      <c r="L191" s="165">
        <f>IF(L190=0,0,L190/K190)</f>
        <v>0</v>
      </c>
      <c r="M191" s="184"/>
      <c r="N191" s="185"/>
      <c r="O191" s="184"/>
      <c r="P191" s="183"/>
      <c r="Q191" s="165">
        <f>IF(Q190=0,0,Q190/P190)</f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2"/>
        <v>Service</v>
      </c>
      <c r="B192" s="12" t="s">
        <v>84</v>
      </c>
      <c r="C192" s="209"/>
      <c r="D192" s="210"/>
      <c r="E192" s="211"/>
      <c r="F192" s="212"/>
      <c r="G192" s="213"/>
      <c r="H192" s="211"/>
      <c r="I192" s="212"/>
      <c r="J192" s="213"/>
      <c r="K192" s="211"/>
      <c r="L192" s="212"/>
      <c r="M192" s="213"/>
      <c r="N192" s="212"/>
      <c r="O192" s="213"/>
      <c r="P192" s="211"/>
      <c r="Q192" s="212"/>
      <c r="R192" s="213"/>
      <c r="S192" s="214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tr">
        <f t="shared" si="62"/>
        <v>ServiceTotal Mécanique</v>
      </c>
      <c r="B193" s="12" t="s">
        <v>84</v>
      </c>
      <c r="C193" s="63" t="s">
        <v>97</v>
      </c>
      <c r="D193" s="64"/>
      <c r="E193" s="64">
        <f t="shared" ref="E193:F193" si="73">E184+E187+E190</f>
        <v>330763.18947597104</v>
      </c>
      <c r="F193" s="66">
        <f t="shared" si="73"/>
        <v>218686.3939029453</v>
      </c>
      <c r="G193" s="67"/>
      <c r="H193" s="64">
        <f t="shared" ref="H193:I193" si="74">H184+H187+H190</f>
        <v>330763.18947597104</v>
      </c>
      <c r="I193" s="66">
        <f t="shared" si="74"/>
        <v>218686.3939029453</v>
      </c>
      <c r="J193" s="67"/>
      <c r="K193" s="64">
        <f>K184+K187+K190</f>
        <v>262627.93</v>
      </c>
      <c r="L193" s="66">
        <f t="shared" ref="L193" si="75">L184+L187+L190</f>
        <v>174867.03</v>
      </c>
      <c r="M193" s="215">
        <f>L194-I194</f>
        <v>4.6786302933642387E-3</v>
      </c>
      <c r="N193" s="66">
        <f>L193-I193</f>
        <v>-43819.363902945304</v>
      </c>
      <c r="O193" s="67"/>
      <c r="P193" s="64">
        <f>P184+P187+P190</f>
        <v>343803.81</v>
      </c>
      <c r="Q193" s="66">
        <f t="shared" ref="Q193" si="76">Q184+Q187+Q190</f>
        <v>212526.15000000002</v>
      </c>
      <c r="R193" s="215">
        <f>L194-Q194</f>
        <v>4.7674492621600839E-2</v>
      </c>
      <c r="S193" s="69">
        <f>L193-Q193</f>
        <v>-37659.120000000024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tr">
        <f t="shared" si="62"/>
        <v>Service</v>
      </c>
      <c r="B194" s="12" t="s">
        <v>84</v>
      </c>
      <c r="C194" s="70"/>
      <c r="D194" s="71"/>
      <c r="E194" s="71"/>
      <c r="F194" s="75">
        <f>F193/E193</f>
        <v>0.66115698741873519</v>
      </c>
      <c r="G194" s="73"/>
      <c r="H194" s="71"/>
      <c r="I194" s="75">
        <f>I193/H193</f>
        <v>0.66115698741873519</v>
      </c>
      <c r="J194" s="73"/>
      <c r="K194" s="71"/>
      <c r="L194" s="75">
        <f>L193/K193</f>
        <v>0.66583561771209943</v>
      </c>
      <c r="M194" s="74"/>
      <c r="N194" s="75">
        <f>N193/I193</f>
        <v>-0.20037535541599663</v>
      </c>
      <c r="O194" s="73"/>
      <c r="P194" s="71"/>
      <c r="Q194" s="75">
        <f>Q193/P193</f>
        <v>0.61816112509049859</v>
      </c>
      <c r="R194" s="74"/>
      <c r="S194" s="76">
        <f>L193/S193</f>
        <v>-4.6434178493815015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2"/>
        <v>Service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2"/>
        <v>ServiceDEPENSES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2"/>
        <v>ServiceSalaires cadres</v>
      </c>
      <c r="B197" s="12" t="s">
        <v>84</v>
      </c>
      <c r="C197" s="108" t="s">
        <v>42</v>
      </c>
      <c r="D197" s="14"/>
      <c r="E197" s="14"/>
      <c r="F197" s="31">
        <f>+INDEX('[6]Budget original'!$A$2:$AO$496,MATCH($A197,'[6]Budget original'!$A$2:$A$496,0),MATCH(F$2,'[6]Budget original'!$A$2:$AO$2,0))</f>
        <v>12520.167657931033</v>
      </c>
      <c r="G197" s="42"/>
      <c r="H197" s="14"/>
      <c r="I197" s="31">
        <f>+INDEX('[6]Budget révisé'!$A$2:$AO$496,MATCH($A197,'[6]Budget révisé'!$A$2:$A$496,0),MATCH(I$2,'[6]Budget révisé'!$A$2:$AO$2,0))</f>
        <v>12520.167657931033</v>
      </c>
      <c r="J197" s="42"/>
      <c r="K197" s="14"/>
      <c r="L197" s="34">
        <f>SUMIFS([6]BV_Data_An_Cour!$O:$O,[6]BV_Data_An_Cour!$U:$U,$B197,[6]BV_Data_An_Cour!$V:$V,$C197,[6]BV_Data_An_Cour!$W:$W,$L$2)</f>
        <v>10025.44</v>
      </c>
      <c r="M197" s="42"/>
      <c r="N197" s="60">
        <f t="shared" ref="N197:N228" si="77">L197-I197</f>
        <v>-2494.7276579310328</v>
      </c>
      <c r="O197" s="42"/>
      <c r="P197" s="14"/>
      <c r="Q197" s="34">
        <f>SUMIFS([6]BV_Data_An_Prec!$O:$O,[6]BV_Data_An_Prec!$U:$U,$B197,[6]BV_Data_An_Prec!$V:$V,$C197,[6]BV_Data_An_Prec!$W:$W,$L$2)</f>
        <v>12050.77</v>
      </c>
      <c r="R197" s="42"/>
      <c r="S197" s="35">
        <f>L197-Q197</f>
        <v>-2025.33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2"/>
        <v>ServiceSalaires commis</v>
      </c>
      <c r="B198" s="12" t="s">
        <v>84</v>
      </c>
      <c r="C198" s="109" t="s">
        <v>43</v>
      </c>
      <c r="D198" s="82"/>
      <c r="E198" s="14"/>
      <c r="F198" s="23">
        <f>+INDEX('[6]Budget original'!$A$2:$AO$496,MATCH($A198,'[6]Budget original'!$A$2:$A$496,0),MATCH(F$2,'[6]Budget original'!$A$2:$AO$2,0))</f>
        <v>9162.5139436321842</v>
      </c>
      <c r="G198" s="84"/>
      <c r="H198" s="14"/>
      <c r="I198" s="23">
        <f>+INDEX('[6]Budget révisé'!$A$2:$AO$496,MATCH($A198,'[6]Budget révisé'!$A$2:$A$496,0),MATCH(I$2,'[6]Budget révisé'!$A$2:$AO$2,0))</f>
        <v>9162.5139436321842</v>
      </c>
      <c r="J198" s="42"/>
      <c r="K198" s="14"/>
      <c r="L198" s="34">
        <f>SUMIFS([6]BV_Data_An_Cour!$O:$O,[6]BV_Data_An_Cour!$U:$U,$B198,[6]BV_Data_An_Cour!$V:$V,$C198,[6]BV_Data_An_Cour!$W:$W,$L$2)</f>
        <v>8664.7900000000009</v>
      </c>
      <c r="M198" s="42"/>
      <c r="N198" s="60">
        <f t="shared" si="77"/>
        <v>-497.72394363218336</v>
      </c>
      <c r="O198" s="42"/>
      <c r="P198" s="14"/>
      <c r="Q198" s="34">
        <f>SUMIFS([6]BV_Data_An_Prec!$O:$O,[6]BV_Data_An_Prec!$U:$U,$B198,[6]BV_Data_An_Prec!$V:$V,$C198,[6]BV_Data_An_Prec!$W:$W,$L$2)</f>
        <v>11378.31</v>
      </c>
      <c r="R198" s="42"/>
      <c r="S198" s="86">
        <f t="shared" ref="S198:S228" si="78">L198-Q198</f>
        <v>-2713.5199999999986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tr">
        <f t="shared" si="62"/>
        <v>ServiceSalaires autres</v>
      </c>
      <c r="B199" s="12" t="s">
        <v>84</v>
      </c>
      <c r="C199" s="108" t="s">
        <v>44</v>
      </c>
      <c r="D199" s="110"/>
      <c r="E199" s="111"/>
      <c r="F199" s="31">
        <f>+INDEX('[6]Budget original'!$A$2:$AO$496,MATCH($A199,'[6]Budget original'!$A$2:$A$496,0),MATCH(F$2,'[6]Budget original'!$A$2:$AO$2,0))</f>
        <v>12376.948915567818</v>
      </c>
      <c r="G199" s="112"/>
      <c r="H199" s="111"/>
      <c r="I199" s="31">
        <f>+INDEX('[6]Budget révisé'!$A$2:$AO$496,MATCH($A199,'[6]Budget révisé'!$A$2:$A$496,0),MATCH(I$2,'[6]Budget révisé'!$A$2:$AO$2,0))</f>
        <v>12376.948915567818</v>
      </c>
      <c r="J199" s="113"/>
      <c r="K199" s="111"/>
      <c r="L199" s="114">
        <f>SUMIFS([6]BV_Data_An_Cour!$O:$O,[6]BV_Data_An_Cour!$U:$U,$B199,[6]BV_Data_An_Cour!$V:$V,$C199,[6]BV_Data_An_Cour!$W:$W,$L$2)</f>
        <v>8179.31</v>
      </c>
      <c r="M199" s="113"/>
      <c r="N199" s="115">
        <f t="shared" si="77"/>
        <v>-4197.638915567818</v>
      </c>
      <c r="O199" s="113"/>
      <c r="P199" s="111"/>
      <c r="Q199" s="114">
        <f>SUMIFS([6]BV_Data_An_Prec!$O:$O,[6]BV_Data_An_Prec!$U:$U,$B199,[6]BV_Data_An_Prec!$V:$V,$C199,[6]BV_Data_An_Prec!$W:$W,$L$2)</f>
        <v>10353.65</v>
      </c>
      <c r="R199" s="113"/>
      <c r="S199" s="116">
        <f t="shared" si="78"/>
        <v>-2174.3399999999992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tr">
        <f t="shared" si="62"/>
        <v>ServiceSalaires spécialistes</v>
      </c>
      <c r="B200" s="12" t="s">
        <v>84</v>
      </c>
      <c r="C200" s="108" t="s">
        <v>45</v>
      </c>
      <c r="D200" s="82"/>
      <c r="E200" s="14"/>
      <c r="F200" s="31">
        <f>+INDEX('[6]Budget original'!$A$2:$AO$496,MATCH($A200,'[6]Budget original'!$A$2:$A$496,0),MATCH(F$2,'[6]Budget original'!$A$2:$AO$2,0))</f>
        <v>31130.499641379309</v>
      </c>
      <c r="G200" s="84"/>
      <c r="H200" s="14"/>
      <c r="I200" s="31">
        <f>+INDEX('[6]Budget révisé'!$A$2:$AO$496,MATCH($A200,'[6]Budget révisé'!$A$2:$A$496,0),MATCH(I$2,'[6]Budget révisé'!$A$2:$AO$2,0))</f>
        <v>31130.499641379309</v>
      </c>
      <c r="J200" s="42"/>
      <c r="K200" s="14"/>
      <c r="L200" s="34">
        <f>SUMIFS([6]BV_Data_An_Cour!$O:$O,[6]BV_Data_An_Cour!$U:$U,$B200,[6]BV_Data_An_Cour!$V:$V,$C200,[6]BV_Data_An_Cour!$W:$W,$L$2)</f>
        <v>24491.9</v>
      </c>
      <c r="M200" s="42"/>
      <c r="N200" s="60">
        <f t="shared" si="77"/>
        <v>-6638.5996413793073</v>
      </c>
      <c r="O200" s="42"/>
      <c r="P200" s="14"/>
      <c r="Q200" s="34">
        <f>SUMIFS([6]BV_Data_An_Prec!$O:$O,[6]BV_Data_An_Prec!$U:$U,$B200,[6]BV_Data_An_Prec!$V:$V,$C200,[6]BV_Data_An_Prec!$W:$W,$L$2)</f>
        <v>24692.68</v>
      </c>
      <c r="R200" s="42"/>
      <c r="S200" s="86">
        <f t="shared" si="78"/>
        <v>-200.77999999999884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2"/>
        <v>Service[...]</v>
      </c>
      <c r="B201" s="12" t="s">
        <v>84</v>
      </c>
      <c r="C201" s="30" t="s">
        <v>21</v>
      </c>
      <c r="D201" s="82"/>
      <c r="E201" s="14"/>
      <c r="F201" s="31">
        <f>+INDEX('[6]Budget original'!$A$2:$AO$496,MATCH($A201,'[6]Budget original'!$A$2:$A$496,0),MATCH(F$2,'[6]Budget original'!$A$2:$AO$2,0))</f>
        <v>0</v>
      </c>
      <c r="G201" s="84"/>
      <c r="H201" s="14"/>
      <c r="I201" s="31">
        <f>+INDEX('[6]Budget révisé'!$A$2:$AO$496,MATCH($A201,'[6]Budget révisé'!$A$2:$A$496,0),MATCH(I$2,'[6]Budget révisé'!$A$2:$AO$2,0))</f>
        <v>0</v>
      </c>
      <c r="J201" s="42"/>
      <c r="K201" s="14"/>
      <c r="L201" s="34">
        <f>SUMIFS([6]BV_Data_An_Cour!$O:$O,[6]BV_Data_An_Cour!$U:$U,$B201,[6]BV_Data_An_Cour!$V:$V,$C201,[6]BV_Data_An_Cour!$W:$W,$L$2)</f>
        <v>0</v>
      </c>
      <c r="M201" s="42"/>
      <c r="N201" s="60">
        <f t="shared" si="77"/>
        <v>0</v>
      </c>
      <c r="O201" s="42"/>
      <c r="P201" s="14"/>
      <c r="Q201" s="34">
        <f>SUMIFS([6]BV_Data_An_Prec!$O:$O,[6]BV_Data_An_Prec!$U:$U,$B201,[6]BV_Data_An_Prec!$V:$V,$C201,[6]BV_Data_An_Prec!$W:$W,$L$2)</f>
        <v>0</v>
      </c>
      <c r="R201" s="42"/>
      <c r="S201" s="86">
        <f t="shared" si="78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2"/>
        <v>Service[...]</v>
      </c>
      <c r="B202" s="12" t="s">
        <v>84</v>
      </c>
      <c r="C202" s="30" t="s">
        <v>21</v>
      </c>
      <c r="D202" s="82"/>
      <c r="E202" s="14"/>
      <c r="F202" s="31">
        <f>+INDEX('[6]Budget original'!$A$2:$AO$496,MATCH($A202,'[6]Budget original'!$A$2:$A$496,0),MATCH(F$2,'[6]Budget original'!$A$2:$AO$2,0))</f>
        <v>0</v>
      </c>
      <c r="G202" s="84"/>
      <c r="H202" s="14"/>
      <c r="I202" s="31">
        <f>+INDEX('[6]Budget révisé'!$A$2:$AO$496,MATCH($A202,'[6]Budget révisé'!$A$2:$A$496,0),MATCH(I$2,'[6]Budget révisé'!$A$2:$AO$2,0))</f>
        <v>0</v>
      </c>
      <c r="J202" s="42"/>
      <c r="K202" s="14"/>
      <c r="L202" s="34">
        <f>SUMIFS([6]BV_Data_An_Cour!$O:$O,[6]BV_Data_An_Cour!$U:$U,$B202,[6]BV_Data_An_Cour!$V:$V,$C202,[6]BV_Data_An_Cour!$W:$W,$L$2)</f>
        <v>0</v>
      </c>
      <c r="M202" s="42"/>
      <c r="N202" s="60">
        <f t="shared" si="77"/>
        <v>0</v>
      </c>
      <c r="O202" s="42"/>
      <c r="P202" s="14"/>
      <c r="Q202" s="34">
        <f>SUMIFS([6]BV_Data_An_Prec!$O:$O,[6]BV_Data_An_Prec!$U:$U,$B202,[6]BV_Data_An_Prec!$V:$V,$C202,[6]BV_Data_An_Prec!$W:$W,$L$2)</f>
        <v>0</v>
      </c>
      <c r="R202" s="42"/>
      <c r="S202" s="86">
        <f t="shared" si="78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2"/>
        <v>Service[...]</v>
      </c>
      <c r="B203" s="12" t="s">
        <v>84</v>
      </c>
      <c r="C203" s="30" t="s">
        <v>21</v>
      </c>
      <c r="D203" s="82"/>
      <c r="E203" s="14"/>
      <c r="F203" s="31">
        <f>+INDEX('[6]Budget original'!$A$2:$AO$496,MATCH($A203,'[6]Budget original'!$A$2:$A$496,0),MATCH(F$2,'[6]Budget original'!$A$2:$AO$2,0))</f>
        <v>0</v>
      </c>
      <c r="G203" s="84"/>
      <c r="H203" s="14"/>
      <c r="I203" s="31">
        <f>+INDEX('[6]Budget révisé'!$A$2:$AO$496,MATCH($A203,'[6]Budget révisé'!$A$2:$A$496,0),MATCH(I$2,'[6]Budget révisé'!$A$2:$AO$2,0))</f>
        <v>0</v>
      </c>
      <c r="J203" s="42"/>
      <c r="K203" s="14"/>
      <c r="L203" s="34">
        <f>SUMIFS([6]BV_Data_An_Cour!$O:$O,[6]BV_Data_An_Cour!$U:$U,$B203,[6]BV_Data_An_Cour!$V:$V,$C203,[6]BV_Data_An_Cour!$W:$W,$L$2)</f>
        <v>0</v>
      </c>
      <c r="M203" s="42"/>
      <c r="N203" s="60">
        <f t="shared" si="77"/>
        <v>0</v>
      </c>
      <c r="O203" s="42"/>
      <c r="P203" s="14"/>
      <c r="Q203" s="34">
        <f>SUMIFS([6]BV_Data_An_Prec!$O:$O,[6]BV_Data_An_Prec!$U:$U,$B203,[6]BV_Data_An_Prec!$V:$V,$C203,[6]BV_Data_An_Prec!$W:$W,$L$2)</f>
        <v>0</v>
      </c>
      <c r="R203" s="42"/>
      <c r="S203" s="86">
        <f t="shared" si="78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tr">
        <f t="shared" si="62"/>
        <v>ServiceSalaires en absences</v>
      </c>
      <c r="B204" s="12" t="s">
        <v>84</v>
      </c>
      <c r="C204" s="109" t="s">
        <v>46</v>
      </c>
      <c r="D204" s="82"/>
      <c r="E204" s="14"/>
      <c r="F204" s="31">
        <f>+INDEX('[6]Budget original'!$A$2:$AO$496,MATCH($A204,'[6]Budget original'!$A$2:$A$496,0),MATCH(F$2,'[6]Budget original'!$A$2:$AO$2,0))</f>
        <v>16489.311619021239</v>
      </c>
      <c r="G204" s="84"/>
      <c r="H204" s="14"/>
      <c r="I204" s="31">
        <f>+INDEX('[6]Budget révisé'!$A$2:$AO$496,MATCH($A204,'[6]Budget révisé'!$A$2:$A$496,0),MATCH(I$2,'[6]Budget révisé'!$A$2:$AO$2,0))</f>
        <v>16489.311619021239</v>
      </c>
      <c r="J204" s="42"/>
      <c r="K204" s="14"/>
      <c r="L204" s="34">
        <f>SUMIFS([6]BV_Data_An_Cour!$O:$O,[6]BV_Data_An_Cour!$U:$U,$B204,[6]BV_Data_An_Cour!$V:$V,$C204,[6]BV_Data_An_Cour!$W:$W,$L$2)</f>
        <v>14099.96</v>
      </c>
      <c r="M204" s="42"/>
      <c r="N204" s="60">
        <f t="shared" si="77"/>
        <v>-2389.3516190212395</v>
      </c>
      <c r="O204" s="42"/>
      <c r="P204" s="14"/>
      <c r="Q204" s="34">
        <f>SUMIFS([6]BV_Data_An_Prec!$O:$O,[6]BV_Data_An_Prec!$U:$U,$B204,[6]BV_Data_An_Prec!$V:$V,$C204,[6]BV_Data_An_Prec!$W:$W,$L$2)</f>
        <v>17938.189999999999</v>
      </c>
      <c r="R204" s="42"/>
      <c r="S204" s="86">
        <f t="shared" si="78"/>
        <v>-3838.2299999999996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2"/>
        <v>ServiceDéduction à la source</v>
      </c>
      <c r="B205" s="12" t="s">
        <v>84</v>
      </c>
      <c r="C205" s="108" t="s">
        <v>47</v>
      </c>
      <c r="D205" s="110"/>
      <c r="E205" s="111"/>
      <c r="F205" s="56">
        <f>+INDEX('[6]Budget original'!$A$2:$AO$496,MATCH($A205,'[6]Budget original'!$A$2:$A$496,0),MATCH(F$2,'[6]Budget original'!$A$2:$AO$2,0))</f>
        <v>16489.311619021239</v>
      </c>
      <c r="G205" s="112"/>
      <c r="H205" s="111"/>
      <c r="I205" s="56">
        <f>+INDEX('[6]Budget révisé'!$A$2:$AO$496,MATCH($A205,'[6]Budget révisé'!$A$2:$A$496,0),MATCH(I$2,'[6]Budget révisé'!$A$2:$AO$2,0))</f>
        <v>16489.311619021239</v>
      </c>
      <c r="J205" s="113"/>
      <c r="K205" s="111"/>
      <c r="L205" s="114">
        <f>SUMIFS([6]BV_Data_An_Cour!$O:$O,[6]BV_Data_An_Cour!$U:$U,$B205,[6]BV_Data_An_Cour!$V:$V,$C205,[6]BV_Data_An_Cour!$W:$W,$L$2)</f>
        <v>15325.37</v>
      </c>
      <c r="M205" s="113"/>
      <c r="N205" s="115">
        <f t="shared" si="77"/>
        <v>-1163.9416190212378</v>
      </c>
      <c r="O205" s="113"/>
      <c r="P205" s="111"/>
      <c r="Q205" s="114">
        <f>SUMIFS([6]BV_Data_An_Prec!$O:$O,[6]BV_Data_An_Prec!$U:$U,$B205,[6]BV_Data_An_Prec!$V:$V,$C205,[6]BV_Data_An_Prec!$W:$W,$L$2)</f>
        <v>14557.74</v>
      </c>
      <c r="R205" s="113"/>
      <c r="S205" s="116">
        <f t="shared" si="78"/>
        <v>767.63000000000102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2"/>
        <v>ServiceBénéfices marginaux</v>
      </c>
      <c r="B206" s="12" t="s">
        <v>84</v>
      </c>
      <c r="C206" s="108" t="s">
        <v>48</v>
      </c>
      <c r="D206" s="82"/>
      <c r="E206" s="14"/>
      <c r="F206" s="31">
        <f>+INDEX('[6]Budget original'!$A$2:$AO$496,MATCH($A206,'[6]Budget original'!$A$2:$A$496,0),MATCH(F$2,'[6]Budget original'!$A$2:$AO$2,0))</f>
        <v>11817.339993631887</v>
      </c>
      <c r="G206" s="84"/>
      <c r="H206" s="14"/>
      <c r="I206" s="31">
        <f>+INDEX('[6]Budget révisé'!$A$2:$AO$496,MATCH($A206,'[6]Budget révisé'!$A$2:$A$496,0),MATCH(I$2,'[6]Budget révisé'!$A$2:$AO$2,0))</f>
        <v>11817.339993631887</v>
      </c>
      <c r="J206" s="42"/>
      <c r="K206" s="14"/>
      <c r="L206" s="34">
        <f>SUMIFS([6]BV_Data_An_Cour!$O:$O,[6]BV_Data_An_Cour!$U:$U,$B206,[6]BV_Data_An_Cour!$V:$V,$C206,[6]BV_Data_An_Cour!$W:$W,$L$2)</f>
        <v>10983.18</v>
      </c>
      <c r="M206" s="42"/>
      <c r="N206" s="60">
        <f t="shared" si="77"/>
        <v>-834.15999363188712</v>
      </c>
      <c r="O206" s="42"/>
      <c r="P206" s="14"/>
      <c r="Q206" s="34">
        <f>SUMIFS([6]BV_Data_An_Prec!$O:$O,[6]BV_Data_An_Prec!$U:$U,$B206,[6]BV_Data_An_Prec!$V:$V,$C206,[6]BV_Data_An_Prec!$W:$W,$L$2)</f>
        <v>9555.3799999999992</v>
      </c>
      <c r="R206" s="42"/>
      <c r="S206" s="86">
        <f t="shared" si="78"/>
        <v>1427.8000000000011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2"/>
        <v>ServiceCsst</v>
      </c>
      <c r="B207" s="12" t="s">
        <v>84</v>
      </c>
      <c r="C207" s="108" t="s">
        <v>49</v>
      </c>
      <c r="D207" s="82"/>
      <c r="E207" s="14"/>
      <c r="F207" s="31">
        <f>+INDEX('[6]Budget original'!$A$2:$AO$496,MATCH($A207,'[6]Budget original'!$A$2:$A$496,0),MATCH(F$2,'[6]Budget original'!$A$2:$AO$2,0))</f>
        <v>2748.2186031702067</v>
      </c>
      <c r="G207" s="84"/>
      <c r="H207" s="14"/>
      <c r="I207" s="31">
        <f>+INDEX('[6]Budget révisé'!$A$2:$AO$496,MATCH($A207,'[6]Budget révisé'!$A$2:$A$496,0),MATCH(I$2,'[6]Budget révisé'!$A$2:$AO$2,0))</f>
        <v>2748.2186031702067</v>
      </c>
      <c r="J207" s="42"/>
      <c r="K207" s="14"/>
      <c r="L207" s="34">
        <f>SUMIFS([6]BV_Data_An_Cour!$O:$O,[6]BV_Data_An_Cour!$U:$U,$B207,[6]BV_Data_An_Cour!$V:$V,$C207,[6]BV_Data_An_Cour!$W:$W,$L$2)</f>
        <v>2554.23</v>
      </c>
      <c r="M207" s="42"/>
      <c r="N207" s="60">
        <f t="shared" si="77"/>
        <v>-193.98860317020672</v>
      </c>
      <c r="O207" s="42"/>
      <c r="P207" s="14"/>
      <c r="Q207" s="34">
        <f>SUMIFS([6]BV_Data_An_Prec!$O:$O,[6]BV_Data_An_Prec!$U:$U,$B207,[6]BV_Data_An_Prec!$V:$V,$C207,[6]BV_Data_An_Prec!$W:$W,$L$2)</f>
        <v>3304.97</v>
      </c>
      <c r="R207" s="42"/>
      <c r="S207" s="86">
        <f t="shared" si="78"/>
        <v>-750.73999999999978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2"/>
        <v>Service[...]</v>
      </c>
      <c r="B208" s="12" t="s">
        <v>84</v>
      </c>
      <c r="C208" s="30" t="s">
        <v>21</v>
      </c>
      <c r="D208" s="89"/>
      <c r="E208" s="117"/>
      <c r="F208" s="31">
        <f>+INDEX('[6]Budget original'!$A$2:$AO$496,MATCH($A208,'[6]Budget original'!$A$2:$A$496,0),MATCH(F$2,'[6]Budget original'!$A$2:$AO$2,0))</f>
        <v>0</v>
      </c>
      <c r="G208" s="91"/>
      <c r="H208" s="117"/>
      <c r="I208" s="31">
        <f>+INDEX('[6]Budget révisé'!$A$2:$AO$496,MATCH($A208,'[6]Budget révisé'!$A$2:$A$496,0),MATCH(I$2,'[6]Budget révisé'!$A$2:$AO$2,0))</f>
        <v>0</v>
      </c>
      <c r="J208" s="24"/>
      <c r="K208" s="117"/>
      <c r="L208" s="34">
        <f>SUMIFS([6]BV_Data_An_Cour!$O:$O,[6]BV_Data_An_Cour!$U:$U,$B208,[6]BV_Data_An_Cour!$V:$V,$C208,[6]BV_Data_An_Cour!$W:$W,$L$2)</f>
        <v>0</v>
      </c>
      <c r="M208" s="24"/>
      <c r="N208" s="94">
        <f t="shared" si="77"/>
        <v>0</v>
      </c>
      <c r="O208" s="24"/>
      <c r="P208" s="117"/>
      <c r="Q208" s="34">
        <f>SUMIFS([6]BV_Data_An_Prec!$O:$O,[6]BV_Data_An_Prec!$U:$U,$B208,[6]BV_Data_An_Prec!$V:$V,$C208,[6]BV_Data_An_Prec!$W:$W,$L$2)</f>
        <v>0</v>
      </c>
      <c r="R208" s="24"/>
      <c r="S208" s="95">
        <f t="shared" si="78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2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0.51550674910020811</v>
      </c>
      <c r="F209" s="102">
        <f>+SUM(F197:F208)</f>
        <v>112734.3119933549</v>
      </c>
      <c r="G209" s="103" t="s">
        <v>98</v>
      </c>
      <c r="H209" s="101">
        <f>I209/I$193</f>
        <v>0.51550674910020811</v>
      </c>
      <c r="I209" s="102">
        <f>+SUM(I197:I208)</f>
        <v>112734.3119933549</v>
      </c>
      <c r="J209" s="103" t="s">
        <v>98</v>
      </c>
      <c r="K209" s="101">
        <f>L209/L$193</f>
        <v>0.53940516974526309</v>
      </c>
      <c r="L209" s="102">
        <f>+SUM(L197:L208)</f>
        <v>94324.180000000008</v>
      </c>
      <c r="M209" s="154"/>
      <c r="N209" s="119">
        <f t="shared" si="77"/>
        <v>-18410.131993354895</v>
      </c>
      <c r="O209" s="103" t="s">
        <v>98</v>
      </c>
      <c r="P209" s="101">
        <f>Q209/Q$193</f>
        <v>0.48855959607794147</v>
      </c>
      <c r="Q209" s="102">
        <f>+SUM(Q197:Q208)</f>
        <v>103831.69000000002</v>
      </c>
      <c r="R209" s="154"/>
      <c r="S209" s="120">
        <f t="shared" si="78"/>
        <v>-9507.5100000000093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2"/>
        <v>ServicePublicité 2</v>
      </c>
      <c r="B210" s="12" t="s">
        <v>84</v>
      </c>
      <c r="C210" s="30" t="s">
        <v>51</v>
      </c>
      <c r="D210" s="82"/>
      <c r="E210" s="14"/>
      <c r="F210" s="31">
        <f>+INDEX('[6]Budget original'!$A$2:$AO$496,MATCH($A210,'[6]Budget original'!$A$2:$A$496,0),MATCH(F$2,'[6]Budget original'!$A$2:$AO$2,0))</f>
        <v>7073.1916666666666</v>
      </c>
      <c r="G210" s="84"/>
      <c r="H210" s="14"/>
      <c r="I210" s="31">
        <f>+INDEX('[6]Budget révisé'!$A$2:$AO$496,MATCH($A210,'[6]Budget révisé'!$A$2:$A$496,0),MATCH(I$2,'[6]Budget révisé'!$A$2:$AO$2,0))</f>
        <v>7073.1916666666666</v>
      </c>
      <c r="J210" s="42"/>
      <c r="K210" s="14"/>
      <c r="L210" s="34">
        <f>SUMIFS([6]BV_Data_An_Cour!$O:$O,[6]BV_Data_An_Cour!$U:$U,$B210,[6]BV_Data_An_Cour!$V:$V,$C210,[6]BV_Data_An_Cour!$W:$W,$L$2)</f>
        <v>6869.4</v>
      </c>
      <c r="M210" s="42"/>
      <c r="N210" s="60">
        <f t="shared" si="77"/>
        <v>-203.79166666666697</v>
      </c>
      <c r="O210" s="42"/>
      <c r="P210" s="14"/>
      <c r="Q210" s="34">
        <f>SUMIFS([6]BV_Data_An_Prec!$O:$O,[6]BV_Data_An_Prec!$U:$U,$B210,[6]BV_Data_An_Prec!$V:$V,$C210,[6]BV_Data_An_Prec!$W:$W,$L$2)</f>
        <v>12055.76</v>
      </c>
      <c r="R210" s="42"/>
      <c r="S210" s="86">
        <f t="shared" si="78"/>
        <v>-5186.3600000000006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2"/>
        <v>ServiceService gratuit 2</v>
      </c>
      <c r="B211" s="12" t="s">
        <v>84</v>
      </c>
      <c r="C211" s="30" t="s">
        <v>52</v>
      </c>
      <c r="D211" s="82"/>
      <c r="E211" s="14"/>
      <c r="F211" s="31">
        <f>+INDEX('[6]Budget original'!$A$2:$AO$496,MATCH($A211,'[6]Budget original'!$A$2:$A$496,0),MATCH(F$2,'[6]Budget original'!$A$2:$AO$2,0))</f>
        <v>3681.3243353251628</v>
      </c>
      <c r="G211" s="84"/>
      <c r="H211" s="14"/>
      <c r="I211" s="31">
        <f>+INDEX('[6]Budget révisé'!$A$2:$AO$496,MATCH($A211,'[6]Budget révisé'!$A$2:$A$496,0),MATCH(I$2,'[6]Budget révisé'!$A$2:$AO$2,0))</f>
        <v>3681.3243353251628</v>
      </c>
      <c r="J211" s="42"/>
      <c r="K211" s="14"/>
      <c r="L211" s="531">
        <f>SUMIFS([6]BV_Data_An_Cour!$O:$O,[6]BV_Data_An_Cour!$U:$U,$B211,[6]BV_Data_An_Cour!$V:$V,$C211,[6]BV_Data_An_Cour!$W:$W,$L$2)</f>
        <v>4856.21</v>
      </c>
      <c r="M211" s="42"/>
      <c r="N211" s="60">
        <f t="shared" si="77"/>
        <v>1174.8856646748372</v>
      </c>
      <c r="O211" s="42"/>
      <c r="P211" s="14"/>
      <c r="Q211" s="34">
        <f>SUMIFS([6]BV_Data_An_Prec!$O:$O,[6]BV_Data_An_Prec!$U:$U,$B211,[6]BV_Data_An_Prec!$V:$V,$C211,[6]BV_Data_An_Prec!$W:$W,$L$2)</f>
        <v>2820.89</v>
      </c>
      <c r="R211" s="42"/>
      <c r="S211" s="86">
        <f t="shared" si="78"/>
        <v>2035.3200000000002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2"/>
        <v>ServiceFrais véhicules de cie</v>
      </c>
      <c r="B212" s="12" t="s">
        <v>84</v>
      </c>
      <c r="C212" s="88" t="s">
        <v>53</v>
      </c>
      <c r="D212" s="89"/>
      <c r="E212" s="117"/>
      <c r="F212" s="23">
        <f>+INDEX('[6]Budget original'!$A$2:$AO$496,MATCH($A212,'[6]Budget original'!$A$2:$A$496,0),MATCH(F$2,'[6]Budget original'!$A$2:$AO$2,0))</f>
        <v>21064.080000000002</v>
      </c>
      <c r="G212" s="91"/>
      <c r="H212" s="117"/>
      <c r="I212" s="23">
        <f>+INDEX('[6]Budget révisé'!$A$2:$AO$496,MATCH($A212,'[6]Budget révisé'!$A$2:$A$496,0),MATCH(I$2,'[6]Budget révisé'!$A$2:$AO$2,0))</f>
        <v>21064.080000000002</v>
      </c>
      <c r="J212" s="24"/>
      <c r="K212" s="117"/>
      <c r="L212" s="34">
        <f>SUMIFS([6]BV_Data_An_Cour!$O:$O,[6]BV_Data_An_Cour!$U:$U,$B212,[6]BV_Data_An_Cour!$V:$V,$C212,[6]BV_Data_An_Cour!$W:$W,$L$2)</f>
        <v>18069.37</v>
      </c>
      <c r="M212" s="24"/>
      <c r="N212" s="94">
        <f t="shared" si="77"/>
        <v>-2994.7100000000028</v>
      </c>
      <c r="O212" s="24"/>
      <c r="P212" s="117"/>
      <c r="Q212" s="34">
        <f>SUMIFS([6]BV_Data_An_Prec!$O:$O,[6]BV_Data_An_Prec!$U:$U,$B212,[6]BV_Data_An_Prec!$V:$V,$C212,[6]BV_Data_An_Prec!$W:$W,$L$2)</f>
        <v>16710.490000000002</v>
      </c>
      <c r="R212" s="24"/>
      <c r="S212" s="95">
        <f t="shared" si="78"/>
        <v>1358.8799999999974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2"/>
        <v>ServiceInformatique</v>
      </c>
      <c r="B213" s="12" t="s">
        <v>84</v>
      </c>
      <c r="C213" s="30" t="s">
        <v>54</v>
      </c>
      <c r="D213" s="82"/>
      <c r="E213" s="14"/>
      <c r="F213" s="31">
        <f>+INDEX('[6]Budget original'!$A$2:$AO$496,MATCH($A213,'[6]Budget original'!$A$2:$A$496,0),MATCH(F$2,'[6]Budget original'!$A$2:$AO$2,0))</f>
        <v>4425.5472</v>
      </c>
      <c r="G213" s="84"/>
      <c r="H213" s="14"/>
      <c r="I213" s="31">
        <f>+INDEX('[6]Budget révisé'!$A$2:$AO$496,MATCH($A213,'[6]Budget révisé'!$A$2:$A$496,0),MATCH(I$2,'[6]Budget révisé'!$A$2:$AO$2,0))</f>
        <v>4425.5472</v>
      </c>
      <c r="J213" s="42"/>
      <c r="K213" s="14"/>
      <c r="L213" s="114">
        <f>SUMIFS([6]BV_Data_An_Cour!$O:$O,[6]BV_Data_An_Cour!$U:$U,$B213,[6]BV_Data_An_Cour!$V:$V,$C213,[6]BV_Data_An_Cour!$W:$W,$L$2)</f>
        <v>3896.62</v>
      </c>
      <c r="M213" s="42"/>
      <c r="N213" s="60">
        <f t="shared" si="77"/>
        <v>-528.92720000000008</v>
      </c>
      <c r="O213" s="42"/>
      <c r="P213" s="14"/>
      <c r="Q213" s="114">
        <f>SUMIFS([6]BV_Data_An_Prec!$O:$O,[6]BV_Data_An_Prec!$U:$U,$B213,[6]BV_Data_An_Prec!$V:$V,$C213,[6]BV_Data_An_Prec!$W:$W,$L$2)</f>
        <v>3844.55</v>
      </c>
      <c r="R213" s="42"/>
      <c r="S213" s="86">
        <f t="shared" si="78"/>
        <v>52.069999999999709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2"/>
        <v>ServiceFrais de déplacement</v>
      </c>
      <c r="B214" s="12" t="s">
        <v>84</v>
      </c>
      <c r="C214" s="30" t="s">
        <v>55</v>
      </c>
      <c r="D214" s="82"/>
      <c r="E214" s="14"/>
      <c r="F214" s="31">
        <f>+INDEX('[6]Budget original'!$A$2:$AO$496,MATCH($A214,'[6]Budget original'!$A$2:$A$496,0),MATCH(F$2,'[6]Budget original'!$A$2:$AO$2,0))</f>
        <v>1197.3725999999999</v>
      </c>
      <c r="G214" s="84"/>
      <c r="H214" s="14"/>
      <c r="I214" s="31">
        <f>+INDEX('[6]Budget révisé'!$A$2:$AO$496,MATCH($A214,'[6]Budget révisé'!$A$2:$A$496,0),MATCH(I$2,'[6]Budget révisé'!$A$2:$AO$2,0))</f>
        <v>1197.3725999999999</v>
      </c>
      <c r="J214" s="42"/>
      <c r="K214" s="14"/>
      <c r="L214" s="34">
        <f>SUMIFS([6]BV_Data_An_Cour!$O:$O,[6]BV_Data_An_Cour!$U:$U,$B214,[6]BV_Data_An_Cour!$V:$V,$C214,[6]BV_Data_An_Cour!$W:$W,$L$2)</f>
        <v>687.77</v>
      </c>
      <c r="M214" s="42"/>
      <c r="N214" s="60">
        <f t="shared" si="77"/>
        <v>-509.60259999999994</v>
      </c>
      <c r="O214" s="42"/>
      <c r="P214" s="14"/>
      <c r="Q214" s="34">
        <f>SUMIFS([6]BV_Data_An_Prec!$O:$O,[6]BV_Data_An_Prec!$U:$U,$B214,[6]BV_Data_An_Prec!$V:$V,$C214,[6]BV_Data_An_Prec!$W:$W,$L$2)</f>
        <v>1458.48</v>
      </c>
      <c r="R214" s="42"/>
      <c r="S214" s="86">
        <f t="shared" si="78"/>
        <v>-770.71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2"/>
        <v>ServiceServices extérieurs</v>
      </c>
      <c r="B215" s="12" t="s">
        <v>84</v>
      </c>
      <c r="C215" s="88" t="s">
        <v>56</v>
      </c>
      <c r="D215" s="89"/>
      <c r="E215" s="117"/>
      <c r="F215" s="23">
        <f>+INDEX('[6]Budget original'!$A$2:$AO$496,MATCH($A215,'[6]Budget original'!$A$2:$A$496,0),MATCH(F$2,'[6]Budget original'!$A$2:$AO$2,0))</f>
        <v>3849.5209999999993</v>
      </c>
      <c r="G215" s="91"/>
      <c r="H215" s="117"/>
      <c r="I215" s="23">
        <f>+INDEX('[6]Budget révisé'!$A$2:$AO$496,MATCH($A215,'[6]Budget révisé'!$A$2:$A$496,0),MATCH(I$2,'[6]Budget révisé'!$A$2:$AO$2,0))</f>
        <v>3849.5209999999993</v>
      </c>
      <c r="J215" s="24"/>
      <c r="K215" s="117"/>
      <c r="L215" s="34">
        <f>SUMIFS([6]BV_Data_An_Cour!$O:$O,[6]BV_Data_An_Cour!$U:$U,$B215,[6]BV_Data_An_Cour!$V:$V,$C215,[6]BV_Data_An_Cour!$W:$W,$L$2)</f>
        <v>2669.35</v>
      </c>
      <c r="M215" s="24"/>
      <c r="N215" s="94">
        <f t="shared" si="77"/>
        <v>-1180.1709999999994</v>
      </c>
      <c r="O215" s="24"/>
      <c r="P215" s="117"/>
      <c r="Q215" s="34">
        <f>SUMIFS([6]BV_Data_An_Prec!$O:$O,[6]BV_Data_An_Prec!$U:$U,$B215,[6]BV_Data_An_Prec!$V:$V,$C215,[6]BV_Data_An_Prec!$W:$W,$L$2)</f>
        <v>12418.02</v>
      </c>
      <c r="R215" s="24"/>
      <c r="S215" s="95">
        <f t="shared" si="78"/>
        <v>-9748.67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2"/>
        <v>ServiceFournitures d'atelier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f>SUMIFS([6]BV_Data_An_Cour!$O:$O,[6]BV_Data_An_Cour!$U:$U,$B216,[6]BV_Data_An_Cour!$V:$V,$C216,[6]BV_Data_An_Cour!$W:$W,$L$2)</f>
        <v>0</v>
      </c>
      <c r="M216" s="42"/>
      <c r="N216" s="60">
        <f t="shared" si="77"/>
        <v>0</v>
      </c>
      <c r="O216" s="42"/>
      <c r="P216" s="14"/>
      <c r="Q216" s="114">
        <f>SUMIFS([6]BV_Data_An_Prec!$O:$O,[6]BV_Data_An_Prec!$U:$U,$B216,[6]BV_Data_An_Prec!$V:$V,$C216,[6]BV_Data_An_Prec!$W:$W,$L$2)</f>
        <v>0</v>
      </c>
      <c r="R216" s="42"/>
      <c r="S216" s="86">
        <f t="shared" si="78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2"/>
        <v>ServiceFournitures autres</v>
      </c>
      <c r="B217" s="12" t="s">
        <v>84</v>
      </c>
      <c r="C217" s="30" t="s">
        <v>57</v>
      </c>
      <c r="D217" s="82"/>
      <c r="E217" s="14"/>
      <c r="F217" s="31">
        <f>+INDEX('[6]Budget original'!$A$2:$AO$496,MATCH($A217,'[6]Budget original'!$A$2:$A$496,0),MATCH(F$2,'[6]Budget original'!$A$2:$AO$2,0))</f>
        <v>520</v>
      </c>
      <c r="G217" s="84"/>
      <c r="H217" s="14"/>
      <c r="I217" s="31">
        <f>+INDEX('[6]Budget révisé'!$A$2:$AO$496,MATCH($A217,'[6]Budget révisé'!$A$2:$A$496,0),MATCH(I$2,'[6]Budget révisé'!$A$2:$AO$2,0))</f>
        <v>520</v>
      </c>
      <c r="J217" s="42"/>
      <c r="K217" s="14"/>
      <c r="L217" s="34">
        <f>SUMIFS([6]BV_Data_An_Cour!$O:$O,[6]BV_Data_An_Cour!$U:$U,$B217,[6]BV_Data_An_Cour!$V:$V,$C217,[6]BV_Data_An_Cour!$W:$W,$L$2)</f>
        <v>1377.24</v>
      </c>
      <c r="M217" s="42"/>
      <c r="N217" s="60">
        <f t="shared" si="77"/>
        <v>857.24</v>
      </c>
      <c r="O217" s="42"/>
      <c r="P217" s="14"/>
      <c r="Q217" s="34">
        <f>SUMIFS([6]BV_Data_An_Prec!$O:$O,[6]BV_Data_An_Prec!$U:$U,$B217,[6]BV_Data_An_Prec!$V:$V,$C217,[6]BV_Data_An_Prec!$W:$W,$L$2)</f>
        <v>440</v>
      </c>
      <c r="R217" s="42"/>
      <c r="S217" s="86">
        <f t="shared" si="78"/>
        <v>937.24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2"/>
        <v>ServiceUniformes</v>
      </c>
      <c r="B218" s="12" t="s">
        <v>84</v>
      </c>
      <c r="C218" s="30" t="s">
        <v>58</v>
      </c>
      <c r="D218" s="82"/>
      <c r="E218" s="14"/>
      <c r="F218" s="31">
        <f>+INDEX('[6]Budget original'!$A$2:$AO$496,MATCH($A218,'[6]Budget original'!$A$2:$A$496,0),MATCH(F$2,'[6]Budget original'!$A$2:$AO$2,0))</f>
        <v>1300</v>
      </c>
      <c r="G218" s="84"/>
      <c r="H218" s="14"/>
      <c r="I218" s="31">
        <f>+INDEX('[6]Budget révisé'!$A$2:$AO$496,MATCH($A218,'[6]Budget révisé'!$A$2:$A$496,0),MATCH(I$2,'[6]Budget révisé'!$A$2:$AO$2,0))</f>
        <v>1300</v>
      </c>
      <c r="J218" s="42"/>
      <c r="K218" s="14"/>
      <c r="L218" s="34">
        <f>SUMIFS([6]BV_Data_An_Cour!$O:$O,[6]BV_Data_An_Cour!$U:$U,$B218,[6]BV_Data_An_Cour!$V:$V,$C218,[6]BV_Data_An_Cour!$W:$W,$L$2)</f>
        <v>423.83</v>
      </c>
      <c r="M218" s="42"/>
      <c r="N218" s="60">
        <f t="shared" si="77"/>
        <v>-876.17000000000007</v>
      </c>
      <c r="O218" s="42"/>
      <c r="P218" s="14"/>
      <c r="Q218" s="34">
        <f>SUMIFS([6]BV_Data_An_Prec!$O:$O,[6]BV_Data_An_Prec!$U:$U,$B218,[6]BV_Data_An_Prec!$V:$V,$C218,[6]BV_Data_An_Prec!$W:$W,$L$2)</f>
        <v>1300</v>
      </c>
      <c r="R218" s="42"/>
      <c r="S218" s="86">
        <f t="shared" si="78"/>
        <v>-876.17000000000007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2"/>
        <v>ServicePapeterie</v>
      </c>
      <c r="B219" s="12" t="s">
        <v>84</v>
      </c>
      <c r="C219" s="30" t="s">
        <v>59</v>
      </c>
      <c r="D219" s="82"/>
      <c r="E219" s="14"/>
      <c r="F219" s="31">
        <f>+INDEX('[6]Budget original'!$A$2:$AO$496,MATCH($A219,'[6]Budget original'!$A$2:$A$496,0),MATCH(F$2,'[6]Budget original'!$A$2:$AO$2,0))</f>
        <v>523.19999999999993</v>
      </c>
      <c r="G219" s="84"/>
      <c r="H219" s="14"/>
      <c r="I219" s="31">
        <f>+INDEX('[6]Budget révisé'!$A$2:$AO$496,MATCH($A219,'[6]Budget révisé'!$A$2:$A$496,0),MATCH(I$2,'[6]Budget révisé'!$A$2:$AO$2,0))</f>
        <v>523.19999999999993</v>
      </c>
      <c r="J219" s="42"/>
      <c r="K219" s="14"/>
      <c r="L219" s="33">
        <f>SUMIFS([6]BV_Data_An_Cour!$O:$O,[6]BV_Data_An_Cour!$U:$U,$B219,[6]BV_Data_An_Cour!$V:$V,$C219,[6]BV_Data_An_Cour!$W:$W,$L$2)</f>
        <v>479.16</v>
      </c>
      <c r="M219" s="42"/>
      <c r="N219" s="60">
        <f t="shared" si="77"/>
        <v>-44.039999999999907</v>
      </c>
      <c r="O219" s="42"/>
      <c r="P219" s="14"/>
      <c r="Q219" s="33">
        <f>SUMIFS([6]BV_Data_An_Prec!$O:$O,[6]BV_Data_An_Prec!$U:$U,$B219,[6]BV_Data_An_Prec!$V:$V,$C219,[6]BV_Data_An_Prec!$W:$W,$L$2)</f>
        <v>444</v>
      </c>
      <c r="R219" s="42"/>
      <c r="S219" s="86">
        <f t="shared" si="78"/>
        <v>35.160000000000025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2"/>
        <v>ServiceTéléphone</v>
      </c>
      <c r="B220" s="12" t="s">
        <v>84</v>
      </c>
      <c r="C220" s="30" t="s">
        <v>60</v>
      </c>
      <c r="D220" s="82"/>
      <c r="E220" s="14"/>
      <c r="F220" s="31">
        <f>+INDEX('[6]Budget original'!$A$2:$AO$496,MATCH($A220,'[6]Budget original'!$A$2:$A$496,0),MATCH(F$2,'[6]Budget original'!$A$2:$AO$2,0))</f>
        <v>461.18399999999997</v>
      </c>
      <c r="G220" s="84"/>
      <c r="H220" s="14"/>
      <c r="I220" s="31">
        <f>+INDEX('[6]Budget révisé'!$A$2:$AO$496,MATCH($A220,'[6]Budget révisé'!$A$2:$A$496,0),MATCH(I$2,'[6]Budget révisé'!$A$2:$AO$2,0))</f>
        <v>461.18399999999997</v>
      </c>
      <c r="J220" s="42"/>
      <c r="K220" s="14"/>
      <c r="L220" s="34">
        <f>SUMIFS([6]BV_Data_An_Cour!$O:$O,[6]BV_Data_An_Cour!$U:$U,$B220,[6]BV_Data_An_Cour!$V:$V,$C220,[6]BV_Data_An_Cour!$W:$W,$L$2)</f>
        <v>203.5</v>
      </c>
      <c r="M220" s="42"/>
      <c r="N220" s="60">
        <f t="shared" si="77"/>
        <v>-257.68399999999997</v>
      </c>
      <c r="O220" s="42"/>
      <c r="P220" s="14"/>
      <c r="Q220" s="34">
        <f>SUMIFS([6]BV_Data_An_Prec!$O:$O,[6]BV_Data_An_Prec!$U:$U,$B220,[6]BV_Data_An_Prec!$V:$V,$C220,[6]BV_Data_An_Prec!$W:$W,$L$2)</f>
        <v>544.4</v>
      </c>
      <c r="R220" s="42"/>
      <c r="S220" s="86">
        <f t="shared" si="78"/>
        <v>-340.9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2"/>
        <v>ServiceFrais postaux</v>
      </c>
      <c r="B221" s="12" t="s">
        <v>84</v>
      </c>
      <c r="C221" s="30" t="s">
        <v>61</v>
      </c>
      <c r="D221" s="82"/>
      <c r="E221" s="14"/>
      <c r="F221" s="31">
        <f>+INDEX('[6]Budget original'!$A$2:$AO$496,MATCH($A221,'[6]Budget original'!$A$2:$A$496,0),MATCH(F$2,'[6]Budget original'!$A$2:$AO$2,0))</f>
        <v>207.6</v>
      </c>
      <c r="G221" s="84"/>
      <c r="H221" s="14"/>
      <c r="I221" s="31">
        <f>+INDEX('[6]Budget révisé'!$A$2:$AO$496,MATCH($A221,'[6]Budget révisé'!$A$2:$A$496,0),MATCH(I$2,'[6]Budget révisé'!$A$2:$AO$2,0))</f>
        <v>207.6</v>
      </c>
      <c r="J221" s="42"/>
      <c r="K221" s="14"/>
      <c r="L221" s="34">
        <f>SUMIFS([6]BV_Data_An_Cour!$O:$O,[6]BV_Data_An_Cour!$U:$U,$B221,[6]BV_Data_An_Cour!$V:$V,$C221,[6]BV_Data_An_Cour!$W:$W,$L$2)</f>
        <v>114.64</v>
      </c>
      <c r="M221" s="42"/>
      <c r="N221" s="60">
        <f t="shared" si="77"/>
        <v>-92.96</v>
      </c>
      <c r="O221" s="42"/>
      <c r="P221" s="14"/>
      <c r="Q221" s="34">
        <f>SUMIFS([6]BV_Data_An_Prec!$O:$O,[6]BV_Data_An_Prec!$U:$U,$B221,[6]BV_Data_An_Prec!$V:$V,$C221,[6]BV_Data_An_Prec!$W:$W,$L$2)</f>
        <v>49.62</v>
      </c>
      <c r="R221" s="42"/>
      <c r="S221" s="86">
        <f t="shared" si="78"/>
        <v>65.02000000000001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2"/>
        <v>ServiceDivers</v>
      </c>
      <c r="B222" s="12" t="s">
        <v>84</v>
      </c>
      <c r="C222" s="30" t="s">
        <v>62</v>
      </c>
      <c r="D222" s="82"/>
      <c r="E222" s="14"/>
      <c r="F222" s="31">
        <f>+INDEX('[6]Budget original'!$A$2:$AO$496,MATCH($A222,'[6]Budget original'!$A$2:$A$496,0),MATCH(F$2,'[6]Budget original'!$A$2:$AO$2,0))</f>
        <v>961.83999999999992</v>
      </c>
      <c r="G222" s="84"/>
      <c r="H222" s="14"/>
      <c r="I222" s="31">
        <f>+INDEX('[6]Budget révisé'!$A$2:$AO$496,MATCH($A222,'[6]Budget révisé'!$A$2:$A$496,0),MATCH(I$2,'[6]Budget révisé'!$A$2:$AO$2,0))</f>
        <v>961.83999999999992</v>
      </c>
      <c r="J222" s="42"/>
      <c r="K222" s="14"/>
      <c r="L222" s="34">
        <f>SUMIFS([6]BV_Data_An_Cour!$O:$O,[6]BV_Data_An_Cour!$U:$U,$B222,[6]BV_Data_An_Cour!$V:$V,$C222,[6]BV_Data_An_Cour!$W:$W,$L$2)</f>
        <v>898.81</v>
      </c>
      <c r="M222" s="42"/>
      <c r="N222" s="60">
        <f t="shared" si="77"/>
        <v>-63.029999999999973</v>
      </c>
      <c r="O222" s="42"/>
      <c r="P222" s="14"/>
      <c r="Q222" s="34">
        <f>SUMIFS([6]BV_Data_An_Prec!$O:$O,[6]BV_Data_An_Prec!$U:$U,$B222,[6]BV_Data_An_Prec!$V:$V,$C222,[6]BV_Data_An_Prec!$W:$W,$L$2)</f>
        <v>1272.23</v>
      </c>
      <c r="R222" s="42"/>
      <c r="S222" s="86">
        <f t="shared" si="78"/>
        <v>-373.42000000000007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2"/>
        <v>ServiceFormation</v>
      </c>
      <c r="B223" s="12" t="s">
        <v>84</v>
      </c>
      <c r="C223" s="30" t="s">
        <v>63</v>
      </c>
      <c r="D223" s="82"/>
      <c r="E223" s="14"/>
      <c r="F223" s="31">
        <f>+INDEX('[6]Budget original'!$A$2:$AO$496,MATCH($A223,'[6]Budget original'!$A$2:$A$496,0),MATCH(F$2,'[6]Budget original'!$A$2:$AO$2,0))</f>
        <v>1391.26</v>
      </c>
      <c r="G223" s="84"/>
      <c r="H223" s="14"/>
      <c r="I223" s="31">
        <f>+INDEX('[6]Budget révisé'!$A$2:$AO$496,MATCH($A223,'[6]Budget révisé'!$A$2:$A$496,0),MATCH(I$2,'[6]Budget révisé'!$A$2:$AO$2,0))</f>
        <v>1391.26</v>
      </c>
      <c r="J223" s="42"/>
      <c r="K223" s="14"/>
      <c r="L223" s="34">
        <f>SUMIFS([6]BV_Data_An_Cour!$O:$O,[6]BV_Data_An_Cour!$U:$U,$B223,[6]BV_Data_An_Cour!$V:$V,$C223,[6]BV_Data_An_Cour!$W:$W,$L$2)</f>
        <v>2298.75</v>
      </c>
      <c r="M223" s="42"/>
      <c r="N223" s="60">
        <f t="shared" si="77"/>
        <v>907.49</v>
      </c>
      <c r="O223" s="42"/>
      <c r="P223" s="14"/>
      <c r="Q223" s="34">
        <f>SUMIFS([6]BV_Data_An_Prec!$O:$O,[6]BV_Data_An_Prec!$U:$U,$B223,[6]BV_Data_An_Prec!$V:$V,$C223,[6]BV_Data_An_Prec!$W:$W,$L$2)</f>
        <v>2786.67</v>
      </c>
      <c r="R223" s="42"/>
      <c r="S223" s="86">
        <f t="shared" si="78"/>
        <v>-487.92000000000007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2"/>
        <v>ServiceFrais bancaires</v>
      </c>
      <c r="B224" s="12" t="s">
        <v>84</v>
      </c>
      <c r="C224" s="30" t="s">
        <v>64</v>
      </c>
      <c r="D224" s="82"/>
      <c r="E224" s="14"/>
      <c r="F224" s="31">
        <f>+INDEX('[6]Budget original'!$A$2:$AO$496,MATCH($A224,'[6]Budget original'!$A$2:$A$496,0),MATCH(F$2,'[6]Budget original'!$A$2:$AO$2,0))</f>
        <v>2752.9930502907059</v>
      </c>
      <c r="G224" s="84"/>
      <c r="H224" s="14"/>
      <c r="I224" s="31">
        <f>+INDEX('[6]Budget révisé'!$A$2:$AO$496,MATCH($A224,'[6]Budget révisé'!$A$2:$A$496,0),MATCH(I$2,'[6]Budget révisé'!$A$2:$AO$2,0))</f>
        <v>2752.9930502907059</v>
      </c>
      <c r="J224" s="42"/>
      <c r="K224" s="14"/>
      <c r="L224" s="34">
        <f>AF447*W5</f>
        <v>1551.4222500000001</v>
      </c>
      <c r="M224" s="42"/>
      <c r="N224" s="60">
        <f t="shared" si="77"/>
        <v>-1201.5708002907058</v>
      </c>
      <c r="O224" s="42"/>
      <c r="P224" s="14"/>
      <c r="Q224" s="34">
        <f>AL447*W5</f>
        <v>1840.5562500000001</v>
      </c>
      <c r="R224" s="42"/>
      <c r="S224" s="86">
        <f t="shared" si="78"/>
        <v>-289.13400000000001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2"/>
        <v>Service[...]</v>
      </c>
      <c r="B225" s="12" t="s">
        <v>84</v>
      </c>
      <c r="C225" s="30" t="s">
        <v>21</v>
      </c>
      <c r="D225" s="82"/>
      <c r="E225" s="14"/>
      <c r="F225" s="31">
        <f>+INDEX('[6]Budget original'!$A$2:$AO$496,MATCH($A225,'[6]Budget original'!$A$2:$A$496,0),MATCH(F$2,'[6]Budget original'!$A$2:$AO$2,0))</f>
        <v>0</v>
      </c>
      <c r="G225" s="84"/>
      <c r="H225" s="14"/>
      <c r="I225" s="31">
        <f>+INDEX('[6]Budget révisé'!$A$2:$AO$496,MATCH($A225,'[6]Budget révisé'!$A$2:$A$496,0),MATCH(I$2,'[6]Budget révisé'!$A$2:$AO$2,0))</f>
        <v>0</v>
      </c>
      <c r="J225" s="42"/>
      <c r="K225" s="14"/>
      <c r="L225" s="34">
        <f>SUMIFS([6]BV_Data_An_Cour!$O:$O,[6]BV_Data_An_Cour!$U:$U,$B225,[6]BV_Data_An_Cour!$V:$V,$C225,[6]BV_Data_An_Cour!$W:$W,$L$2)</f>
        <v>0</v>
      </c>
      <c r="M225" s="42"/>
      <c r="N225" s="60">
        <f t="shared" si="77"/>
        <v>0</v>
      </c>
      <c r="O225" s="42"/>
      <c r="P225" s="14"/>
      <c r="Q225" s="34">
        <f>SUMIFS([6]BV_Data_An_Prec!$O:$O,[6]BV_Data_An_Prec!$U:$U,$B225,[6]BV_Data_An_Prec!$V:$V,$C225,[6]BV_Data_An_Prec!$W:$W,$L$2)</f>
        <v>0</v>
      </c>
      <c r="R225" s="42"/>
      <c r="S225" s="86">
        <f t="shared" si="78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+INDEX('[6]Budget original'!$A$2:$AO$496,MATCH($A226,'[6]Budget original'!$A$2:$A$496,0),MATCH(F$2,'[6]Budget original'!$A$2:$AO$2,0))</f>
        <v>0</v>
      </c>
      <c r="G226" s="84"/>
      <c r="H226" s="14"/>
      <c r="I226" s="31">
        <f>+INDEX('[6]Budget révisé'!$A$2:$AO$496,MATCH($A226,'[6]Budget révisé'!$A$2:$A$496,0),MATCH(I$2,'[6]Budget révisé'!$A$2:$AO$2,0))</f>
        <v>0</v>
      </c>
      <c r="J226" s="42"/>
      <c r="K226" s="14"/>
      <c r="L226" s="34">
        <f>SUMIFS([6]BV_Data_An_Cour!$O:$O,[6]BV_Data_An_Cour!$U:$U,$B226,[6]BV_Data_An_Cour!$V:$V,$C226,[6]BV_Data_An_Cour!$W:$W,$L$2)</f>
        <v>0</v>
      </c>
      <c r="M226" s="42"/>
      <c r="N226" s="60">
        <f t="shared" si="77"/>
        <v>0</v>
      </c>
      <c r="O226" s="42"/>
      <c r="P226" s="14"/>
      <c r="Q226" s="34">
        <f>SUMIFS([6]BV_Data_An_Prec!$O:$O,[6]BV_Data_An_Prec!$U:$U,$B226,[6]BV_Data_An_Prec!$V:$V,$C226,[6]BV_Data_An_Prec!$W:$W,$L$2)</f>
        <v>0</v>
      </c>
      <c r="R226" s="42"/>
      <c r="S226" s="86">
        <f t="shared" si="78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2"/>
        <v>Service[...]</v>
      </c>
      <c r="B227" s="12" t="s">
        <v>84</v>
      </c>
      <c r="C227" s="30" t="s">
        <v>21</v>
      </c>
      <c r="D227" s="82"/>
      <c r="E227" s="14"/>
      <c r="F227" s="31">
        <f>+INDEX('[6]Budget original'!$A$2:$AO$496,MATCH($A227,'[6]Budget original'!$A$2:$A$496,0),MATCH(F$2,'[6]Budget original'!$A$2:$AO$2,0))</f>
        <v>0</v>
      </c>
      <c r="G227" s="84"/>
      <c r="H227" s="14"/>
      <c r="I227" s="31">
        <f>+INDEX('[6]Budget révisé'!$A$2:$AO$496,MATCH($A227,'[6]Budget révisé'!$A$2:$A$496,0),MATCH(I$2,'[6]Budget révisé'!$A$2:$AO$2,0))</f>
        <v>0</v>
      </c>
      <c r="J227" s="42"/>
      <c r="K227" s="14"/>
      <c r="L227" s="34">
        <f>SUMIFS([6]BV_Data_An_Cour!$O:$O,[6]BV_Data_An_Cour!$U:$U,$B227,[6]BV_Data_An_Cour!$V:$V,$C227,[6]BV_Data_An_Cour!$W:$W,$L$2)</f>
        <v>0</v>
      </c>
      <c r="M227" s="42"/>
      <c r="N227" s="60">
        <f t="shared" si="77"/>
        <v>0</v>
      </c>
      <c r="O227" s="42"/>
      <c r="P227" s="14"/>
      <c r="Q227" s="34">
        <f>SUMIFS([6]BV_Data_An_Prec!$O:$O,[6]BV_Data_An_Prec!$U:$U,$B227,[6]BV_Data_An_Prec!$V:$V,$C227,[6]BV_Data_An_Prec!$W:$W,$L$2)</f>
        <v>0</v>
      </c>
      <c r="R227" s="42"/>
      <c r="S227" s="86">
        <f t="shared" si="78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0.22593593030854348</v>
      </c>
      <c r="F228" s="102">
        <f>+SUM(F210:F227)</f>
        <v>49409.113852282535</v>
      </c>
      <c r="G228" s="103" t="s">
        <v>98</v>
      </c>
      <c r="H228" s="101">
        <f>I228/I$193</f>
        <v>0.22593593030854348</v>
      </c>
      <c r="I228" s="102">
        <f>+SUM(I210:I227)</f>
        <v>49409.113852282535</v>
      </c>
      <c r="J228" s="103" t="s">
        <v>98</v>
      </c>
      <c r="K228" s="101">
        <f>L228/L$193</f>
        <v>0.25388475031571128</v>
      </c>
      <c r="L228" s="102">
        <f>+SUM(L210:L227)</f>
        <v>44396.072249999997</v>
      </c>
      <c r="M228" s="106"/>
      <c r="N228" s="102">
        <f t="shared" si="77"/>
        <v>-5013.0416022825375</v>
      </c>
      <c r="O228" s="103" t="s">
        <v>98</v>
      </c>
      <c r="P228" s="101">
        <f>Q228/Q$193</f>
        <v>0.27284014814176988</v>
      </c>
      <c r="Q228" s="102">
        <f>+SUM(Q210:Q227)</f>
        <v>57985.666250000009</v>
      </c>
      <c r="R228" s="106"/>
      <c r="S228" s="107">
        <f t="shared" si="78"/>
        <v>-13589.594000000012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0.74144267940875164</v>
      </c>
      <c r="F230" s="102">
        <f>F209+F228</f>
        <v>162143.42584563745</v>
      </c>
      <c r="G230" s="103" t="s">
        <v>40</v>
      </c>
      <c r="H230" s="101">
        <f>I230/I$193</f>
        <v>0.74144267940875164</v>
      </c>
      <c r="I230" s="102">
        <f>I209+I228</f>
        <v>162143.42584563745</v>
      </c>
      <c r="J230" s="103" t="s">
        <v>40</v>
      </c>
      <c r="K230" s="101">
        <f>L230/L$193</f>
        <v>0.79328992006097443</v>
      </c>
      <c r="L230" s="102">
        <f>L209+L228</f>
        <v>138720.25225000002</v>
      </c>
      <c r="M230" s="106"/>
      <c r="N230" s="119">
        <f t="shared" ref="N230:N232" si="79">L230-I230</f>
        <v>-23423.173595637432</v>
      </c>
      <c r="O230" s="103" t="s">
        <v>40</v>
      </c>
      <c r="P230" s="101">
        <f>Q230/Q$193</f>
        <v>0.76139974421971124</v>
      </c>
      <c r="Q230" s="102">
        <f>Q209+Q228</f>
        <v>161817.35625000001</v>
      </c>
      <c r="R230" s="106"/>
      <c r="S230" s="120">
        <f>L230-Q230</f>
        <v>-23097.103999999992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79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f>F193-F230</f>
        <v>56542.968057307851</v>
      </c>
      <c r="G232" s="160"/>
      <c r="H232" s="131"/>
      <c r="I232" s="133">
        <f>I193-I230</f>
        <v>56542.968057307851</v>
      </c>
      <c r="J232" s="161"/>
      <c r="K232" s="132"/>
      <c r="L232" s="133">
        <f>L193-L230</f>
        <v>36146.777749999979</v>
      </c>
      <c r="M232" s="161"/>
      <c r="N232" s="133">
        <f t="shared" si="79"/>
        <v>-20396.190307307872</v>
      </c>
      <c r="O232" s="161"/>
      <c r="P232" s="132"/>
      <c r="Q232" s="133">
        <f>Q193-Q230</f>
        <v>50708.793750000012</v>
      </c>
      <c r="R232" s="161"/>
      <c r="S232" s="135">
        <f>L232-Q232</f>
        <v>-14562.016000000032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Mai 2021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19" t="s">
        <v>5</v>
      </c>
      <c r="E237" s="520"/>
      <c r="F237" s="521"/>
      <c r="G237" s="522" t="s">
        <v>75</v>
      </c>
      <c r="H237" s="520"/>
      <c r="I237" s="521"/>
      <c r="J237" s="522" t="s">
        <v>7</v>
      </c>
      <c r="K237" s="520"/>
      <c r="L237" s="521"/>
      <c r="M237" s="522" t="s">
        <v>8</v>
      </c>
      <c r="N237" s="521"/>
      <c r="O237" s="519" t="s">
        <v>9</v>
      </c>
      <c r="P237" s="520"/>
      <c r="Q237" s="521"/>
      <c r="R237" s="522" t="s">
        <v>10</v>
      </c>
      <c r="S237" s="523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0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0"/>
        <v>Carrosserie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0"/>
        <v>CarrosserieM/O Sous-traitement</v>
      </c>
      <c r="B240" s="12" t="s">
        <v>100</v>
      </c>
      <c r="C240" s="30" t="s">
        <v>101</v>
      </c>
      <c r="D240" s="81">
        <f>+INDEX('[6]Budget original'!$A$2:$AO$496,MATCH($A240,'[6]Budget original'!$A$2:$A$496,0),MATCH(D$2,'[6]Budget original'!$A$2:$AO$2,0))</f>
        <v>0</v>
      </c>
      <c r="E240" s="83">
        <f>+INDEX('[6]Budget original'!$A$2:$AO$496,MATCH($A240,'[6]Budget original'!$A$2:$A$496,0),MATCH(E$2,'[6]Budget original'!$A$2:$AO$2,0))</f>
        <v>104359.36299929337</v>
      </c>
      <c r="F240" s="83">
        <f>+INDEX('[6]Budget original'!$A$2:$AO$496,MATCH($A240,'[6]Budget original'!$A$2:$A$496,0),MATCH(F$2,'[6]Budget original'!$A$2:$AO$2,0))</f>
        <v>23777.011623893057</v>
      </c>
      <c r="G240" s="163">
        <f>+INDEX('[6]Budget révisé'!$A$2:$AO$496,MATCH($A240,'[6]Budget révisé'!$A$2:$A$496,0),MATCH(G$2,'[6]Budget révisé'!$A$2:$AO$2,0))</f>
        <v>0</v>
      </c>
      <c r="H240" s="83">
        <f>+INDEX('[6]Budget révisé'!$A$2:$AO$496,MATCH($A240,'[6]Budget révisé'!$A$2:$A$496,0),MATCH(H$2,'[6]Budget révisé'!$A$2:$AO$2,0))</f>
        <v>104359.36299929337</v>
      </c>
      <c r="I240" s="83">
        <f>+INDEX('[6]Budget révisé'!$A$2:$AO$496,MATCH($A240,'[6]Budget révisé'!$A$2:$A$496,0),MATCH(I$2,'[6]Budget révisé'!$A$2:$AO$2,0))</f>
        <v>23777.011623893057</v>
      </c>
      <c r="J240" s="61">
        <f>-SUMIFS([6]BV_Data_An_Cour!$O:$O,[6]BV_Data_An_Cour!$U:$U,$B240,[6]BV_Data_An_Cour!$V:$V,$C240,[6]BV_Data_An_Cour!$W:$W,J$2)</f>
        <v>42</v>
      </c>
      <c r="K240" s="31">
        <f>-SUMIFS([6]BV_Data_An_Cour!$O:$O,[6]BV_Data_An_Cour!$X:$X,"Oui",[6]BV_Data_An_Cour!$U:$U,$B240,[6]BV_Data_An_Cour!$V:$V,$C240)</f>
        <v>49052.24</v>
      </c>
      <c r="L240" s="34">
        <f>-SUMIFS([6]BV_Data_An_Cour!$O:$O,[6]BV_Data_An_Cour!$U:$U,$B240,[6]BV_Data_An_Cour!$V:$V,$C240,[6]BV_Data_An_Cour!$W:$W,$L$2)</f>
        <v>10604.860000000002</v>
      </c>
      <c r="M240" s="164">
        <f>IFERROR((K240-H240)/H240,0)</f>
        <v>-0.52996800104718789</v>
      </c>
      <c r="N240" s="60">
        <f>L240-I240</f>
        <v>-13172.151623893054</v>
      </c>
      <c r="O240" s="61">
        <f>-SUMIFS([6]BV_Data_An_Prec!$O:$O,[6]BV_Data_An_Prec!$U:$U,$B240,[6]BV_Data_An_Prec!$V:$V,$C240,[6]BV_Data_An_Prec!$W:$W,O$2)</f>
        <v>112</v>
      </c>
      <c r="P240" s="31">
        <f>-SUMIFS([6]BV_Data_An_Prec!$O:$O,[6]BV_Data_An_Prec!$X:$X,"Oui",[6]BV_Data_An_Prec!$U:$U,$B240,[6]BV_Data_An_Prec!$V:$V,$C240)</f>
        <v>129195.84</v>
      </c>
      <c r="Q240" s="34">
        <f>-SUMIFS([6]BV_Data_An_Prec!$O:$O,[6]BV_Data_An_Prec!$U:$U,$B240,[6]BV_Data_An_Prec!$V:$V,$C240,[6]BV_Data_An_Prec!$W:$W,$L$2)</f>
        <v>28651.699999999997</v>
      </c>
      <c r="R240" s="164">
        <f>IF(O240=0,0,J240/O240)</f>
        <v>0.375</v>
      </c>
      <c r="S240" s="86">
        <f>L240-Q240</f>
        <v>-18046.839999999997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0"/>
        <v>Carrosserie% profit / ventes</v>
      </c>
      <c r="B241" s="12" t="s">
        <v>100</v>
      </c>
      <c r="C241" s="30" t="s">
        <v>88</v>
      </c>
      <c r="D241" s="81"/>
      <c r="E241" s="150"/>
      <c r="F241" s="165">
        <f>IFERROR(F240/E240,0)</f>
        <v>0.22783783783783784</v>
      </c>
      <c r="G241" s="42"/>
      <c r="H241" s="150"/>
      <c r="I241" s="165">
        <f>IFERROR(I240/H240,0)</f>
        <v>0.22783783783783784</v>
      </c>
      <c r="J241" s="61"/>
      <c r="K241" s="14"/>
      <c r="L241" s="165">
        <f>IFERROR(L240/K240,0)</f>
        <v>0.21619522370436095</v>
      </c>
      <c r="M241" s="164"/>
      <c r="N241" s="60">
        <f>IFERROR(N240/M240,0)</f>
        <v>24854.616878501343</v>
      </c>
      <c r="O241" s="61"/>
      <c r="P241" s="14"/>
      <c r="Q241" s="165">
        <f>IFERROR(Q240/P240,0)</f>
        <v>0.22176952446766085</v>
      </c>
      <c r="R241" s="61"/>
      <c r="S241" s="86">
        <f>IFERROR(S240/R240,0)</f>
        <v>-48124.906666666655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0"/>
        <v>Carrosserie</v>
      </c>
      <c r="B242" s="12" t="s">
        <v>100</v>
      </c>
      <c r="C242" s="30"/>
      <c r="D242" s="81"/>
      <c r="E242" s="216"/>
      <c r="F242" s="217"/>
      <c r="G242" s="141"/>
      <c r="H242" s="216"/>
      <c r="I242" s="217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0"/>
        <v>CarrosserieM/O Carrosserie</v>
      </c>
      <c r="B243" s="12" t="s">
        <v>100</v>
      </c>
      <c r="C243" s="15" t="s">
        <v>102</v>
      </c>
      <c r="D243" s="111">
        <f>+INDEX('[6]Budget original'!$A$2:$AO$496,MATCH($A243,'[6]Budget original'!$A$2:$A$496,0),MATCH(D$2,'[6]Budget original'!$A$2:$AO$2,0))</f>
        <v>0</v>
      </c>
      <c r="E243" s="83">
        <f>+INDEX('[6]Budget original'!$A$2:$AO$496,MATCH($A243,'[6]Budget original'!$A$2:$A$496,0),MATCH(E$2,'[6]Budget original'!$A$2:$AO$2,0))</f>
        <v>0</v>
      </c>
      <c r="F243" s="83">
        <f>+INDEX('[6]Budget original'!$A$2:$AO$496,MATCH($A243,'[6]Budget original'!$A$2:$A$496,0),MATCH(F$2,'[6]Budget original'!$A$2:$AO$2,0))</f>
        <v>0</v>
      </c>
      <c r="G243" s="219">
        <f>+INDEX('[6]Budget révisé'!$A$2:$AO$496,MATCH($A243,'[6]Budget révisé'!$A$2:$A$496,0),MATCH(G$2,'[6]Budget révisé'!$A$2:$AO$2,0))</f>
        <v>0</v>
      </c>
      <c r="H243" s="83">
        <f>+INDEX('[6]Budget révisé'!$A$2:$AO$496,MATCH($A243,'[6]Budget révisé'!$A$2:$A$496,0),MATCH(H$2,'[6]Budget révisé'!$A$2:$AO$2,0))</f>
        <v>0</v>
      </c>
      <c r="I243" s="83">
        <f>+INDEX('[6]Budget révisé'!$A$2:$AO$496,MATCH($A243,'[6]Budget révisé'!$A$2:$A$496,0),MATCH(I$2,'[6]Budget révisé'!$A$2:$AO$2,0))</f>
        <v>0</v>
      </c>
      <c r="J243" s="172">
        <f>SUMIFS([6]BV_Data_An_Cour!$C$1:$C$636,[6]BV_Data_An_Cour!$V$1:$V$636,$C243,[6]BV_Data_An_Cour!$U$1:$U$636,$K$235)</f>
        <v>0</v>
      </c>
      <c r="K243" s="173">
        <f>-SUMIFS([6]BV_Data_An_Cour!$O:$O,[6]BV_Data_An_Cour!$X:$X,"Oui",[6]BV_Data_An_Cour!$U:$U,$B243,[6]BV_Data_An_Cour!$V:$V,$C243)</f>
        <v>0</v>
      </c>
      <c r="L243" s="114">
        <f>-SUMIFS([6]BV_Data_An_Cour!$O:$O,[6]BV_Data_An_Cour!$U:$U,$B243,[6]BV_Data_An_Cour!$V:$V,$C243,[6]BV_Data_An_Cour!$W:$W,$L$2)</f>
        <v>0</v>
      </c>
      <c r="M243" s="182" t="e">
        <f>(K243-H243)/H243</f>
        <v>#DIV/0!</v>
      </c>
      <c r="N243" s="115">
        <f>L243-I243</f>
        <v>0</v>
      </c>
      <c r="O243" s="172">
        <f>SUMIFS([6]BV_Data_An_Prec!$C$1:$C$637,[6]BV_Data_An_Prec!$V$1:$V$637,$C243,[6]BV_Data_An_Prec!$U$1:$U$637,$K$235)</f>
        <v>0</v>
      </c>
      <c r="P243" s="173">
        <f>-SUMIFS([6]BV_Data_An_Prec!$O:$O,[6]BV_Data_An_Prec!$X:$X,"Oui",[6]BV_Data_An_Prec!$U:$U,$B243,[6]BV_Data_An_Prec!$V:$V,$C243)</f>
        <v>0</v>
      </c>
      <c r="Q243" s="114">
        <f>-SUMIFS([6]BV_Data_An_Prec!$O:$O,[6]BV_Data_An_Prec!$U:$U,$B243,[6]BV_Data_An_Prec!$V:$V,$C243,[6]BV_Data_An_Prec!$W:$W,$L$2)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0"/>
        <v>Carrosserie% profit / ventes</v>
      </c>
      <c r="B244" s="12" t="s">
        <v>100</v>
      </c>
      <c r="C244" s="30" t="s">
        <v>88</v>
      </c>
      <c r="D244" s="14"/>
      <c r="E244" s="150"/>
      <c r="F244" s="165" t="e">
        <f>F243/E243</f>
        <v>#DIV/0!</v>
      </c>
      <c r="G244" s="42"/>
      <c r="H244" s="150"/>
      <c r="I244" s="165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0"/>
        <v>Carrosserie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0"/>
        <v>CarrosserieM/O Esthétique Carr.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f>SUMIFS([6]BV_Data_An_Cour!$C$1:$C$636,[6]BV_Data_An_Cour!$V$1:$V$636,$C246,[6]BV_Data_An_Cour!$U$1:$U$636,$K$235)</f>
        <v>0</v>
      </c>
      <c r="K246" s="31">
        <f>-SUMIFS([6]BV_Data_An_Cour!$O:$O,[6]BV_Data_An_Cour!$X:$X,"Oui",[6]BV_Data_An_Cour!$U:$U,$B246,[6]BV_Data_An_Cour!$V:$V,$C246)</f>
        <v>0</v>
      </c>
      <c r="L246" s="34">
        <f>-SUMIFS([6]BV_Data_An_Cour!$O:$O,[6]BV_Data_An_Cour!$U:$U,$B246,[6]BV_Data_An_Cour!$V:$V,$C246,[6]BV_Data_An_Cour!$W:$W,$L$2)</f>
        <v>0</v>
      </c>
      <c r="M246" s="164" t="e">
        <f>(K246-H246)/H246</f>
        <v>#DIV/0!</v>
      </c>
      <c r="N246" s="115">
        <f>L246-I246</f>
        <v>0</v>
      </c>
      <c r="O246" s="172">
        <f>SUMIFS([6]BV_Data_An_Prec!$C$1:$C$637,[6]BV_Data_An_Prec!$V$1:$V$637,$C246,[6]BV_Data_An_Prec!$U$1:$U$637,$K$235)</f>
        <v>0</v>
      </c>
      <c r="P246" s="31">
        <f>-SUMIFS([6]BV_Data_An_Prec!$O:$O,[6]BV_Data_An_Prec!$X:$X,"Oui",[6]BV_Data_An_Prec!$U:$U,$B246,[6]BV_Data_An_Prec!$V:$V,$C246)</f>
        <v>0</v>
      </c>
      <c r="Q246" s="34">
        <f>-SUMIFS([6]BV_Data_An_Prec!$O:$O,[6]BV_Data_An_Prec!$U:$U,$B246,[6]BV_Data_An_Prec!$V:$V,$C246,[6]BV_Data_An_Prec!$W:$W,$L$2)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0"/>
        <v>Carrosserie% profit / ventes</v>
      </c>
      <c r="B247" s="12" t="s">
        <v>100</v>
      </c>
      <c r="C247" s="30" t="s">
        <v>88</v>
      </c>
      <c r="D247" s="14"/>
      <c r="E247" s="14"/>
      <c r="F247" s="165" t="e">
        <f>F246/E246</f>
        <v>#DIV/0!</v>
      </c>
      <c r="G247" s="42"/>
      <c r="H247" s="14"/>
      <c r="I247" s="165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0"/>
        <v>Carrosserie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0"/>
        <v>CarrosserieTotal Mécanique</v>
      </c>
      <c r="B249" s="12" t="s">
        <v>100</v>
      </c>
      <c r="C249" s="63" t="s">
        <v>97</v>
      </c>
      <c r="D249" s="64"/>
      <c r="E249" s="64">
        <f t="shared" ref="E249:F249" si="81">E243+E246+E240</f>
        <v>104359.36299929337</v>
      </c>
      <c r="F249" s="66">
        <f t="shared" si="81"/>
        <v>23777.011623893057</v>
      </c>
      <c r="G249" s="67"/>
      <c r="H249" s="64">
        <f t="shared" ref="H249:I249" si="82">H243+H246+H240</f>
        <v>104359.36299929337</v>
      </c>
      <c r="I249" s="66">
        <f t="shared" si="82"/>
        <v>23777.011623893057</v>
      </c>
      <c r="J249" s="67"/>
      <c r="K249" s="64">
        <f t="shared" ref="K249:L249" si="83">K243+K246+K240</f>
        <v>49052.24</v>
      </c>
      <c r="L249" s="66">
        <f t="shared" si="83"/>
        <v>10604.860000000002</v>
      </c>
      <c r="M249" s="215">
        <f>L250-I250</f>
        <v>-1.1642614133476892E-2</v>
      </c>
      <c r="N249" s="66">
        <f>L249-I249</f>
        <v>-13172.151623893054</v>
      </c>
      <c r="O249" s="67"/>
      <c r="P249" s="64">
        <f t="shared" ref="P249:Q249" si="84">P243+P246+P240</f>
        <v>129195.84</v>
      </c>
      <c r="Q249" s="66">
        <f t="shared" si="84"/>
        <v>28651.699999999997</v>
      </c>
      <c r="R249" s="215">
        <f>L250-Q250</f>
        <v>-5.5743007632998998E-3</v>
      </c>
      <c r="S249" s="69">
        <f>L249-Q249</f>
        <v>-18046.839999999997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0"/>
        <v>Carrosserie</v>
      </c>
      <c r="B250" s="12" t="s">
        <v>100</v>
      </c>
      <c r="C250" s="70"/>
      <c r="D250" s="71"/>
      <c r="E250" s="71"/>
      <c r="F250" s="75">
        <f>F249/E249</f>
        <v>0.22783783783783784</v>
      </c>
      <c r="G250" s="73"/>
      <c r="H250" s="71"/>
      <c r="I250" s="75">
        <f>I249/H249</f>
        <v>0.22783783783783784</v>
      </c>
      <c r="J250" s="73"/>
      <c r="K250" s="71"/>
      <c r="L250" s="75">
        <f>IF(K249=0,0,L249/K249)</f>
        <v>0.21619522370436095</v>
      </c>
      <c r="M250" s="74"/>
      <c r="N250" s="75">
        <f>N249/I249</f>
        <v>-0.55398684377378249</v>
      </c>
      <c r="O250" s="73"/>
      <c r="P250" s="71"/>
      <c r="Q250" s="75">
        <f>IF(P249=0,0,Q249/P249)</f>
        <v>0.22176952446766085</v>
      </c>
      <c r="R250" s="74"/>
      <c r="S250" s="76">
        <f>IF(R249=0,0,S249/R249)</f>
        <v>3237507.4052008176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0"/>
        <v>Carrosserie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0"/>
        <v>CarrosserieDEPENSES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0"/>
        <v>CarrosserieSalaires cadres</v>
      </c>
      <c r="B253" s="12" t="s">
        <v>100</v>
      </c>
      <c r="C253" s="108" t="s">
        <v>42</v>
      </c>
      <c r="D253" s="14"/>
      <c r="E253" s="14"/>
      <c r="F253" s="31">
        <f>+INDEX('[6]Budget original'!$A$2:$AO$496,MATCH($A253,'[6]Budget original'!$A$2:$A$496,0),MATCH(F$2,'[6]Budget original'!$A$2:$AO$2,0))</f>
        <v>296.76398467432955</v>
      </c>
      <c r="G253" s="42"/>
      <c r="H253" s="14"/>
      <c r="I253" s="31">
        <f>+INDEX('[6]Budget révisé'!$A$2:$AO$496,MATCH($A253,'[6]Budget révisé'!$A$2:$A$496,0),MATCH(I$2,'[6]Budget révisé'!$A$2:$AO$2,0))</f>
        <v>296.76398467432955</v>
      </c>
      <c r="J253" s="42"/>
      <c r="K253" s="14"/>
      <c r="L253" s="34">
        <f>SUMIFS([6]BV_Data_An_Cour!$O:$O,[6]BV_Data_An_Cour!$U:$U,$B253,[6]BV_Data_An_Cour!$V:$V,$C253,[6]BV_Data_An_Cour!$W:$W,$L$2)</f>
        <v>809.12</v>
      </c>
      <c r="M253" s="42"/>
      <c r="N253" s="60">
        <f t="shared" ref="N253:N283" si="85">L253-I253</f>
        <v>512.35601532567046</v>
      </c>
      <c r="O253" s="42"/>
      <c r="P253" s="14"/>
      <c r="Q253" s="34">
        <f>SUMIFS([6]BV_Data_An_Prec!$O:$O,[6]BV_Data_An_Prec!$U:$U,$B253,[6]BV_Data_An_Prec!$V:$V,$C253,[6]BV_Data_An_Prec!$W:$W,$L$2)</f>
        <v>383.42</v>
      </c>
      <c r="R253" s="42"/>
      <c r="S253" s="35">
        <f>L253-Q253</f>
        <v>425.7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0"/>
        <v>CarrosserieSalaires commis</v>
      </c>
      <c r="B254" s="12" t="s">
        <v>100</v>
      </c>
      <c r="C254" s="109" t="s">
        <v>43</v>
      </c>
      <c r="D254" s="82"/>
      <c r="E254" s="14"/>
      <c r="F254" s="23">
        <f>+INDEX('[6]Budget original'!$A$2:$AO$496,MATCH($A254,'[6]Budget original'!$A$2:$A$496,0),MATCH(F$2,'[6]Budget original'!$A$2:$AO$2,0))</f>
        <v>557.18669667432948</v>
      </c>
      <c r="G254" s="84"/>
      <c r="H254" s="14"/>
      <c r="I254" s="23">
        <f>+INDEX('[6]Budget révisé'!$A$2:$AO$496,MATCH($A254,'[6]Budget révisé'!$A$2:$A$496,0),MATCH(I$2,'[6]Budget révisé'!$A$2:$AO$2,0))</f>
        <v>557.18669667432948</v>
      </c>
      <c r="J254" s="42"/>
      <c r="K254" s="14"/>
      <c r="L254" s="34">
        <f>SUMIFS([6]BV_Data_An_Cour!$O:$O,[6]BV_Data_An_Cour!$U:$U,$B254,[6]BV_Data_An_Cour!$V:$V,$C254,[6]BV_Data_An_Cour!$W:$W,$L$2)</f>
        <v>545.36</v>
      </c>
      <c r="M254" s="42"/>
      <c r="N254" s="60">
        <f t="shared" si="85"/>
        <v>-11.826696674329469</v>
      </c>
      <c r="O254" s="42"/>
      <c r="P254" s="14"/>
      <c r="Q254" s="34">
        <f>SUMIFS([6]BV_Data_An_Prec!$O:$O,[6]BV_Data_An_Prec!$U:$U,$B254,[6]BV_Data_An_Prec!$V:$V,$C254,[6]BV_Data_An_Prec!$W:$W,$L$2)</f>
        <v>1310.9</v>
      </c>
      <c r="R254" s="42"/>
      <c r="S254" s="86">
        <f>L254-Q254</f>
        <v>-765.54000000000008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0"/>
        <v>CarrosserieSalaires autres</v>
      </c>
      <c r="B255" s="12" t="s">
        <v>100</v>
      </c>
      <c r="C255" s="108" t="s">
        <v>44</v>
      </c>
      <c r="D255" s="110"/>
      <c r="E255" s="111"/>
      <c r="F255" s="31">
        <f>+INDEX('[6]Budget original'!$A$2:$AO$496,MATCH($A255,'[6]Budget original'!$A$2:$A$496,0),MATCH(F$2,'[6]Budget original'!$A$2:$AO$2,0))</f>
        <v>3454.5361019340994</v>
      </c>
      <c r="G255" s="112"/>
      <c r="H255" s="111"/>
      <c r="I255" s="31">
        <f>+INDEX('[6]Budget révisé'!$A$2:$AO$496,MATCH($A255,'[6]Budget révisé'!$A$2:$A$496,0),MATCH(I$2,'[6]Budget révisé'!$A$2:$AO$2,0))</f>
        <v>3454.5361019340994</v>
      </c>
      <c r="J255" s="113"/>
      <c r="K255" s="111"/>
      <c r="L255" s="114">
        <f>SUMIFS([6]BV_Data_An_Cour!$O:$O,[6]BV_Data_An_Cour!$U:$U,$B255,[6]BV_Data_An_Cour!$V:$V,$C255,[6]BV_Data_An_Cour!$W:$W,$L$2)</f>
        <v>3707.1</v>
      </c>
      <c r="M255" s="113"/>
      <c r="N255" s="115">
        <f t="shared" si="85"/>
        <v>252.5638980659005</v>
      </c>
      <c r="O255" s="113"/>
      <c r="P255" s="111"/>
      <c r="Q255" s="114">
        <f>SUMIFS([6]BV_Data_An_Prec!$O:$O,[6]BV_Data_An_Prec!$U:$U,$B255,[6]BV_Data_An_Prec!$V:$V,$C255,[6]BV_Data_An_Prec!$W:$W,$L$2)</f>
        <v>7020.54</v>
      </c>
      <c r="R255" s="113"/>
      <c r="S255" s="116">
        <f t="shared" ref="S255:S284" si="86">L255-Q255</f>
        <v>-3313.44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0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+INDEX('[6]Budget original'!$A$2:$AO$496,MATCH($A256,'[6]Budget original'!$A$2:$A$496,0),MATCH(F$2,'[6]Budget original'!$A$2:$AO$2,0))</f>
        <v>3579.3189425287355</v>
      </c>
      <c r="G256" s="84"/>
      <c r="H256" s="14"/>
      <c r="I256" s="31">
        <f>+INDEX('[6]Budget révisé'!$A$2:$AO$496,MATCH($A256,'[6]Budget révisé'!$A$2:$A$496,0),MATCH(I$2,'[6]Budget révisé'!$A$2:$AO$2,0))</f>
        <v>3579.3189425287355</v>
      </c>
      <c r="J256" s="42"/>
      <c r="K256" s="14"/>
      <c r="L256" s="34">
        <f>SUMIFS([6]BV_Data_An_Cour!$O:$O,[6]BV_Data_An_Cour!$U:$U,$B256,[6]BV_Data_An_Cour!$V:$V,$C256,[6]BV_Data_An_Cour!$W:$W,$L$2)</f>
        <v>2023.11</v>
      </c>
      <c r="M256" s="42"/>
      <c r="N256" s="60">
        <f t="shared" si="85"/>
        <v>-1556.2089425287356</v>
      </c>
      <c r="O256" s="42"/>
      <c r="P256" s="14"/>
      <c r="Q256" s="34">
        <f>SUMIFS([6]BV_Data_An_Prec!$O:$O,[6]BV_Data_An_Prec!$U:$U,$B256,[6]BV_Data_An_Prec!$V:$V,$C256,[6]BV_Data_An_Prec!$W:$W,$L$2)</f>
        <v>6988.16</v>
      </c>
      <c r="R256" s="42"/>
      <c r="S256" s="86">
        <f t="shared" si="86"/>
        <v>-4965.05</v>
      </c>
      <c r="T256" s="14"/>
      <c r="U256" s="532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0"/>
        <v>Carrosserie[...]</v>
      </c>
      <c r="B257" s="12" t="s">
        <v>100</v>
      </c>
      <c r="C257" s="30" t="s">
        <v>21</v>
      </c>
      <c r="D257" s="82"/>
      <c r="E257" s="14"/>
      <c r="F257" s="31">
        <f>+INDEX('[6]Budget original'!$A$2:$AO$496,MATCH($A257,'[6]Budget original'!$A$2:$A$496,0),MATCH(F$2,'[6]Budget original'!$A$2:$AO$2,0))</f>
        <v>0</v>
      </c>
      <c r="G257" s="84"/>
      <c r="H257" s="14"/>
      <c r="I257" s="31">
        <f>+INDEX('[6]Budget révisé'!$A$2:$AO$496,MATCH($A257,'[6]Budget révisé'!$A$2:$A$496,0),MATCH(I$2,'[6]Budget révisé'!$A$2:$AO$2,0))</f>
        <v>0</v>
      </c>
      <c r="J257" s="42"/>
      <c r="K257" s="14"/>
      <c r="L257" s="34">
        <f>SUMIFS([6]BV_Data_An_Cour!$O:$O,[6]BV_Data_An_Cour!$U:$U,$B257,[6]BV_Data_An_Cour!$V:$V,$C257,[6]BV_Data_An_Cour!$W:$W,$L$2)</f>
        <v>0</v>
      </c>
      <c r="M257" s="42"/>
      <c r="N257" s="60">
        <f t="shared" si="85"/>
        <v>0</v>
      </c>
      <c r="O257" s="42"/>
      <c r="P257" s="14"/>
      <c r="Q257" s="34">
        <f>SUMIFS([6]BV_Data_An_Prec!$O:$O,[6]BV_Data_An_Prec!$U:$U,$B257,[6]BV_Data_An_Prec!$V:$V,$C257,[6]BV_Data_An_Prec!$W:$W,$L$2)</f>
        <v>0</v>
      </c>
      <c r="R257" s="42"/>
      <c r="S257" s="86">
        <f t="shared" si="86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0"/>
        <v>Carrosserie[...]</v>
      </c>
      <c r="B258" s="12" t="s">
        <v>100</v>
      </c>
      <c r="C258" s="30" t="s">
        <v>21</v>
      </c>
      <c r="D258" s="82"/>
      <c r="E258" s="14"/>
      <c r="F258" s="31">
        <f>+INDEX('[6]Budget original'!$A$2:$AO$496,MATCH($A258,'[6]Budget original'!$A$2:$A$496,0),MATCH(F$2,'[6]Budget original'!$A$2:$AO$2,0))</f>
        <v>0</v>
      </c>
      <c r="G258" s="84"/>
      <c r="H258" s="14"/>
      <c r="I258" s="31">
        <f>+INDEX('[6]Budget révisé'!$A$2:$AO$496,MATCH($A258,'[6]Budget révisé'!$A$2:$A$496,0),MATCH(I$2,'[6]Budget révisé'!$A$2:$AO$2,0))</f>
        <v>0</v>
      </c>
      <c r="J258" s="42"/>
      <c r="K258" s="14"/>
      <c r="L258" s="34">
        <f>SUMIFS([6]BV_Data_An_Cour!$O:$O,[6]BV_Data_An_Cour!$U:$U,$B258,[6]BV_Data_An_Cour!$V:$V,$C258,[6]BV_Data_An_Cour!$W:$W,$L$2)</f>
        <v>0</v>
      </c>
      <c r="M258" s="42"/>
      <c r="N258" s="60">
        <f t="shared" si="85"/>
        <v>0</v>
      </c>
      <c r="O258" s="42"/>
      <c r="P258" s="14"/>
      <c r="Q258" s="34">
        <f>SUMIFS([6]BV_Data_An_Prec!$O:$O,[6]BV_Data_An_Prec!$U:$U,$B258,[6]BV_Data_An_Prec!$V:$V,$C258,[6]BV_Data_An_Prec!$W:$W,$L$2)</f>
        <v>0</v>
      </c>
      <c r="R258" s="42"/>
      <c r="S258" s="86">
        <f t="shared" si="86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0"/>
        <v>Carrosserie[...]</v>
      </c>
      <c r="B259" s="12" t="s">
        <v>100</v>
      </c>
      <c r="C259" s="30" t="s">
        <v>21</v>
      </c>
      <c r="D259" s="82"/>
      <c r="E259" s="14"/>
      <c r="F259" s="31">
        <f>+INDEX('[6]Budget original'!$A$2:$AO$496,MATCH($A259,'[6]Budget original'!$A$2:$A$496,0),MATCH(F$2,'[6]Budget original'!$A$2:$AO$2,0))</f>
        <v>0</v>
      </c>
      <c r="G259" s="84"/>
      <c r="H259" s="14"/>
      <c r="I259" s="31">
        <f>+INDEX('[6]Budget révisé'!$A$2:$AO$496,MATCH($A259,'[6]Budget révisé'!$A$2:$A$496,0),MATCH(I$2,'[6]Budget révisé'!$A$2:$AO$2,0))</f>
        <v>0</v>
      </c>
      <c r="J259" s="42"/>
      <c r="K259" s="14"/>
      <c r="L259" s="34">
        <f>SUMIFS([6]BV_Data_An_Cour!$O:$O,[6]BV_Data_An_Cour!$U:$U,$B259,[6]BV_Data_An_Cour!$V:$V,$C259,[6]BV_Data_An_Cour!$W:$W,$L$2)</f>
        <v>0</v>
      </c>
      <c r="M259" s="42"/>
      <c r="N259" s="60">
        <f t="shared" si="85"/>
        <v>0</v>
      </c>
      <c r="O259" s="42"/>
      <c r="P259" s="14"/>
      <c r="Q259" s="34">
        <f>SUMIFS([6]BV_Data_An_Prec!$O:$O,[6]BV_Data_An_Prec!$U:$U,$B259,[6]BV_Data_An_Prec!$V:$V,$C259,[6]BV_Data_An_Prec!$W:$W,$L$2)</f>
        <v>0</v>
      </c>
      <c r="R259" s="42"/>
      <c r="S259" s="86">
        <f t="shared" si="86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0"/>
        <v>CarrosserieSalaires en absences</v>
      </c>
      <c r="B260" s="12" t="s">
        <v>100</v>
      </c>
      <c r="C260" s="109" t="s">
        <v>46</v>
      </c>
      <c r="D260" s="82"/>
      <c r="E260" s="14"/>
      <c r="F260" s="23">
        <f>+INDEX('[6]Budget original'!$A$2:$AO$496,MATCH($A260,'[6]Budget original'!$A$2:$A$496,0),MATCH(F$2,'[6]Budget original'!$A$2:$AO$2,0))</f>
        <v>946.53668709737929</v>
      </c>
      <c r="G260" s="84"/>
      <c r="H260" s="14"/>
      <c r="I260" s="23">
        <f>+INDEX('[6]Budget révisé'!$A$2:$AO$496,MATCH($A260,'[6]Budget révisé'!$A$2:$A$496,0),MATCH(I$2,'[6]Budget révisé'!$A$2:$AO$2,0))</f>
        <v>946.53668709737929</v>
      </c>
      <c r="J260" s="42"/>
      <c r="K260" s="14"/>
      <c r="L260" s="34">
        <f>SUMIFS([6]BV_Data_An_Cour!$O:$O,[6]BV_Data_An_Cour!$U:$U,$B260,[6]BV_Data_An_Cour!$V:$V,$C260,[6]BV_Data_An_Cour!$W:$W,$L$2)</f>
        <v>379.21</v>
      </c>
      <c r="M260" s="42"/>
      <c r="N260" s="60">
        <f t="shared" si="85"/>
        <v>-567.32668709737936</v>
      </c>
      <c r="O260" s="42"/>
      <c r="P260" s="14"/>
      <c r="Q260" s="34">
        <f>SUMIFS([6]BV_Data_An_Prec!$O:$O,[6]BV_Data_An_Prec!$U:$U,$B260,[6]BV_Data_An_Prec!$V:$V,$C260,[6]BV_Data_An_Prec!$W:$W,$L$2)</f>
        <v>1270.52</v>
      </c>
      <c r="R260" s="42"/>
      <c r="S260" s="86">
        <f t="shared" si="86"/>
        <v>-891.31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0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+INDEX('[6]Budget original'!$A$2:$AO$496,MATCH($A261,'[6]Budget original'!$A$2:$A$496,0),MATCH(F$2,'[6]Budget original'!$A$2:$AO$2,0))</f>
        <v>946.53668709737929</v>
      </c>
      <c r="G261" s="112"/>
      <c r="H261" s="111"/>
      <c r="I261" s="31">
        <f>+INDEX('[6]Budget révisé'!$A$2:$AO$496,MATCH($A261,'[6]Budget révisé'!$A$2:$A$496,0),MATCH(I$2,'[6]Budget révisé'!$A$2:$AO$2,0))</f>
        <v>946.53668709737929</v>
      </c>
      <c r="J261" s="113"/>
      <c r="K261" s="111"/>
      <c r="L261" s="114">
        <f>SUMIFS([6]BV_Data_An_Cour!$O:$O,[6]BV_Data_An_Cour!$U:$U,$B261,[6]BV_Data_An_Cour!$V:$V,$C261,[6]BV_Data_An_Cour!$W:$W,$L$2)</f>
        <v>764.14</v>
      </c>
      <c r="M261" s="113"/>
      <c r="N261" s="115">
        <f t="shared" si="85"/>
        <v>-182.3966870973793</v>
      </c>
      <c r="O261" s="113"/>
      <c r="P261" s="111"/>
      <c r="Q261" s="114">
        <f>SUMIFS([6]BV_Data_An_Prec!$O:$O,[6]BV_Data_An_Prec!$U:$U,$B261,[6]BV_Data_An_Prec!$V:$V,$C261,[6]BV_Data_An_Prec!$W:$W,$L$2)</f>
        <v>1258.19</v>
      </c>
      <c r="R261" s="113"/>
      <c r="S261" s="116">
        <f t="shared" si="86"/>
        <v>-494.05000000000007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0"/>
        <v>CarrosserieBénéfices marginaux</v>
      </c>
      <c r="B262" s="12" t="s">
        <v>100</v>
      </c>
      <c r="C262" s="108" t="s">
        <v>48</v>
      </c>
      <c r="D262" s="82"/>
      <c r="E262" s="14"/>
      <c r="F262" s="31">
        <f>+INDEX('[6]Budget original'!$A$2:$AO$496,MATCH($A262,'[6]Budget original'!$A$2:$A$496,0),MATCH(F$2,'[6]Budget original'!$A$2:$AO$2,0))</f>
        <v>678.35129241978848</v>
      </c>
      <c r="G262" s="84"/>
      <c r="H262" s="14"/>
      <c r="I262" s="31">
        <f>+INDEX('[6]Budget révisé'!$A$2:$AO$496,MATCH($A262,'[6]Budget révisé'!$A$2:$A$496,0),MATCH(I$2,'[6]Budget révisé'!$A$2:$AO$2,0))</f>
        <v>678.35129241978848</v>
      </c>
      <c r="J262" s="42"/>
      <c r="K262" s="14"/>
      <c r="L262" s="34">
        <f>SUMIFS([6]BV_Data_An_Cour!$O:$O,[6]BV_Data_An_Cour!$U:$U,$B262,[6]BV_Data_An_Cour!$V:$V,$C262,[6]BV_Data_An_Cour!$W:$W,$L$2)</f>
        <v>547.63</v>
      </c>
      <c r="M262" s="42"/>
      <c r="N262" s="60">
        <f t="shared" si="85"/>
        <v>-130.72129241978848</v>
      </c>
      <c r="O262" s="42"/>
      <c r="P262" s="14"/>
      <c r="Q262" s="34">
        <f>SUMIFS([6]BV_Data_An_Prec!$O:$O,[6]BV_Data_An_Prec!$U:$U,$B262,[6]BV_Data_An_Prec!$V:$V,$C262,[6]BV_Data_An_Prec!$W:$W,$L$2)</f>
        <v>532.33000000000004</v>
      </c>
      <c r="R262" s="42"/>
      <c r="S262" s="86">
        <f t="shared" si="86"/>
        <v>15.299999999999955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0"/>
        <v>CarrosserieCsst</v>
      </c>
      <c r="B263" s="12" t="s">
        <v>100</v>
      </c>
      <c r="C263" s="108" t="s">
        <v>49</v>
      </c>
      <c r="D263" s="82"/>
      <c r="E263" s="14"/>
      <c r="F263" s="31">
        <f>+INDEX('[6]Budget original'!$A$2:$AO$496,MATCH($A263,'[6]Budget original'!$A$2:$A$496,0),MATCH(F$2,'[6]Budget original'!$A$2:$AO$2,0))</f>
        <v>157.75611451622987</v>
      </c>
      <c r="G263" s="84"/>
      <c r="H263" s="14"/>
      <c r="I263" s="31">
        <f>+INDEX('[6]Budget révisé'!$A$2:$AO$496,MATCH($A263,'[6]Budget révisé'!$A$2:$A$496,0),MATCH(I$2,'[6]Budget révisé'!$A$2:$AO$2,0))</f>
        <v>157.75611451622987</v>
      </c>
      <c r="J263" s="42"/>
      <c r="K263" s="14"/>
      <c r="L263" s="34">
        <f>SUMIFS([6]BV_Data_An_Cour!$O:$O,[6]BV_Data_An_Cour!$U:$U,$B263,[6]BV_Data_An_Cour!$V:$V,$C263,[6]BV_Data_An_Cour!$W:$W,$L$2)</f>
        <v>127.36</v>
      </c>
      <c r="M263" s="42"/>
      <c r="N263" s="60">
        <f t="shared" si="85"/>
        <v>-30.396114516229872</v>
      </c>
      <c r="O263" s="42"/>
      <c r="P263" s="14"/>
      <c r="Q263" s="34">
        <f>SUMIFS([6]BV_Data_An_Prec!$O:$O,[6]BV_Data_An_Prec!$U:$U,$B263,[6]BV_Data_An_Prec!$V:$V,$C263,[6]BV_Data_An_Prec!$W:$W,$L$2)</f>
        <v>278.86</v>
      </c>
      <c r="R263" s="42"/>
      <c r="S263" s="86">
        <f t="shared" si="86"/>
        <v>-151.5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0"/>
        <v>Carrosserie[...]</v>
      </c>
      <c r="B264" s="12" t="s">
        <v>100</v>
      </c>
      <c r="C264" s="30" t="s">
        <v>21</v>
      </c>
      <c r="D264" s="89"/>
      <c r="E264" s="117"/>
      <c r="F264" s="31">
        <f>+INDEX('[6]Budget original'!$A$2:$AO$496,MATCH($A264,'[6]Budget original'!$A$2:$A$496,0),MATCH(F$2,'[6]Budget original'!$A$2:$AO$2,0))</f>
        <v>0</v>
      </c>
      <c r="G264" s="91"/>
      <c r="H264" s="117"/>
      <c r="I264" s="31">
        <f>+INDEX('[6]Budget révisé'!$A$2:$AO$496,MATCH($A264,'[6]Budget révisé'!$A$2:$A$496,0),MATCH(I$2,'[6]Budget révisé'!$A$2:$AO$2,0))</f>
        <v>0</v>
      </c>
      <c r="J264" s="24"/>
      <c r="K264" s="117"/>
      <c r="L264" s="34">
        <f>SUMIFS([6]BV_Data_An_Cour!$O:$O,[6]BV_Data_An_Cour!$U:$U,$B264,[6]BV_Data_An_Cour!$V:$V,$C264,[6]BV_Data_An_Cour!$W:$W,$L$2)</f>
        <v>0</v>
      </c>
      <c r="M264" s="24"/>
      <c r="N264" s="94">
        <f t="shared" si="85"/>
        <v>0</v>
      </c>
      <c r="O264" s="24"/>
      <c r="P264" s="117"/>
      <c r="Q264" s="34">
        <f>SUMIFS([6]BV_Data_An_Prec!$O:$O,[6]BV_Data_An_Prec!$U:$U,$B264,[6]BV_Data_An_Prec!$V:$V,$C264,[6]BV_Data_An_Prec!$W:$W,$L$2)</f>
        <v>0</v>
      </c>
      <c r="R264" s="24"/>
      <c r="S264" s="95">
        <f t="shared" si="86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0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2">
        <f>+SUM(F253:F264)</f>
        <v>10616.98650694227</v>
      </c>
      <c r="G265" s="103" t="s">
        <v>40</v>
      </c>
      <c r="H265" s="101" t="e">
        <f>I265/I$243</f>
        <v>#DIV/0!</v>
      </c>
      <c r="I265" s="102">
        <f>+SUM(I253:I264)</f>
        <v>10616.98650694227</v>
      </c>
      <c r="J265" s="103" t="s">
        <v>40</v>
      </c>
      <c r="K265" s="101">
        <f>IF(L243=0,0,L265/L$243)</f>
        <v>0</v>
      </c>
      <c r="L265" s="102">
        <f>+SUM(L253:L264)</f>
        <v>8903.0299999999988</v>
      </c>
      <c r="M265" s="154"/>
      <c r="N265" s="119">
        <f t="shared" si="85"/>
        <v>-1713.9565069422715</v>
      </c>
      <c r="O265" s="103" t="s">
        <v>40</v>
      </c>
      <c r="P265" s="101">
        <f>IF(Q243=0,0,Q265/Q$243)</f>
        <v>0</v>
      </c>
      <c r="Q265" s="102">
        <f>+SUM(Q253:Q264)</f>
        <v>19042.920000000002</v>
      </c>
      <c r="R265" s="154"/>
      <c r="S265" s="120">
        <f t="shared" si="86"/>
        <v>-10139.890000000003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0"/>
        <v>CarrosseriePublicité 2</v>
      </c>
      <c r="B266" s="12" t="s">
        <v>100</v>
      </c>
      <c r="C266" s="221" t="s">
        <v>51</v>
      </c>
      <c r="D266" s="82"/>
      <c r="E266" s="14"/>
      <c r="F266" s="31">
        <f>+INDEX('[6]Budget original'!$A$2:$AO$496,MATCH($A266,'[6]Budget original'!$A$2:$A$496,0),MATCH(F$2,'[6]Budget original'!$A$2:$AO$2,0))</f>
        <v>0</v>
      </c>
      <c r="G266" s="84"/>
      <c r="H266" s="14"/>
      <c r="I266" s="31">
        <f>+INDEX('[6]Budget révisé'!$A$2:$AO$496,MATCH($A266,'[6]Budget révisé'!$A$2:$A$496,0),MATCH(I$2,'[6]Budget révisé'!$A$2:$AO$2,0))</f>
        <v>0</v>
      </c>
      <c r="J266" s="42"/>
      <c r="K266" s="14"/>
      <c r="L266" s="34">
        <f>SUMIFS([6]BV_Data_An_Cour!$O:$O,[6]BV_Data_An_Cour!$U:$U,$B266,[6]BV_Data_An_Cour!$V:$V,$C266,[6]BV_Data_An_Cour!$W:$W,$L$2)</f>
        <v>7.0000000000000007E-2</v>
      </c>
      <c r="M266" s="42"/>
      <c r="N266" s="60">
        <f t="shared" si="85"/>
        <v>7.0000000000000007E-2</v>
      </c>
      <c r="O266" s="42"/>
      <c r="P266" s="14"/>
      <c r="Q266" s="34">
        <f>SUMIFS([6]BV_Data_An_Prec!$O:$O,[6]BV_Data_An_Prec!$U:$U,$B266,[6]BV_Data_An_Prec!$V:$V,$C266,[6]BV_Data_An_Prec!$W:$W,$L$2)</f>
        <v>0</v>
      </c>
      <c r="R266" s="42"/>
      <c r="S266" s="86">
        <f t="shared" si="86"/>
        <v>7.0000000000000007E-2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0"/>
        <v>CarrosserieService gratuit 2</v>
      </c>
      <c r="B267" s="12" t="s">
        <v>100</v>
      </c>
      <c r="C267" s="108" t="s">
        <v>52</v>
      </c>
      <c r="D267" s="82"/>
      <c r="E267" s="14"/>
      <c r="F267" s="31">
        <f>+INDEX('[6]Budget original'!$A$2:$AO$496,MATCH($A267,'[6]Budget original'!$A$2:$A$496,0),MATCH(F$2,'[6]Budget original'!$A$2:$AO$2,0))</f>
        <v>1327.4300283816012</v>
      </c>
      <c r="G267" s="84"/>
      <c r="H267" s="14"/>
      <c r="I267" s="31">
        <f>+INDEX('[6]Budget révisé'!$A$2:$AO$496,MATCH($A267,'[6]Budget révisé'!$A$2:$A$496,0),MATCH(I$2,'[6]Budget révisé'!$A$2:$AO$2,0))</f>
        <v>1327.4300283816012</v>
      </c>
      <c r="J267" s="42"/>
      <c r="K267" s="14"/>
      <c r="L267" s="34">
        <f>SUMIFS([6]BV_Data_An_Cour!$O:$O,[6]BV_Data_An_Cour!$U:$U,$B267,[6]BV_Data_An_Cour!$V:$V,$C267,[6]BV_Data_An_Cour!$W:$W,$L$2)</f>
        <v>201.75</v>
      </c>
      <c r="M267" s="42"/>
      <c r="N267" s="60">
        <f t="shared" si="85"/>
        <v>-1125.6800283816012</v>
      </c>
      <c r="O267" s="42"/>
      <c r="P267" s="14"/>
      <c r="Q267" s="34">
        <f>SUMIFS([6]BV_Data_An_Prec!$O:$O,[6]BV_Data_An_Prec!$U:$U,$B267,[6]BV_Data_An_Prec!$V:$V,$C267,[6]BV_Data_An_Prec!$W:$W,$L$2)</f>
        <v>308.31</v>
      </c>
      <c r="R267" s="42"/>
      <c r="S267" s="86">
        <f t="shared" si="86"/>
        <v>-106.56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0"/>
        <v>CarrosserieFrais véhicules de cie</v>
      </c>
      <c r="B268" s="12" t="s">
        <v>100</v>
      </c>
      <c r="C268" s="109" t="s">
        <v>53</v>
      </c>
      <c r="D268" s="89"/>
      <c r="E268" s="117"/>
      <c r="F268" s="23">
        <f>+INDEX('[6]Budget original'!$A$2:$AO$496,MATCH($A268,'[6]Budget original'!$A$2:$A$496,0),MATCH(F$2,'[6]Budget original'!$A$2:$AO$2,0))</f>
        <v>298.94</v>
      </c>
      <c r="G268" s="91"/>
      <c r="H268" s="117"/>
      <c r="I268" s="23">
        <f>+INDEX('[6]Budget révisé'!$A$2:$AO$496,MATCH($A268,'[6]Budget révisé'!$A$2:$A$496,0),MATCH(I$2,'[6]Budget révisé'!$A$2:$AO$2,0))</f>
        <v>298.94</v>
      </c>
      <c r="J268" s="24"/>
      <c r="K268" s="117"/>
      <c r="L268" s="34">
        <f>SUMIFS([6]BV_Data_An_Cour!$O:$O,[6]BV_Data_An_Cour!$U:$U,$B268,[6]BV_Data_An_Cour!$V:$V,$C268,[6]BV_Data_An_Cour!$W:$W,$L$2)</f>
        <v>483.44</v>
      </c>
      <c r="M268" s="24"/>
      <c r="N268" s="94">
        <f t="shared" si="85"/>
        <v>184.5</v>
      </c>
      <c r="O268" s="24"/>
      <c r="P268" s="117"/>
      <c r="Q268" s="34">
        <f>SUMIFS([6]BV_Data_An_Prec!$O:$O,[6]BV_Data_An_Prec!$U:$U,$B268,[6]BV_Data_An_Prec!$V:$V,$C268,[6]BV_Data_An_Prec!$W:$W,$L$2)</f>
        <v>1714.81</v>
      </c>
      <c r="R268" s="24"/>
      <c r="S268" s="95">
        <f t="shared" si="86"/>
        <v>-1231.3699999999999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0"/>
        <v>CarrosserieInformatique</v>
      </c>
      <c r="B269" s="12" t="s">
        <v>100</v>
      </c>
      <c r="C269" s="108" t="s">
        <v>54</v>
      </c>
      <c r="D269" s="82"/>
      <c r="E269" s="14"/>
      <c r="F269" s="31">
        <f>+INDEX('[6]Budget original'!$A$2:$AO$496,MATCH($A269,'[6]Budget original'!$A$2:$A$496,0),MATCH(F$2,'[6]Budget original'!$A$2:$AO$2,0))</f>
        <v>1436.6179333333334</v>
      </c>
      <c r="G269" s="84"/>
      <c r="H269" s="14"/>
      <c r="I269" s="31">
        <f>+INDEX('[6]Budget révisé'!$A$2:$AO$496,MATCH($A269,'[6]Budget révisé'!$A$2:$A$496,0),MATCH(I$2,'[6]Budget révisé'!$A$2:$AO$2,0))</f>
        <v>1436.6179333333334</v>
      </c>
      <c r="J269" s="42"/>
      <c r="K269" s="14"/>
      <c r="L269" s="114">
        <f>SUMIFS([6]BV_Data_An_Cour!$O:$O,[6]BV_Data_An_Cour!$U:$U,$B269,[6]BV_Data_An_Cour!$V:$V,$C269,[6]BV_Data_An_Cour!$W:$W,$L$2)</f>
        <v>1319.76</v>
      </c>
      <c r="M269" s="42"/>
      <c r="N269" s="60">
        <f t="shared" si="85"/>
        <v>-116.85793333333345</v>
      </c>
      <c r="O269" s="42"/>
      <c r="P269" s="14"/>
      <c r="Q269" s="114">
        <f>SUMIFS([6]BV_Data_An_Prec!$O:$O,[6]BV_Data_An_Prec!$U:$U,$B269,[6]BV_Data_An_Prec!$V:$V,$C269,[6]BV_Data_An_Prec!$W:$W,$L$2)</f>
        <v>1349.59</v>
      </c>
      <c r="R269" s="42"/>
      <c r="S269" s="86">
        <f t="shared" si="86"/>
        <v>-29.829999999999927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0"/>
        <v>CarrosserieFrais de déplacement</v>
      </c>
      <c r="B270" s="12" t="s">
        <v>100</v>
      </c>
      <c r="C270" s="108" t="s">
        <v>55</v>
      </c>
      <c r="D270" s="82"/>
      <c r="E270" s="14"/>
      <c r="F270" s="31">
        <f>+INDEX('[6]Budget original'!$A$2:$AO$496,MATCH($A270,'[6]Budget original'!$A$2:$A$496,0),MATCH(F$2,'[6]Budget original'!$A$2:$AO$2,0))</f>
        <v>349.23367500000001</v>
      </c>
      <c r="G270" s="84"/>
      <c r="H270" s="14"/>
      <c r="I270" s="31">
        <f>+INDEX('[6]Budget révisé'!$A$2:$AO$496,MATCH($A270,'[6]Budget révisé'!$A$2:$A$496,0),MATCH(I$2,'[6]Budget révisé'!$A$2:$AO$2,0))</f>
        <v>349.23367500000001</v>
      </c>
      <c r="J270" s="42"/>
      <c r="K270" s="14"/>
      <c r="L270" s="34">
        <f>SUMIFS([6]BV_Data_An_Cour!$O:$O,[6]BV_Data_An_Cour!$U:$U,$B270,[6]BV_Data_An_Cour!$V:$V,$C270,[6]BV_Data_An_Cour!$W:$W,$L$2)</f>
        <v>133.97</v>
      </c>
      <c r="M270" s="42"/>
      <c r="N270" s="60">
        <f t="shared" si="85"/>
        <v>-215.26367500000001</v>
      </c>
      <c r="O270" s="42"/>
      <c r="P270" s="14"/>
      <c r="Q270" s="34">
        <f>SUMIFS([6]BV_Data_An_Prec!$O:$O,[6]BV_Data_An_Prec!$U:$U,$B270,[6]BV_Data_An_Prec!$V:$V,$C270,[6]BV_Data_An_Prec!$W:$W,$L$2)</f>
        <v>425.39</v>
      </c>
      <c r="R270" s="42"/>
      <c r="S270" s="86">
        <f t="shared" si="86"/>
        <v>-291.41999999999996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0"/>
        <v>CarrosserieServices extérieurs</v>
      </c>
      <c r="B271" s="12" t="s">
        <v>100</v>
      </c>
      <c r="C271" s="108" t="s">
        <v>56</v>
      </c>
      <c r="D271" s="89"/>
      <c r="E271" s="117"/>
      <c r="F271" s="23">
        <f>+INDEX('[6]Budget original'!$A$2:$AO$496,MATCH($A271,'[6]Budget original'!$A$2:$A$496,0),MATCH(F$2,'[6]Budget original'!$A$2:$AO$2,0))</f>
        <v>1122.7769583333334</v>
      </c>
      <c r="G271" s="91"/>
      <c r="H271" s="117"/>
      <c r="I271" s="23">
        <f>+INDEX('[6]Budget révisé'!$A$2:$AO$496,MATCH($A271,'[6]Budget révisé'!$A$2:$A$496,0),MATCH(I$2,'[6]Budget révisé'!$A$2:$AO$2,0))</f>
        <v>1122.7769583333334</v>
      </c>
      <c r="J271" s="24"/>
      <c r="K271" s="117"/>
      <c r="L271" s="34">
        <f>SUMIFS([6]BV_Data_An_Cour!$O:$O,[6]BV_Data_An_Cour!$U:$U,$B271,[6]BV_Data_An_Cour!$V:$V,$C271,[6]BV_Data_An_Cour!$W:$W,$L$2)</f>
        <v>631.61</v>
      </c>
      <c r="M271" s="24"/>
      <c r="N271" s="94">
        <f t="shared" si="85"/>
        <v>-491.16695833333335</v>
      </c>
      <c r="O271" s="24"/>
      <c r="P271" s="117"/>
      <c r="Q271" s="34">
        <f>SUMIFS([6]BV_Data_An_Prec!$O:$O,[6]BV_Data_An_Prec!$U:$U,$B271,[6]BV_Data_An_Prec!$V:$V,$C271,[6]BV_Data_An_Prec!$W:$W,$L$2)</f>
        <v>1030.07</v>
      </c>
      <c r="R271" s="24"/>
      <c r="S271" s="95">
        <f t="shared" si="86"/>
        <v>-398.45999999999992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0"/>
        <v>CarrosserieFournitures d'atelier</v>
      </c>
      <c r="B272" s="12" t="s">
        <v>100</v>
      </c>
      <c r="C272" s="222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f>SUMIFS([6]BV_Data_An_Cour!$O:$O,[6]BV_Data_An_Cour!$U:$U,$B272,[6]BV_Data_An_Cour!$V:$V,$C272,[6]BV_Data_An_Cour!$W:$W,$L$2)</f>
        <v>0</v>
      </c>
      <c r="M272" s="42"/>
      <c r="N272" s="60">
        <f t="shared" si="85"/>
        <v>0</v>
      </c>
      <c r="O272" s="42"/>
      <c r="P272" s="14"/>
      <c r="Q272" s="34">
        <f>SUMIFS([6]BV_Data_An_Prec!$O:$O,[6]BV_Data_An_Prec!$U:$U,$B272,[6]BV_Data_An_Prec!$V:$V,$C272,[6]BV_Data_An_Prec!$W:$W,$L$2)</f>
        <v>0</v>
      </c>
      <c r="R272" s="42"/>
      <c r="S272" s="86">
        <f t="shared" si="86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0"/>
        <v>CarrosserieFournitures autres</v>
      </c>
      <c r="B273" s="12" t="s">
        <v>100</v>
      </c>
      <c r="C273" s="108" t="s">
        <v>57</v>
      </c>
      <c r="D273" s="82"/>
      <c r="E273" s="14"/>
      <c r="F273" s="31">
        <f>+INDEX('[6]Budget original'!$A$2:$AO$496,MATCH($A273,'[6]Budget original'!$A$2:$A$496,0),MATCH(F$2,'[6]Budget original'!$A$2:$AO$2,0))</f>
        <v>0</v>
      </c>
      <c r="G273" s="84"/>
      <c r="H273" s="14"/>
      <c r="I273" s="31">
        <f>+INDEX('[6]Budget révisé'!$A$2:$AO$496,MATCH($A273,'[6]Budget révisé'!$A$2:$A$496,0),MATCH(I$2,'[6]Budget révisé'!$A$2:$AO$2,0))</f>
        <v>0</v>
      </c>
      <c r="J273" s="42"/>
      <c r="K273" s="14"/>
      <c r="L273" s="34">
        <f>SUMIFS([6]BV_Data_An_Cour!$O:$O,[6]BV_Data_An_Cour!$U:$U,$B273,[6]BV_Data_An_Cour!$V:$V,$C273,[6]BV_Data_An_Cour!$W:$W,$L$2)</f>
        <v>16.39</v>
      </c>
      <c r="M273" s="42"/>
      <c r="N273" s="60">
        <f t="shared" si="85"/>
        <v>16.39</v>
      </c>
      <c r="O273" s="42"/>
      <c r="P273" s="14"/>
      <c r="Q273" s="34">
        <f>SUMIFS([6]BV_Data_An_Prec!$O:$O,[6]BV_Data_An_Prec!$U:$U,$B273,[6]BV_Data_An_Prec!$V:$V,$C273,[6]BV_Data_An_Prec!$W:$W,$L$2)</f>
        <v>0</v>
      </c>
      <c r="R273" s="42"/>
      <c r="S273" s="86">
        <f t="shared" si="86"/>
        <v>16.39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0"/>
        <v>CarrosserieUniformes</v>
      </c>
      <c r="B274" s="12" t="s">
        <v>100</v>
      </c>
      <c r="C274" s="108" t="s">
        <v>58</v>
      </c>
      <c r="D274" s="82"/>
      <c r="E274" s="14"/>
      <c r="F274" s="31">
        <f>+INDEX('[6]Budget original'!$A$2:$AO$496,MATCH($A274,'[6]Budget original'!$A$2:$A$496,0),MATCH(F$2,'[6]Budget original'!$A$2:$AO$2,0))</f>
        <v>0</v>
      </c>
      <c r="G274" s="84"/>
      <c r="H274" s="14"/>
      <c r="I274" s="31">
        <f>+INDEX('[6]Budget révisé'!$A$2:$AO$496,MATCH($A274,'[6]Budget révisé'!$A$2:$A$496,0),MATCH(I$2,'[6]Budget révisé'!$A$2:$AO$2,0))</f>
        <v>0</v>
      </c>
      <c r="J274" s="42"/>
      <c r="K274" s="14"/>
      <c r="L274" s="34">
        <f>SUMIFS([6]BV_Data_An_Cour!$O:$O,[6]BV_Data_An_Cour!$U:$U,$B274,[6]BV_Data_An_Cour!$V:$V,$C274,[6]BV_Data_An_Cour!$W:$W,$L$2)</f>
        <v>0</v>
      </c>
      <c r="M274" s="42"/>
      <c r="N274" s="60">
        <f t="shared" si="85"/>
        <v>0</v>
      </c>
      <c r="O274" s="42"/>
      <c r="P274" s="14"/>
      <c r="Q274" s="34">
        <f>SUMIFS([6]BV_Data_An_Prec!$O:$O,[6]BV_Data_An_Prec!$U:$U,$B274,[6]BV_Data_An_Prec!$V:$V,$C274,[6]BV_Data_An_Prec!$W:$W,$L$2)</f>
        <v>0</v>
      </c>
      <c r="R274" s="42"/>
      <c r="S274" s="86">
        <f t="shared" si="86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0"/>
        <v>CarrosseriePapeterie</v>
      </c>
      <c r="B275" s="12" t="s">
        <v>100</v>
      </c>
      <c r="C275" s="108" t="s">
        <v>59</v>
      </c>
      <c r="D275" s="82"/>
      <c r="E275" s="14"/>
      <c r="F275" s="31">
        <f>+INDEX('[6]Budget original'!$A$2:$AO$496,MATCH($A275,'[6]Budget original'!$A$2:$A$496,0),MATCH(F$2,'[6]Budget original'!$A$2:$AO$2,0))</f>
        <v>152.60000000000002</v>
      </c>
      <c r="G275" s="84"/>
      <c r="H275" s="14"/>
      <c r="I275" s="31">
        <f>+INDEX('[6]Budget révisé'!$A$2:$AO$496,MATCH($A275,'[6]Budget révisé'!$A$2:$A$496,0),MATCH(I$2,'[6]Budget révisé'!$A$2:$AO$2,0))</f>
        <v>152.60000000000002</v>
      </c>
      <c r="J275" s="42"/>
      <c r="K275" s="14"/>
      <c r="L275" s="33">
        <f>SUMIFS([6]BV_Data_An_Cour!$O:$O,[6]BV_Data_An_Cour!$U:$U,$B275,[6]BV_Data_An_Cour!$V:$V,$C275,[6]BV_Data_An_Cour!$W:$W,$L$2)</f>
        <v>139.76</v>
      </c>
      <c r="M275" s="42"/>
      <c r="N275" s="60">
        <f t="shared" si="85"/>
        <v>-12.840000000000032</v>
      </c>
      <c r="O275" s="42"/>
      <c r="P275" s="14"/>
      <c r="Q275" s="33">
        <f>SUMIFS([6]BV_Data_An_Prec!$O:$O,[6]BV_Data_An_Prec!$U:$U,$B275,[6]BV_Data_An_Prec!$V:$V,$C275,[6]BV_Data_An_Prec!$W:$W,$L$2)</f>
        <v>129.5</v>
      </c>
      <c r="R275" s="42"/>
      <c r="S275" s="86">
        <f t="shared" si="86"/>
        <v>10.259999999999991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0"/>
        <v>CarrosserieTéléphone</v>
      </c>
      <c r="B276" s="12" t="s">
        <v>100</v>
      </c>
      <c r="C276" s="108" t="s">
        <v>60</v>
      </c>
      <c r="D276" s="82"/>
      <c r="E276" s="14"/>
      <c r="F276" s="31">
        <f>+INDEX('[6]Budget original'!$A$2:$AO$496,MATCH($A276,'[6]Budget original'!$A$2:$A$496,0),MATCH(F$2,'[6]Budget original'!$A$2:$AO$2,0))</f>
        <v>177.637</v>
      </c>
      <c r="G276" s="84"/>
      <c r="H276" s="14"/>
      <c r="I276" s="31">
        <f>+INDEX('[6]Budget révisé'!$A$2:$AO$496,MATCH($A276,'[6]Budget révisé'!$A$2:$A$496,0),MATCH(I$2,'[6]Budget révisé'!$A$2:$AO$2,0))</f>
        <v>177.637</v>
      </c>
      <c r="J276" s="42"/>
      <c r="K276" s="14"/>
      <c r="L276" s="34">
        <f>SUMIFS([6]BV_Data_An_Cour!$O:$O,[6]BV_Data_An_Cour!$U:$U,$B276,[6]BV_Data_An_Cour!$V:$V,$C276,[6]BV_Data_An_Cour!$W:$W,$L$2)</f>
        <v>62.78</v>
      </c>
      <c r="M276" s="42"/>
      <c r="N276" s="60">
        <f t="shared" si="85"/>
        <v>-114.857</v>
      </c>
      <c r="O276" s="42"/>
      <c r="P276" s="14"/>
      <c r="Q276" s="34">
        <f>SUMIFS([6]BV_Data_An_Prec!$O:$O,[6]BV_Data_An_Prec!$U:$U,$B276,[6]BV_Data_An_Prec!$V:$V,$C276,[6]BV_Data_An_Prec!$W:$W,$L$2)</f>
        <v>120.96</v>
      </c>
      <c r="R276" s="42"/>
      <c r="S276" s="86">
        <f t="shared" si="86"/>
        <v>-58.179999999999993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0"/>
        <v>CarrosserieFrais postaux</v>
      </c>
      <c r="B277" s="12" t="s">
        <v>100</v>
      </c>
      <c r="C277" s="108" t="s">
        <v>61</v>
      </c>
      <c r="D277" s="82"/>
      <c r="E277" s="14"/>
      <c r="F277" s="31">
        <f>+INDEX('[6]Budget original'!$A$2:$AO$496,MATCH($A277,'[6]Budget original'!$A$2:$A$496,0),MATCH(F$2,'[6]Budget original'!$A$2:$AO$2,0))</f>
        <v>60.550000000000004</v>
      </c>
      <c r="G277" s="84"/>
      <c r="H277" s="14"/>
      <c r="I277" s="31">
        <f>+INDEX('[6]Budget révisé'!$A$2:$AO$496,MATCH($A277,'[6]Budget révisé'!$A$2:$A$496,0),MATCH(I$2,'[6]Budget révisé'!$A$2:$AO$2,0))</f>
        <v>60.550000000000004</v>
      </c>
      <c r="J277" s="42"/>
      <c r="K277" s="14"/>
      <c r="L277" s="34">
        <f>SUMIFS([6]BV_Data_An_Cour!$O:$O,[6]BV_Data_An_Cour!$U:$U,$B277,[6]BV_Data_An_Cour!$V:$V,$C277,[6]BV_Data_An_Cour!$W:$W,$L$2)</f>
        <v>33.44</v>
      </c>
      <c r="M277" s="42"/>
      <c r="N277" s="60">
        <f t="shared" si="85"/>
        <v>-27.110000000000007</v>
      </c>
      <c r="O277" s="42"/>
      <c r="P277" s="14"/>
      <c r="Q277" s="34">
        <f>SUMIFS([6]BV_Data_An_Prec!$O:$O,[6]BV_Data_An_Prec!$U:$U,$B277,[6]BV_Data_An_Prec!$V:$V,$C277,[6]BV_Data_An_Prec!$W:$W,$L$2)</f>
        <v>14.47</v>
      </c>
      <c r="R277" s="42"/>
      <c r="S277" s="86">
        <f t="shared" si="86"/>
        <v>18.97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0"/>
        <v>CarrosserieDivers</v>
      </c>
      <c r="B278" s="12" t="s">
        <v>100</v>
      </c>
      <c r="C278" s="108" t="s">
        <v>62</v>
      </c>
      <c r="D278" s="82"/>
      <c r="E278" s="14"/>
      <c r="F278" s="31">
        <f>+INDEX('[6]Budget original'!$A$2:$AO$496,MATCH($A278,'[6]Budget original'!$A$2:$A$496,0),MATCH(F$2,'[6]Budget original'!$A$2:$AO$2,0))</f>
        <v>251.37000000000003</v>
      </c>
      <c r="G278" s="84"/>
      <c r="H278" s="14"/>
      <c r="I278" s="31">
        <f>+INDEX('[6]Budget révisé'!$A$2:$AO$496,MATCH($A278,'[6]Budget révisé'!$A$2:$A$496,0),MATCH(I$2,'[6]Budget révisé'!$A$2:$AO$2,0))</f>
        <v>251.37000000000003</v>
      </c>
      <c r="J278" s="42"/>
      <c r="K278" s="14"/>
      <c r="L278" s="34">
        <f>SUMIFS([6]BV_Data_An_Cour!$O:$O,[6]BV_Data_An_Cour!$U:$U,$B278,[6]BV_Data_An_Cour!$V:$V,$C278,[6]BV_Data_An_Cour!$W:$W,$L$2)</f>
        <v>262.16000000000003</v>
      </c>
      <c r="M278" s="42"/>
      <c r="N278" s="60">
        <f t="shared" si="85"/>
        <v>10.789999999999992</v>
      </c>
      <c r="O278" s="42"/>
      <c r="P278" s="14"/>
      <c r="Q278" s="34">
        <f>SUMIFS([6]BV_Data_An_Prec!$O:$O,[6]BV_Data_An_Prec!$U:$U,$B278,[6]BV_Data_An_Prec!$V:$V,$C278,[6]BV_Data_An_Prec!$W:$W,$L$2)</f>
        <v>371.07</v>
      </c>
      <c r="R278" s="42"/>
      <c r="S278" s="86">
        <f t="shared" si="86"/>
        <v>-108.90999999999997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0"/>
        <v>CarrosserieFormation</v>
      </c>
      <c r="B279" s="12" t="s">
        <v>100</v>
      </c>
      <c r="C279" s="108" t="s">
        <v>63</v>
      </c>
      <c r="D279" s="82"/>
      <c r="E279" s="14"/>
      <c r="F279" s="31">
        <f>+INDEX('[6]Budget original'!$A$2:$AO$496,MATCH($A279,'[6]Budget original'!$A$2:$A$496,0),MATCH(F$2,'[6]Budget original'!$A$2:$AO$2,0))</f>
        <v>41.200833333333343</v>
      </c>
      <c r="G279" s="84"/>
      <c r="H279" s="14"/>
      <c r="I279" s="31">
        <f>+INDEX('[6]Budget révisé'!$A$2:$AO$496,MATCH($A279,'[6]Budget révisé'!$A$2:$A$496,0),MATCH(I$2,'[6]Budget révisé'!$A$2:$AO$2,0))</f>
        <v>41.200833333333343</v>
      </c>
      <c r="J279" s="42"/>
      <c r="K279" s="14"/>
      <c r="L279" s="34">
        <f>SUMIFS([6]BV_Data_An_Cour!$O:$O,[6]BV_Data_An_Cour!$U:$U,$B279,[6]BV_Data_An_Cour!$V:$V,$C279,[6]BV_Data_An_Cour!$W:$W,$L$2)</f>
        <v>76.2</v>
      </c>
      <c r="M279" s="42"/>
      <c r="N279" s="60">
        <f t="shared" si="85"/>
        <v>34.99916666666666</v>
      </c>
      <c r="O279" s="42"/>
      <c r="P279" s="14"/>
      <c r="Q279" s="34">
        <f>SUMIFS([6]BV_Data_An_Prec!$O:$O,[6]BV_Data_An_Prec!$U:$U,$B279,[6]BV_Data_An_Prec!$V:$V,$C279,[6]BV_Data_An_Prec!$W:$W,$L$2)</f>
        <v>35</v>
      </c>
      <c r="R279" s="42"/>
      <c r="S279" s="86">
        <f t="shared" si="86"/>
        <v>41.2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0"/>
        <v>CarrosserieFrais bancaires</v>
      </c>
      <c r="B280" s="12" t="s">
        <v>100</v>
      </c>
      <c r="C280" s="108" t="s">
        <v>64</v>
      </c>
      <c r="D280" s="82"/>
      <c r="E280" s="14"/>
      <c r="F280" s="31">
        <f>+INDEX('[6]Budget original'!$A$2:$AO$496,MATCH($A280,'[6]Budget original'!$A$2:$A$496,0),MATCH(F$2,'[6]Budget original'!$A$2:$AO$2,0))</f>
        <v>802.95630633478925</v>
      </c>
      <c r="G280" s="84"/>
      <c r="H280" s="14"/>
      <c r="I280" s="31">
        <f>+INDEX('[6]Budget révisé'!$A$2:$AO$496,MATCH($A280,'[6]Budget révisé'!$A$2:$A$496,0),MATCH(I$2,'[6]Budget révisé'!$A$2:$AO$2,0))</f>
        <v>802.95630633478925</v>
      </c>
      <c r="J280" s="42"/>
      <c r="K280" s="14"/>
      <c r="L280" s="34">
        <f>AF447*W6</f>
        <v>172.38025000000002</v>
      </c>
      <c r="M280" s="42"/>
      <c r="N280" s="60">
        <f t="shared" si="85"/>
        <v>-630.5760563347892</v>
      </c>
      <c r="O280" s="42"/>
      <c r="P280" s="14"/>
      <c r="Q280" s="34">
        <f>AL447*W6</f>
        <v>204.50625000000002</v>
      </c>
      <c r="R280" s="42"/>
      <c r="S280" s="86">
        <f t="shared" si="86"/>
        <v>-32.126000000000005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0"/>
        <v>Carrosserie[...]</v>
      </c>
      <c r="B281" s="12" t="s">
        <v>100</v>
      </c>
      <c r="C281" s="108" t="s">
        <v>21</v>
      </c>
      <c r="D281" s="82"/>
      <c r="E281" s="14"/>
      <c r="F281" s="31">
        <f>+INDEX('[6]Budget original'!$A$2:$AO$496,MATCH($A281,'[6]Budget original'!$A$2:$A$496,0),MATCH(F$2,'[6]Budget original'!$A$2:$AO$2,0))</f>
        <v>0</v>
      </c>
      <c r="G281" s="84"/>
      <c r="H281" s="14"/>
      <c r="I281" s="31">
        <f>+INDEX('[6]Budget révisé'!$A$2:$AO$496,MATCH($A281,'[6]Budget révisé'!$A$2:$A$496,0),MATCH(I$2,'[6]Budget révisé'!$A$2:$AO$2,0))</f>
        <v>0</v>
      </c>
      <c r="J281" s="42"/>
      <c r="K281" s="14"/>
      <c r="L281" s="34">
        <f>SUMIFS([6]BV_Data_An_Cour!$O:$O,[6]BV_Data_An_Cour!$U:$U,$B281,[6]BV_Data_An_Cour!$V:$V,$C281,[6]BV_Data_An_Cour!$W:$W,$L$2)</f>
        <v>0</v>
      </c>
      <c r="M281" s="42"/>
      <c r="N281" s="60">
        <f t="shared" si="85"/>
        <v>0</v>
      </c>
      <c r="O281" s="42"/>
      <c r="P281" s="14"/>
      <c r="Q281" s="34">
        <f>SUMIFS([6]BV_Data_An_Prec!$O:$O,[6]BV_Data_An_Prec!$U:$U,$B281,[6]BV_Data_An_Prec!$V:$V,$C281,[6]BV_Data_An_Prec!$W:$W,$L$2)</f>
        <v>0</v>
      </c>
      <c r="R281" s="42"/>
      <c r="S281" s="86">
        <f t="shared" si="86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0"/>
        <v>Carrosserie[...]</v>
      </c>
      <c r="B282" s="12" t="s">
        <v>100</v>
      </c>
      <c r="C282" s="108" t="s">
        <v>21</v>
      </c>
      <c r="D282" s="82"/>
      <c r="E282" s="14"/>
      <c r="F282" s="31">
        <f>+INDEX('[6]Budget original'!$A$2:$AO$496,MATCH($A282,'[6]Budget original'!$A$2:$A$496,0),MATCH(F$2,'[6]Budget original'!$A$2:$AO$2,0))</f>
        <v>0</v>
      </c>
      <c r="G282" s="84"/>
      <c r="H282" s="14"/>
      <c r="I282" s="31">
        <f>+INDEX('[6]Budget révisé'!$A$2:$AO$496,MATCH($A282,'[6]Budget révisé'!$A$2:$A$496,0),MATCH(I$2,'[6]Budget révisé'!$A$2:$AO$2,0))</f>
        <v>0</v>
      </c>
      <c r="J282" s="42"/>
      <c r="K282" s="14"/>
      <c r="L282" s="34">
        <f>SUMIFS([6]BV_Data_An_Cour!$O:$O,[6]BV_Data_An_Cour!$U:$U,$B282,[6]BV_Data_An_Cour!$V:$V,$C282,[6]BV_Data_An_Cour!$W:$W,$L$2)</f>
        <v>0</v>
      </c>
      <c r="M282" s="42"/>
      <c r="N282" s="60">
        <f t="shared" si="85"/>
        <v>0</v>
      </c>
      <c r="O282" s="42"/>
      <c r="P282" s="14"/>
      <c r="Q282" s="34">
        <f>SUMIFS([6]BV_Data_An_Prec!$O:$O,[6]BV_Data_An_Prec!$U:$U,$B282,[6]BV_Data_An_Prec!$V:$V,$C282,[6]BV_Data_An_Prec!$W:$W,$L$2)</f>
        <v>0</v>
      </c>
      <c r="R282" s="42"/>
      <c r="S282" s="86">
        <f t="shared" si="86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0"/>
        <v>Carrosserie[...]</v>
      </c>
      <c r="B283" s="12" t="s">
        <v>100</v>
      </c>
      <c r="C283" s="108" t="s">
        <v>21</v>
      </c>
      <c r="D283" s="82"/>
      <c r="E283" s="14"/>
      <c r="F283" s="31">
        <f>+INDEX('[6]Budget original'!$A$2:$AO$496,MATCH($A283,'[6]Budget original'!$A$2:$A$496,0),MATCH(F$2,'[6]Budget original'!$A$2:$AO$2,0))</f>
        <v>0</v>
      </c>
      <c r="G283" s="84"/>
      <c r="H283" s="14"/>
      <c r="I283" s="31">
        <f>+INDEX('[6]Budget révisé'!$A$2:$AO$496,MATCH($A283,'[6]Budget révisé'!$A$2:$A$496,0),MATCH(I$2,'[6]Budget révisé'!$A$2:$AO$2,0))</f>
        <v>0</v>
      </c>
      <c r="J283" s="42"/>
      <c r="K283" s="14"/>
      <c r="L283" s="34">
        <f>SUMIFS([6]BV_Data_An_Cour!$O:$O,[6]BV_Data_An_Cour!$U:$U,$B283,[6]BV_Data_An_Cour!$V:$V,$C283,[6]BV_Data_An_Cour!$W:$W,$L$2)</f>
        <v>0</v>
      </c>
      <c r="M283" s="42"/>
      <c r="N283" s="60">
        <f t="shared" si="85"/>
        <v>0</v>
      </c>
      <c r="O283" s="42"/>
      <c r="P283" s="14"/>
      <c r="Q283" s="34">
        <f>SUMIFS([6]BV_Data_An_Prec!$O:$O,[6]BV_Data_An_Prec!$U:$U,$B283,[6]BV_Data_An_Prec!$V:$V,$C283,[6]BV_Data_An_Prec!$W:$W,$L$2)</f>
        <v>0</v>
      </c>
      <c r="R283" s="42"/>
      <c r="S283" s="86">
        <f t="shared" si="86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f>F284/F$243</f>
        <v>#DIV/0!</v>
      </c>
      <c r="F284" s="102">
        <f>+SUM(F266:F283)</f>
        <v>6021.3127347163909</v>
      </c>
      <c r="G284" s="103" t="s">
        <v>40</v>
      </c>
      <c r="H284" s="101" t="e">
        <f>I284/I$243</f>
        <v>#DIV/0!</v>
      </c>
      <c r="I284" s="102">
        <f>+SUM(I266:I283)</f>
        <v>6021.3127347163909</v>
      </c>
      <c r="J284" s="103" t="s">
        <v>40</v>
      </c>
      <c r="K284" s="101" t="e">
        <f>IF(L261=0,0,L284/L$243)</f>
        <v>#DIV/0!</v>
      </c>
      <c r="L284" s="102">
        <f>+SUM(L266:L283)</f>
        <v>3533.7102500000001</v>
      </c>
      <c r="M284" s="106"/>
      <c r="N284" s="102">
        <f>+SUM(N266:N283)</f>
        <v>-2487.6024847163899</v>
      </c>
      <c r="O284" s="103" t="s">
        <v>40</v>
      </c>
      <c r="P284" s="101" t="e">
        <f>IF(Q261=0,0,Q284/Q$243)</f>
        <v>#DIV/0!</v>
      </c>
      <c r="Q284" s="102">
        <f>+SUM(Q266:Q283)</f>
        <v>5703.6762500000004</v>
      </c>
      <c r="R284" s="106"/>
      <c r="S284" s="107">
        <f t="shared" si="86"/>
        <v>-2169.9660000000003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f>F286/F$243</f>
        <v>#DIV/0!</v>
      </c>
      <c r="F286" s="102">
        <f>F265+F284</f>
        <v>16638.29924165866</v>
      </c>
      <c r="G286" s="103" t="s">
        <v>40</v>
      </c>
      <c r="H286" s="101" t="e">
        <f>I286/I$243</f>
        <v>#DIV/0!</v>
      </c>
      <c r="I286" s="102">
        <f>I265+I284</f>
        <v>16638.29924165866</v>
      </c>
      <c r="J286" s="103" t="s">
        <v>40</v>
      </c>
      <c r="K286" s="101" t="e">
        <f>IF(L263=0,0,L286/L$243)</f>
        <v>#DIV/0!</v>
      </c>
      <c r="L286" s="102">
        <f>L265+L284</f>
        <v>12436.740249999999</v>
      </c>
      <c r="M286" s="106"/>
      <c r="N286" s="119">
        <f t="shared" ref="N286:N288" si="87">L286-I286</f>
        <v>-4201.5589916586614</v>
      </c>
      <c r="O286" s="103" t="s">
        <v>40</v>
      </c>
      <c r="P286" s="101" t="e">
        <f>IF(Q263=0,0,Q286/Q$243)</f>
        <v>#DIV/0!</v>
      </c>
      <c r="Q286" s="102">
        <f>Q265+Q284</f>
        <v>24746.596250000002</v>
      </c>
      <c r="R286" s="106"/>
      <c r="S286" s="120">
        <f>L286-Q286</f>
        <v>-12309.856000000003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7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133">
        <f>F249-F286</f>
        <v>7138.7123822343965</v>
      </c>
      <c r="G288" s="160"/>
      <c r="H288" s="131"/>
      <c r="I288" s="133">
        <f>I249-I286</f>
        <v>7138.7123822343965</v>
      </c>
      <c r="J288" s="161"/>
      <c r="K288" s="132"/>
      <c r="L288" s="133">
        <f>L249-L286</f>
        <v>-1831.8802499999965</v>
      </c>
      <c r="M288" s="161"/>
      <c r="N288" s="133">
        <f t="shared" si="87"/>
        <v>-8970.592632234393</v>
      </c>
      <c r="O288" s="161"/>
      <c r="P288" s="132"/>
      <c r="Q288" s="133">
        <f>Q249-Q286</f>
        <v>3905.1037499999948</v>
      </c>
      <c r="R288" s="161"/>
      <c r="S288" s="135">
        <f>L288-Q288</f>
        <v>-5736.9839999999913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Mai 2021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19" t="s">
        <v>5</v>
      </c>
      <c r="E292" s="520"/>
      <c r="F292" s="521"/>
      <c r="G292" s="522" t="s">
        <v>75</v>
      </c>
      <c r="H292" s="520"/>
      <c r="I292" s="521"/>
      <c r="J292" s="522" t="s">
        <v>7</v>
      </c>
      <c r="K292" s="520"/>
      <c r="L292" s="521"/>
      <c r="M292" s="522" t="s">
        <v>8</v>
      </c>
      <c r="N292" s="521"/>
      <c r="O292" s="519" t="s">
        <v>9</v>
      </c>
      <c r="P292" s="520"/>
      <c r="Q292" s="521"/>
      <c r="R292" s="522" t="s">
        <v>10</v>
      </c>
      <c r="S292" s="523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8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8"/>
        <v>PiècesPièces Ro Clients</v>
      </c>
      <c r="B294" s="12" t="s">
        <v>104</v>
      </c>
      <c r="C294" s="30" t="s">
        <v>106</v>
      </c>
      <c r="D294" s="83">
        <f>+INDEX('[6]Budget original'!$A$2:$AO$496,MATCH($A294,'[6]Budget original'!$A$2:$A$496,0),MATCH(D$2,'[6]Budget original'!$A$2:$AO$2,0))</f>
        <v>79286.904101341468</v>
      </c>
      <c r="E294" s="155">
        <f>IF(D294=0,0,F294/D294)</f>
        <v>0.35812717564768926</v>
      </c>
      <c r="F294" s="86">
        <f>+INDEX('[6]Budget original'!$A$2:$AO$496,MATCH($A294,'[6]Budget original'!$A$2:$A$496,0),MATCH(F$2,'[6]Budget original'!$A$2:$AO$2,0))</f>
        <v>28394.795031662608</v>
      </c>
      <c r="G294" s="83">
        <f>+INDEX('[6]Budget révisé'!$A$2:$AO$496,MATCH($A294,'[6]Budget révisé'!$A$2:$A$496,0),MATCH(G$2,'[6]Budget révisé'!$A$2:$AO$2,0))</f>
        <v>79286.904101341468</v>
      </c>
      <c r="H294" s="155">
        <f>IF(G294=0,0,I294/G294)</f>
        <v>0.35812717564768926</v>
      </c>
      <c r="I294" s="86">
        <f>+INDEX('[6]Budget révisé'!$A$2:$AO$496,MATCH($A294,'[6]Budget révisé'!$A$2:$A$496,0),MATCH(I$2,'[6]Budget révisé'!$A$2:$AO$2,0))</f>
        <v>28394.795031662608</v>
      </c>
      <c r="J294" s="31">
        <f>-SUMIFS([6]BV_Data_An_Cour!$O:$O,[6]BV_Data_An_Cour!$X:$X,"Oui",[6]BV_Data_An_Cour!$U:$U,$B294,[6]BV_Data_An_Cour!$V:$V,$C294)</f>
        <v>68074.17</v>
      </c>
      <c r="K294" s="155">
        <f t="shared" ref="K294:K303" si="89">IF(J294&lt;=0,0,L294/J294)</f>
        <v>0.36506651494979658</v>
      </c>
      <c r="L294" s="34">
        <f>-SUMIFS([6]BV_Data_An_Cour!$O:$O,[6]BV_Data_An_Cour!$U:$U,$B294,[6]BV_Data_An_Cour!$V:$V,$C294,[6]BV_Data_An_Cour!$W:$W,$L$2)</f>
        <v>24851.599999999995</v>
      </c>
      <c r="M294" s="164">
        <f t="shared" ref="M294:M300" si="90">(+J294-G294)/G294</f>
        <v>-0.14141974930702031</v>
      </c>
      <c r="N294" s="60">
        <f t="shared" ref="N294:N303" si="91">L294-I294</f>
        <v>-3543.1950316626135</v>
      </c>
      <c r="O294" s="31">
        <f>-SUMIFS([6]BV_Data_An_Prec!$O:$O,[6]BV_Data_An_Prec!$X:$X,"Oui",[6]BV_Data_An_Prec!$U:$U,$B294,[6]BV_Data_An_Prec!$V:$V,$C294)</f>
        <v>71344.289999999994</v>
      </c>
      <c r="P294" s="155">
        <f t="shared" ref="P294:P303" si="92">IF(O294&lt;=0,0,Q294/O294)</f>
        <v>0.37076548102167672</v>
      </c>
      <c r="Q294" s="34">
        <f>-SUMIFS([6]BV_Data_An_Prec!$O:$O,[6]BV_Data_An_Prec!$U:$U,$B294,[6]BV_Data_An_Prec!$V:$V,$C294,[6]BV_Data_An_Prec!$W:$W,$L$2)</f>
        <v>26451.999999999996</v>
      </c>
      <c r="R294" s="164">
        <f>IF(O294=0,0,(J294-O294)/O294)</f>
        <v>-4.5835763450725986E-2</v>
      </c>
      <c r="S294" s="86">
        <f t="shared" ref="S294:S303" si="93">L294-Q294</f>
        <v>-1600.4000000000015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8"/>
        <v>PiècesPièces Ro Carrosserie</v>
      </c>
      <c r="B295" s="12" t="s">
        <v>104</v>
      </c>
      <c r="C295" s="30" t="s">
        <v>107</v>
      </c>
      <c r="D295" s="83">
        <f>+INDEX('[6]Budget original'!$A$2:$AO$496,MATCH($A295,'[6]Budget original'!$A$2:$A$496,0),MATCH(D$2,'[6]Budget original'!$A$2:$AO$2,0))</f>
        <v>45479.984691792146</v>
      </c>
      <c r="E295" s="155">
        <f t="shared" ref="E295:E302" si="94">IF(D295=0,0,F295/D295)</f>
        <v>0.27367264200070923</v>
      </c>
      <c r="F295" s="86">
        <f>+INDEX('[6]Budget original'!$A$2:$AO$496,MATCH($A295,'[6]Budget original'!$A$2:$A$496,0),MATCH(F$2,'[6]Budget original'!$A$2:$AO$2,0))</f>
        <v>12446.627568754568</v>
      </c>
      <c r="G295" s="83">
        <f>+INDEX('[6]Budget révisé'!$A$2:$AO$496,MATCH($A295,'[6]Budget révisé'!$A$2:$A$496,0),MATCH(G$2,'[6]Budget révisé'!$A$2:$AO$2,0))</f>
        <v>45479.984691792146</v>
      </c>
      <c r="H295" s="155">
        <f t="shared" ref="H295:H302" si="95">IF(G295=0,0,I295/G295)</f>
        <v>0.27367264200070923</v>
      </c>
      <c r="I295" s="86">
        <f>+INDEX('[6]Budget révisé'!$A$2:$AO$496,MATCH($A295,'[6]Budget révisé'!$A$2:$A$496,0),MATCH(I$2,'[6]Budget révisé'!$A$2:$AO$2,0))</f>
        <v>12446.627568754568</v>
      </c>
      <c r="J295" s="31">
        <f>-SUMIFS([6]BV_Data_An_Cour!$O:$O,[6]BV_Data_An_Cour!$X:$X,"Oui",[6]BV_Data_An_Cour!$U:$U,$B295,[6]BV_Data_An_Cour!$V:$V,$C295)</f>
        <v>27184.52</v>
      </c>
      <c r="K295" s="155">
        <f t="shared" si="89"/>
        <v>0.24658371749804661</v>
      </c>
      <c r="L295" s="34">
        <f>-SUMIFS([6]BV_Data_An_Cour!$O:$O,[6]BV_Data_An_Cour!$U:$U,$B295,[6]BV_Data_An_Cour!$V:$V,$C295,[6]BV_Data_An_Cour!$W:$W,$L$2)</f>
        <v>6703.2599999999984</v>
      </c>
      <c r="M295" s="164">
        <f t="shared" si="90"/>
        <v>-0.40227508465045636</v>
      </c>
      <c r="N295" s="60">
        <f t="shared" si="91"/>
        <v>-5743.3675687545692</v>
      </c>
      <c r="O295" s="31">
        <f>-SUMIFS([6]BV_Data_An_Prec!$O:$O,[6]BV_Data_An_Prec!$X:$X,"Oui",[6]BV_Data_An_Prec!$U:$U,$B295,[6]BV_Data_An_Prec!$V:$V,$C295)</f>
        <v>61955.23</v>
      </c>
      <c r="P295" s="155">
        <f t="shared" si="92"/>
        <v>0.26865141167259005</v>
      </c>
      <c r="Q295" s="34">
        <f>-SUMIFS([6]BV_Data_An_Prec!$O:$O,[6]BV_Data_An_Prec!$U:$U,$B295,[6]BV_Data_An_Prec!$V:$V,$C295,[6]BV_Data_An_Prec!$W:$W,$L$2)</f>
        <v>16644.36</v>
      </c>
      <c r="R295" s="164">
        <f t="shared" ref="R295:R302" si="96">IF(O295=0,0,(J295-O295)/O295)</f>
        <v>-0.56122316065972166</v>
      </c>
      <c r="S295" s="86">
        <f t="shared" si="93"/>
        <v>-9941.1000000000022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8"/>
        <v>PiècesP/A Garantie</v>
      </c>
      <c r="B296" s="12" t="s">
        <v>104</v>
      </c>
      <c r="C296" s="30" t="s">
        <v>108</v>
      </c>
      <c r="D296" s="83">
        <f>+INDEX('[6]Budget original'!$A$2:$AO$496,MATCH($A296,'[6]Budget original'!$A$2:$A$496,0),MATCH(D$2,'[6]Budget original'!$A$2:$AO$2,0))</f>
        <v>87434.073358148133</v>
      </c>
      <c r="E296" s="155">
        <f t="shared" si="94"/>
        <v>0.23983607715678656</v>
      </c>
      <c r="F296" s="86">
        <f>+INDEX('[6]Budget original'!$A$2:$AO$496,MATCH($A296,'[6]Budget original'!$A$2:$A$496,0),MATCH(F$2,'[6]Budget original'!$A$2:$AO$2,0))</f>
        <v>20969.845164056951</v>
      </c>
      <c r="G296" s="83">
        <f>+INDEX('[6]Budget révisé'!$A$2:$AO$496,MATCH($A296,'[6]Budget révisé'!$A$2:$A$496,0),MATCH(G$2,'[6]Budget révisé'!$A$2:$AO$2,0))</f>
        <v>87434.073358148133</v>
      </c>
      <c r="H296" s="155">
        <f t="shared" si="95"/>
        <v>0.23983607715678656</v>
      </c>
      <c r="I296" s="86">
        <f>+INDEX('[6]Budget révisé'!$A$2:$AO$496,MATCH($A296,'[6]Budget révisé'!$A$2:$A$496,0),MATCH(I$2,'[6]Budget révisé'!$A$2:$AO$2,0))</f>
        <v>20969.845164056951</v>
      </c>
      <c r="J296" s="31">
        <f>-SUMIFS([6]BV_Data_An_Cour!$O:$O,[6]BV_Data_An_Cour!$X:$X,"Oui",[6]BV_Data_An_Cour!$U:$U,$B296,[6]BV_Data_An_Cour!$V:$V,$C296)</f>
        <v>79594.67</v>
      </c>
      <c r="K296" s="155">
        <f t="shared" si="89"/>
        <v>0.23625149774476106</v>
      </c>
      <c r="L296" s="34">
        <f>-SUMIFS([6]BV_Data_An_Cour!$O:$O,[6]BV_Data_An_Cour!$U:$U,$B296,[6]BV_Data_An_Cour!$V:$V,$C296,[6]BV_Data_An_Cour!$W:$W,$L$2)</f>
        <v>18804.36</v>
      </c>
      <c r="M296" s="164">
        <f t="shared" si="90"/>
        <v>-8.9660735878520831E-2</v>
      </c>
      <c r="N296" s="60">
        <f t="shared" si="91"/>
        <v>-2165.4851640569505</v>
      </c>
      <c r="O296" s="31">
        <f>-SUMIFS([6]BV_Data_An_Prec!$O:$O,[6]BV_Data_An_Prec!$X:$X,"Oui",[6]BV_Data_An_Prec!$U:$U,$B296,[6]BV_Data_An_Prec!$V:$V,$C296)</f>
        <v>111735.39</v>
      </c>
      <c r="P296" s="155">
        <f t="shared" si="92"/>
        <v>0.23929132927356317</v>
      </c>
      <c r="Q296" s="34">
        <f>-SUMIFS([6]BV_Data_An_Prec!$O:$O,[6]BV_Data_An_Prec!$U:$U,$B296,[6]BV_Data_An_Prec!$V:$V,$C296,[6]BV_Data_An_Prec!$W:$W,$L$2)</f>
        <v>26737.309999999998</v>
      </c>
      <c r="R296" s="164">
        <f t="shared" si="96"/>
        <v>-0.28765031383521372</v>
      </c>
      <c r="S296" s="86">
        <f t="shared" si="93"/>
        <v>-7932.9499999999971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8"/>
        <v>PiècesVentes Internes</v>
      </c>
      <c r="B297" s="12" t="s">
        <v>104</v>
      </c>
      <c r="C297" s="30" t="s">
        <v>109</v>
      </c>
      <c r="D297" s="83">
        <f>+INDEX('[6]Budget original'!$A$2:$AO$496,MATCH($A297,'[6]Budget original'!$A$2:$A$496,0),MATCH(D$2,'[6]Budget original'!$A$2:$AO$2,0))</f>
        <v>69067.162508301903</v>
      </c>
      <c r="E297" s="155">
        <f t="shared" si="94"/>
        <v>0.32994466198333777</v>
      </c>
      <c r="F297" s="86">
        <f>+INDEX('[6]Budget original'!$A$2:$AO$496,MATCH($A297,'[6]Budget original'!$A$2:$A$496,0),MATCH(F$2,'[6]Budget original'!$A$2:$AO$2,0))</f>
        <v>22788.34158794993</v>
      </c>
      <c r="G297" s="83">
        <f>+INDEX('[6]Budget révisé'!$A$2:$AO$496,MATCH($A297,'[6]Budget révisé'!$A$2:$A$496,0),MATCH(G$2,'[6]Budget révisé'!$A$2:$AO$2,0))</f>
        <v>69067.162508301903</v>
      </c>
      <c r="H297" s="155">
        <f t="shared" si="95"/>
        <v>0.32994466198333777</v>
      </c>
      <c r="I297" s="86">
        <f>+INDEX('[6]Budget révisé'!$A$2:$AO$496,MATCH($A297,'[6]Budget révisé'!$A$2:$A$496,0),MATCH(I$2,'[6]Budget révisé'!$A$2:$AO$2,0))</f>
        <v>22788.34158794993</v>
      </c>
      <c r="J297" s="31">
        <f>-SUMIFS([6]BV_Data_An_Cour!$O:$O,[6]BV_Data_An_Cour!$X:$X,"Oui",[6]BV_Data_An_Cour!$U:$U,$B297,[6]BV_Data_An_Cour!$V:$V,$C297)</f>
        <v>52618.64</v>
      </c>
      <c r="K297" s="155">
        <f t="shared" si="89"/>
        <v>0.29299750050552426</v>
      </c>
      <c r="L297" s="34">
        <f>-SUMIFS([6]BV_Data_An_Cour!$O:$O,[6]BV_Data_An_Cour!$U:$U,$B297,[6]BV_Data_An_Cour!$V:$V,$C297,[6]BV_Data_An_Cour!$W:$W,$L$2)</f>
        <v>15417.129999999997</v>
      </c>
      <c r="M297" s="164">
        <f t="shared" si="90"/>
        <v>-0.23815257368253379</v>
      </c>
      <c r="N297" s="60">
        <f t="shared" si="91"/>
        <v>-7371.2115879499324</v>
      </c>
      <c r="O297" s="31">
        <f>-SUMIFS([6]BV_Data_An_Prec!$O:$O,[6]BV_Data_An_Prec!$X:$X,"Oui",[6]BV_Data_An_Prec!$U:$U,$B297,[6]BV_Data_An_Prec!$V:$V,$C297)</f>
        <v>52427.38</v>
      </c>
      <c r="P297" s="155">
        <f t="shared" si="92"/>
        <v>0.30476575407735423</v>
      </c>
      <c r="Q297" s="34">
        <f>-SUMIFS([6]BV_Data_An_Prec!$O:$O,[6]BV_Data_An_Prec!$U:$U,$B297,[6]BV_Data_An_Prec!$V:$V,$C297,[6]BV_Data_An_Prec!$W:$W,$L$2)</f>
        <v>15978.07</v>
      </c>
      <c r="R297" s="164">
        <f t="shared" si="96"/>
        <v>3.6480938013687134E-3</v>
      </c>
      <c r="S297" s="86">
        <f t="shared" si="93"/>
        <v>-560.94000000000233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8"/>
        <v>PiècesVentes Détails</v>
      </c>
      <c r="B298" s="12" t="s">
        <v>104</v>
      </c>
      <c r="C298" s="30" t="s">
        <v>110</v>
      </c>
      <c r="D298" s="83">
        <f>+INDEX('[6]Budget original'!$A$2:$AO$496,MATCH($A298,'[6]Budget original'!$A$2:$A$496,0),MATCH(D$2,'[6]Budget original'!$A$2:$AO$2,0))</f>
        <v>14856.011564380127</v>
      </c>
      <c r="E298" s="155">
        <f t="shared" si="94"/>
        <v>0.29678579936093841</v>
      </c>
      <c r="F298" s="86">
        <f>+INDEX('[6]Budget original'!$A$2:$AO$496,MATCH($A298,'[6]Budget original'!$A$2:$A$496,0),MATCH(F$2,'[6]Budget original'!$A$2:$AO$2,0))</f>
        <v>4409.0532674499009</v>
      </c>
      <c r="G298" s="83">
        <f>+INDEX('[6]Budget révisé'!$A$2:$AO$496,MATCH($A298,'[6]Budget révisé'!$A$2:$A$496,0),MATCH(G$2,'[6]Budget révisé'!$A$2:$AO$2,0))</f>
        <v>14856.011564380127</v>
      </c>
      <c r="H298" s="155">
        <f t="shared" si="95"/>
        <v>0.29678579936093841</v>
      </c>
      <c r="I298" s="86">
        <f>+INDEX('[6]Budget révisé'!$A$2:$AO$496,MATCH($A298,'[6]Budget révisé'!$A$2:$A$496,0),MATCH(I$2,'[6]Budget révisé'!$A$2:$AO$2,0))</f>
        <v>4409.0532674499009</v>
      </c>
      <c r="J298" s="31">
        <f>-SUMIFS([6]BV_Data_An_Cour!$O:$O,[6]BV_Data_An_Cour!$X:$X,"Oui",[6]BV_Data_An_Cour!$U:$U,$B298,[6]BV_Data_An_Cour!$V:$V,$C298)</f>
        <v>14457.31</v>
      </c>
      <c r="K298" s="155">
        <f t="shared" si="89"/>
        <v>0.29024209897968567</v>
      </c>
      <c r="L298" s="34">
        <f>-SUMIFS([6]BV_Data_An_Cour!$O:$O,[6]BV_Data_An_Cour!$U:$U,$B298,[6]BV_Data_An_Cour!$V:$V,$C298,[6]BV_Data_An_Cour!$W:$W,$L$2)</f>
        <v>4196.119999999999</v>
      </c>
      <c r="M298" s="164">
        <f t="shared" si="90"/>
        <v>-2.6837725768609672E-2</v>
      </c>
      <c r="N298" s="60">
        <f t="shared" si="91"/>
        <v>-212.9332674499019</v>
      </c>
      <c r="O298" s="31">
        <f>-SUMIFS([6]BV_Data_An_Prec!$O:$O,[6]BV_Data_An_Prec!$X:$X,"Oui",[6]BV_Data_An_Prec!$U:$U,$B298,[6]BV_Data_An_Prec!$V:$V,$C298)</f>
        <v>15606.28</v>
      </c>
      <c r="P298" s="155">
        <f t="shared" si="92"/>
        <v>0.2988098380908199</v>
      </c>
      <c r="Q298" s="34">
        <f>-SUMIFS([6]BV_Data_An_Prec!$O:$O,[6]BV_Data_An_Prec!$U:$U,$B298,[6]BV_Data_An_Prec!$V:$V,$C298,[6]BV_Data_An_Prec!$W:$W,$L$2)</f>
        <v>4663.3100000000013</v>
      </c>
      <c r="R298" s="164">
        <f t="shared" si="96"/>
        <v>-7.3622285387677344E-2</v>
      </c>
      <c r="S298" s="86">
        <f t="shared" si="93"/>
        <v>-467.19000000000233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8"/>
        <v>PiècesVentes de Gros</v>
      </c>
      <c r="B299" s="12" t="s">
        <v>104</v>
      </c>
      <c r="C299" s="30" t="s">
        <v>111</v>
      </c>
      <c r="D299" s="83">
        <f>+INDEX('[6]Budget original'!$A$2:$AO$496,MATCH($A299,'[6]Budget original'!$A$2:$A$496,0),MATCH(D$2,'[6]Budget original'!$A$2:$AO$2,0))</f>
        <v>54567.944395506944</v>
      </c>
      <c r="E299" s="155">
        <f t="shared" si="94"/>
        <v>0.19081606757663097</v>
      </c>
      <c r="F299" s="86">
        <f>+INDEX('[6]Budget original'!$A$2:$AO$496,MATCH($A299,'[6]Budget original'!$A$2:$A$496,0),MATCH(F$2,'[6]Budget original'!$A$2:$AO$2,0))</f>
        <v>10412.440565290894</v>
      </c>
      <c r="G299" s="83">
        <f>+INDEX('[6]Budget révisé'!$A$2:$AO$496,MATCH($A299,'[6]Budget révisé'!$A$2:$A$496,0),MATCH(G$2,'[6]Budget révisé'!$A$2:$AO$2,0))</f>
        <v>54567.944395506944</v>
      </c>
      <c r="H299" s="155">
        <f t="shared" si="95"/>
        <v>0.19081606757663097</v>
      </c>
      <c r="I299" s="86">
        <f>+INDEX('[6]Budget révisé'!$A$2:$AO$496,MATCH($A299,'[6]Budget révisé'!$A$2:$A$496,0),MATCH(I$2,'[6]Budget révisé'!$A$2:$AO$2,0))</f>
        <v>10412.440565290894</v>
      </c>
      <c r="J299" s="31">
        <f>-SUMIFS([6]BV_Data_An_Cour!$O:$O,[6]BV_Data_An_Cour!$X:$X,"Oui",[6]BV_Data_An_Cour!$U:$U,$B299,[6]BV_Data_An_Cour!$V:$V,$C299)</f>
        <v>33246.97</v>
      </c>
      <c r="K299" s="155">
        <f t="shared" si="89"/>
        <v>0.1798897764217311</v>
      </c>
      <c r="L299" s="34">
        <f>-SUMIFS([6]BV_Data_An_Cour!$O:$O,[6]BV_Data_An_Cour!$U:$U,$B299,[6]BV_Data_An_Cour!$V:$V,$C299,[6]BV_Data_An_Cour!$W:$W,$L$2)</f>
        <v>5980.7900000000009</v>
      </c>
      <c r="M299" s="164">
        <f t="shared" si="90"/>
        <v>-0.39072342987621289</v>
      </c>
      <c r="N299" s="60">
        <f t="shared" si="91"/>
        <v>-4431.6505652908927</v>
      </c>
      <c r="O299" s="31">
        <f>-SUMIFS([6]BV_Data_An_Prec!$O:$O,[6]BV_Data_An_Prec!$X:$X,"Oui",[6]BV_Data_An_Prec!$U:$U,$B299,[6]BV_Data_An_Prec!$V:$V,$C299)</f>
        <v>54996.95</v>
      </c>
      <c r="P299" s="155">
        <f t="shared" si="92"/>
        <v>0.20567140541430018</v>
      </c>
      <c r="Q299" s="34">
        <f>-SUMIFS([6]BV_Data_An_Prec!$O:$O,[6]BV_Data_An_Prec!$U:$U,$B299,[6]BV_Data_An_Prec!$V:$V,$C299,[6]BV_Data_An_Prec!$W:$W,$L$2)</f>
        <v>11311.299999999996</v>
      </c>
      <c r="R299" s="164">
        <f t="shared" si="96"/>
        <v>-0.39547611276625333</v>
      </c>
      <c r="S299" s="86">
        <f t="shared" si="93"/>
        <v>-5330.5099999999948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8"/>
        <v>Pièces[...]</v>
      </c>
      <c r="B300" s="12" t="s">
        <v>104</v>
      </c>
      <c r="C300" s="30" t="s">
        <v>21</v>
      </c>
      <c r="D300" s="83">
        <f>+INDEX('[6]Budget original'!$A$2:$AO$496,MATCH($A300,'[6]Budget original'!$A$2:$A$496,0),MATCH(D$2,'[6]Budget original'!$A$2:$AO$2,0))</f>
        <v>0</v>
      </c>
      <c r="E300" s="155">
        <f t="shared" si="94"/>
        <v>0</v>
      </c>
      <c r="F300" s="86">
        <f>+INDEX('[6]Budget original'!$A$2:$AO$496,MATCH($A300,'[6]Budget original'!$A$2:$A$496,0),MATCH(F$2,'[6]Budget original'!$A$2:$AO$2,0))</f>
        <v>0</v>
      </c>
      <c r="G300" s="83">
        <f>+INDEX('[6]Budget révisé'!$A$2:$AO$496,MATCH($A300,'[6]Budget révisé'!$A$2:$A$496,0),MATCH(G$2,'[6]Budget révisé'!$A$2:$AO$2,0))</f>
        <v>0</v>
      </c>
      <c r="H300" s="155">
        <f t="shared" si="95"/>
        <v>0</v>
      </c>
      <c r="I300" s="86">
        <f>+INDEX('[6]Budget révisé'!$A$2:$AO$496,MATCH($A300,'[6]Budget révisé'!$A$2:$A$496,0),MATCH(I$2,'[6]Budget révisé'!$A$2:$AO$2,0))</f>
        <v>0</v>
      </c>
      <c r="J300" s="31">
        <f>-SUMIFS([6]BV_Data_An_Cour!$O:$O,[6]BV_Data_An_Cour!$X:$X,"Oui",[6]BV_Data_An_Cour!$U:$U,$B300,[6]BV_Data_An_Cour!$V:$V,$C300)</f>
        <v>0</v>
      </c>
      <c r="K300" s="155">
        <f t="shared" si="89"/>
        <v>0</v>
      </c>
      <c r="L300" s="34">
        <f>-SUMIFS([6]BV_Data_An_Cour!$O:$O,[6]BV_Data_An_Cour!$U:$U,$B300,[6]BV_Data_An_Cour!$V:$V,$C300,[6]BV_Data_An_Cour!$W:$W,$L$2)</f>
        <v>0</v>
      </c>
      <c r="M300" s="164" t="e">
        <f t="shared" si="90"/>
        <v>#DIV/0!</v>
      </c>
      <c r="N300" s="60">
        <f t="shared" si="91"/>
        <v>0</v>
      </c>
      <c r="O300" s="31">
        <f>-SUMIFS([6]BV_Data_An_Prec!$O:$O,[6]BV_Data_An_Prec!$X:$X,"Oui",[6]BV_Data_An_Prec!$U:$U,$B300,[6]BV_Data_An_Prec!$V:$V,$C300)</f>
        <v>0</v>
      </c>
      <c r="P300" s="155">
        <f t="shared" si="92"/>
        <v>0</v>
      </c>
      <c r="Q300" s="34">
        <f>-SUMIFS([6]BV_Data_An_Prec!$O:$O,[6]BV_Data_An_Prec!$U:$U,$B300,[6]BV_Data_An_Prec!$V:$V,$C300,[6]BV_Data_An_Prec!$W:$W,$L$2)</f>
        <v>0</v>
      </c>
      <c r="R300" s="164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8"/>
        <v>PiècesEscomptes</v>
      </c>
      <c r="B301" s="12" t="s">
        <v>104</v>
      </c>
      <c r="C301" s="30" t="s">
        <v>112</v>
      </c>
      <c r="D301" s="83">
        <f>+INDEX('[6]Budget original'!$A$2:$AO$496,MATCH($A301,'[6]Budget original'!$A$2:$A$496,0),MATCH(D$2,'[6]Budget original'!$A$2:$AO$2,0))</f>
        <v>0</v>
      </c>
      <c r="E301" s="155">
        <f t="shared" si="94"/>
        <v>0</v>
      </c>
      <c r="F301" s="86">
        <f>+INDEX('[6]Budget original'!$A$2:$AO$496,MATCH($A301,'[6]Budget original'!$A$2:$A$496,0),MATCH(F$2,'[6]Budget original'!$A$2:$AO$2,0))</f>
        <v>11117.747793097567</v>
      </c>
      <c r="G301" s="83">
        <f>+INDEX('[6]Budget révisé'!$A$2:$AO$496,MATCH($A301,'[6]Budget révisé'!$A$2:$A$496,0),MATCH(G$2,'[6]Budget révisé'!$A$2:$AO$2,0))</f>
        <v>0</v>
      </c>
      <c r="H301" s="155">
        <f t="shared" si="95"/>
        <v>0</v>
      </c>
      <c r="I301" s="86">
        <f>+INDEX('[6]Budget révisé'!$A$2:$AO$496,MATCH($A301,'[6]Budget révisé'!$A$2:$A$496,0),MATCH(I$2,'[6]Budget révisé'!$A$2:$AO$2,0))</f>
        <v>11117.747793097567</v>
      </c>
      <c r="J301" s="31">
        <f>-SUMIFS([6]BV_Data_An_Cour!$O:$O,[6]BV_Data_An_Cour!$X:$X,"Oui",[6]BV_Data_An_Cour!$U:$U,$B301,[6]BV_Data_An_Cour!$V:$V,$C301)</f>
        <v>0</v>
      </c>
      <c r="K301" s="155">
        <f t="shared" si="89"/>
        <v>0</v>
      </c>
      <c r="L301" s="34">
        <f>-SUMIFS([6]BV_Data_An_Cour!$O:$O,[6]BV_Data_An_Cour!$U:$U,$B301,[6]BV_Data_An_Cour!$V:$V,$C301,[6]BV_Data_An_Cour!$W:$W,$L$2)</f>
        <v>10251.25</v>
      </c>
      <c r="M301" s="164"/>
      <c r="N301" s="60">
        <f t="shared" si="91"/>
        <v>-866.49779309756741</v>
      </c>
      <c r="O301" s="31">
        <f>-SUMIFS([6]BV_Data_An_Prec!$O:$O,[6]BV_Data_An_Prec!$X:$X,"Oui",[6]BV_Data_An_Prec!$U:$U,$B301,[6]BV_Data_An_Prec!$V:$V,$C301)</f>
        <v>0</v>
      </c>
      <c r="P301" s="155">
        <f t="shared" si="92"/>
        <v>0</v>
      </c>
      <c r="Q301" s="34">
        <f>-SUMIFS([6]BV_Data_An_Prec!$O:$O,[6]BV_Data_An_Prec!$U:$U,$B301,[6]BV_Data_An_Prec!$V:$V,$C301,[6]BV_Data_An_Prec!$W:$W,$L$2)</f>
        <v>16821.09</v>
      </c>
      <c r="R301" s="164">
        <f t="shared" si="96"/>
        <v>0</v>
      </c>
      <c r="S301" s="86">
        <f t="shared" si="93"/>
        <v>-6569.84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8"/>
        <v>PiècesRectif. Inventaire</v>
      </c>
      <c r="B302" s="12" t="s">
        <v>104</v>
      </c>
      <c r="C302" s="88" t="s">
        <v>113</v>
      </c>
      <c r="D302" s="83">
        <f>+INDEX('[6]Budget original'!$A$2:$AO$496,MATCH($A302,'[6]Budget original'!$A$2:$A$496,0),MATCH(D$2,'[6]Budget original'!$A$2:$AO$2,0))</f>
        <v>0</v>
      </c>
      <c r="E302" s="155">
        <f t="shared" si="94"/>
        <v>0</v>
      </c>
      <c r="F302" s="86">
        <f>+INDEX('[6]Budget original'!$A$2:$AO$496,MATCH($A302,'[6]Budget original'!$A$2:$A$496,0),MATCH(F$2,'[6]Budget original'!$A$2:$AO$2,0))</f>
        <v>100</v>
      </c>
      <c r="G302" s="83">
        <f>+INDEX('[6]Budget révisé'!$A$2:$AO$496,MATCH($A302,'[6]Budget révisé'!$A$2:$A$496,0),MATCH(G$2,'[6]Budget révisé'!$A$2:$AO$2,0))</f>
        <v>0</v>
      </c>
      <c r="H302" s="155">
        <f t="shared" si="95"/>
        <v>0</v>
      </c>
      <c r="I302" s="86">
        <f>+INDEX('[6]Budget révisé'!$A$2:$AO$496,MATCH($A302,'[6]Budget révisé'!$A$2:$A$496,0),MATCH(I$2,'[6]Budget révisé'!$A$2:$AO$2,0))</f>
        <v>100</v>
      </c>
      <c r="J302" s="31">
        <f>-SUMIFS([6]BV_Data_An_Cour!$O:$O,[6]BV_Data_An_Cour!$X:$X,"Oui",[6]BV_Data_An_Cour!$U:$U,$B302,[6]BV_Data_An_Cour!$V:$V,$C302)</f>
        <v>0</v>
      </c>
      <c r="K302" s="155">
        <f t="shared" si="89"/>
        <v>0</v>
      </c>
      <c r="L302" s="34">
        <f>-SUMIFS([6]BV_Data_An_Cour!$O:$O,[6]BV_Data_An_Cour!$U:$U,$B302,[6]BV_Data_An_Cour!$V:$V,$C302,[6]BV_Data_An_Cour!$W:$W,$L$2)</f>
        <v>0</v>
      </c>
      <c r="M302" s="164"/>
      <c r="N302" s="60">
        <f t="shared" si="91"/>
        <v>-100</v>
      </c>
      <c r="O302" s="31">
        <f>-SUMIFS([6]BV_Data_An_Prec!$O:$O,[6]BV_Data_An_Prec!$X:$X,"Oui",[6]BV_Data_An_Prec!$U:$U,$B302,[6]BV_Data_An_Prec!$V:$V,$C302)</f>
        <v>0</v>
      </c>
      <c r="P302" s="155">
        <f t="shared" si="92"/>
        <v>0</v>
      </c>
      <c r="Q302" s="34">
        <f>-SUMIFS([6]BV_Data_An_Prec!$O:$O,[6]BV_Data_An_Prec!$U:$U,$B302,[6]BV_Data_An_Prec!$V:$V,$C302,[6]BV_Data_An_Prec!$W:$W,$L$2)</f>
        <v>0</v>
      </c>
      <c r="R302" s="164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8"/>
        <v>PiècesSous-total Pièces</v>
      </c>
      <c r="B303" s="12" t="s">
        <v>104</v>
      </c>
      <c r="C303" s="54" t="s">
        <v>114</v>
      </c>
      <c r="D303" s="204">
        <f>SUM(D294:D302)</f>
        <v>350692.08061947074</v>
      </c>
      <c r="E303" s="223">
        <f>IF(D303&lt;=0,0,F303/D303)</f>
        <v>0.31548716692668782</v>
      </c>
      <c r="F303" s="208">
        <f>SUM(F294:F302)</f>
        <v>110638.85097826243</v>
      </c>
      <c r="G303" s="204">
        <f>SUM(G294:G302)</f>
        <v>350692.08061947074</v>
      </c>
      <c r="H303" s="223">
        <f>IF(G303&lt;=0,0,I303/G303)</f>
        <v>0.31548716692668782</v>
      </c>
      <c r="I303" s="208">
        <f>SUM(I294:I302)</f>
        <v>110638.85097826243</v>
      </c>
      <c r="J303" s="204">
        <f>SUM(J294:J302)</f>
        <v>275176.28000000003</v>
      </c>
      <c r="K303" s="223">
        <f t="shared" si="89"/>
        <v>0.31327013360308514</v>
      </c>
      <c r="L303" s="206">
        <f>SUM(L294:L302)</f>
        <v>86204.50999999998</v>
      </c>
      <c r="M303" s="224">
        <f>(+J303-G303)/G303</f>
        <v>-0.21533363538200756</v>
      </c>
      <c r="N303" s="206">
        <f t="shared" si="91"/>
        <v>-24434.340978262451</v>
      </c>
      <c r="O303" s="204">
        <f>SUM(O294:O302)</f>
        <v>368065.52</v>
      </c>
      <c r="P303" s="223">
        <f t="shared" si="92"/>
        <v>0.32224545238575991</v>
      </c>
      <c r="Q303" s="206">
        <f>SUM(Q294:Q302)</f>
        <v>118607.43999999997</v>
      </c>
      <c r="R303" s="224">
        <f>IF(O303=0,0,(J303-O303)/O303)</f>
        <v>-0.25237147994737452</v>
      </c>
      <c r="S303" s="208">
        <f t="shared" si="93"/>
        <v>-32402.929999999993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8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-0.22084774708174748</v>
      </c>
      <c r="O304" s="42"/>
      <c r="P304" s="14"/>
      <c r="Q304" s="41"/>
      <c r="R304" s="42"/>
      <c r="S304" s="45">
        <f>IF(Q303=0,0,S303/Q303)</f>
        <v>-0.27319475068343096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8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8"/>
        <v>PiècesVentes Pneus</v>
      </c>
      <c r="B306" s="12" t="s">
        <v>104</v>
      </c>
      <c r="C306" s="30" t="s">
        <v>115</v>
      </c>
      <c r="D306" s="83">
        <f>+INDEX('[6]Budget original'!$A$2:$AO$496,MATCH($A306,'[6]Budget original'!$A$2:$A$496,0),MATCH(D$2,'[6]Budget original'!$A$2:$AO$2,0))</f>
        <v>39747.724268615071</v>
      </c>
      <c r="E306" s="155">
        <f t="shared" ref="E306:E307" si="97">IF(D306=0,0,F306/D306)</f>
        <v>0.19500000000000001</v>
      </c>
      <c r="F306" s="116">
        <f>+INDEX('[6]Budget original'!$A$2:$AO$496,MATCH($A306,'[6]Budget original'!$A$2:$A$496,0),MATCH(F$2,'[6]Budget original'!$A$2:$AO$2,0))</f>
        <v>7750.8062323799395</v>
      </c>
      <c r="G306" s="83">
        <f>+INDEX('[6]Budget révisé'!$A$2:$AO$496,MATCH($A306,'[6]Budget révisé'!$A$2:$A$496,0),MATCH(G$2,'[6]Budget révisé'!$A$2:$AO$2,0))</f>
        <v>39747.724268615071</v>
      </c>
      <c r="H306" s="155">
        <f t="shared" ref="H306:H307" si="98">IF(G306=0,0,I306/G306)</f>
        <v>0.19500000000000001</v>
      </c>
      <c r="I306" s="116">
        <f>+INDEX('[6]Budget révisé'!$A$2:$AO$496,MATCH($A306,'[6]Budget révisé'!$A$2:$A$496,0),MATCH(I$2,'[6]Budget révisé'!$A$2:$AO$2,0))</f>
        <v>7750.8062323799395</v>
      </c>
      <c r="J306" s="31">
        <f>-SUMIFS([6]BV_Data_An_Cour!$O:$O,[6]BV_Data_An_Cour!$X:$X,"Oui",[6]BV_Data_An_Cour!$U:$U,$B306,[6]BV_Data_An_Cour!$V:$V,$C306)</f>
        <v>41678.730000000003</v>
      </c>
      <c r="K306" s="155">
        <f t="shared" ref="K306:K308" si="99">IF(J306&lt;=0,0,L306/J306)</f>
        <v>0.17140613449594086</v>
      </c>
      <c r="L306" s="34">
        <f>-SUMIFS([6]BV_Data_An_Cour!$O:$O,[6]BV_Data_An_Cour!$U:$U,$B306,[6]BV_Data_An_Cour!$V:$V,$C306,[6]BV_Data_An_Cour!$W:$W,$L$2)</f>
        <v>7143.9900000000052</v>
      </c>
      <c r="M306" s="164">
        <f t="shared" ref="M306:M308" si="100">(+J306-G306)/G306</f>
        <v>4.8581541884893775E-2</v>
      </c>
      <c r="N306" s="60">
        <f t="shared" ref="N306:N308" si="101">L306-I306</f>
        <v>-606.81623237993426</v>
      </c>
      <c r="O306" s="31">
        <f>-SUMIFS([6]BV_Data_An_Prec!$O:$O,[6]BV_Data_An_Prec!$X:$X,"Oui",[6]BV_Data_An_Prec!$U:$U,$B306,[6]BV_Data_An_Prec!$V:$V,$C306)</f>
        <v>34672.89</v>
      </c>
      <c r="P306" s="155">
        <f t="shared" ref="P306:P308" si="102">IF(O306&lt;=0,0,Q306/O306)</f>
        <v>0.17254748594651328</v>
      </c>
      <c r="Q306" s="34">
        <f>-SUMIFS([6]BV_Data_An_Prec!$O:$O,[6]BV_Data_An_Prec!$U:$U,$B306,[6]BV_Data_An_Prec!$V:$V,$C306,[6]BV_Data_An_Prec!$W:$W,$L$2)</f>
        <v>5982.7200000000012</v>
      </c>
      <c r="R306" s="164">
        <f t="shared" ref="R306:R307" si="103">IF(O306=0,0,(J306-O306)/O306)</f>
        <v>0.20205526565567519</v>
      </c>
      <c r="S306" s="86">
        <f t="shared" ref="S306:S308" si="104">L306-Q306</f>
        <v>1161.2700000000041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8"/>
        <v>PiècesHuiles et Graisse</v>
      </c>
      <c r="B307" s="12" t="s">
        <v>104</v>
      </c>
      <c r="C307" s="88" t="s">
        <v>116</v>
      </c>
      <c r="D307" s="83">
        <f>+INDEX('[6]Budget original'!$A$2:$AO$496,MATCH($A307,'[6]Budget original'!$A$2:$A$496,0),MATCH(D$2,'[6]Budget original'!$A$2:$AO$2,0))</f>
        <v>22742.311918463936</v>
      </c>
      <c r="E307" s="155">
        <f t="shared" si="97"/>
        <v>0.30006987567403659</v>
      </c>
      <c r="F307" s="95">
        <f>+INDEX('[6]Budget original'!$A$2:$AO$496,MATCH($A307,'[6]Budget original'!$A$2:$A$496,0),MATCH(F$2,'[6]Budget original'!$A$2:$AO$2,0))</f>
        <v>6824.2827099136339</v>
      </c>
      <c r="G307" s="83">
        <f>+INDEX('[6]Budget révisé'!$A$2:$AO$496,MATCH($A307,'[6]Budget révisé'!$A$2:$A$496,0),MATCH(G$2,'[6]Budget révisé'!$A$2:$AO$2,0))</f>
        <v>22742.311918463936</v>
      </c>
      <c r="H307" s="155">
        <f t="shared" si="98"/>
        <v>0.30006987567403659</v>
      </c>
      <c r="I307" s="95">
        <f>+INDEX('[6]Budget révisé'!$A$2:$AO$496,MATCH($A307,'[6]Budget révisé'!$A$2:$A$496,0),MATCH(I$2,'[6]Budget révisé'!$A$2:$AO$2,0))</f>
        <v>6824.2827099136339</v>
      </c>
      <c r="J307" s="31">
        <f>-SUMIFS([6]BV_Data_An_Cour!$O:$O,[6]BV_Data_An_Cour!$X:$X,"Oui",[6]BV_Data_An_Cour!$U:$U,$B307,[6]BV_Data_An_Cour!$V:$V,$C307)</f>
        <v>17764.38</v>
      </c>
      <c r="K307" s="155">
        <f t="shared" si="99"/>
        <v>0.29562416476116821</v>
      </c>
      <c r="L307" s="34">
        <f>-SUMIFS([6]BV_Data_An_Cour!$O:$O,[6]BV_Data_An_Cour!$U:$U,$B307,[6]BV_Data_An_Cour!$V:$V,$C307,[6]BV_Data_An_Cour!$W:$W,$L$2)</f>
        <v>5251.5800000000017</v>
      </c>
      <c r="M307" s="164">
        <f t="shared" si="100"/>
        <v>-0.21888416341798883</v>
      </c>
      <c r="N307" s="60">
        <f t="shared" si="101"/>
        <v>-1572.7027099136321</v>
      </c>
      <c r="O307" s="31">
        <f>-SUMIFS([6]BV_Data_An_Prec!$O:$O,[6]BV_Data_An_Prec!$X:$X,"Oui",[6]BV_Data_An_Prec!$U:$U,$B307,[6]BV_Data_An_Prec!$V:$V,$C307)</f>
        <v>22194.99</v>
      </c>
      <c r="P307" s="155">
        <f t="shared" si="102"/>
        <v>0.29556174614180952</v>
      </c>
      <c r="Q307" s="34">
        <f>-SUMIFS([6]BV_Data_An_Prec!$O:$O,[6]BV_Data_An_Prec!$U:$U,$B307,[6]BV_Data_An_Prec!$V:$V,$C307,[6]BV_Data_An_Prec!$W:$W,$L$2)</f>
        <v>6559.9900000000016</v>
      </c>
      <c r="R307" s="164">
        <f t="shared" si="103"/>
        <v>-0.19962207687410538</v>
      </c>
      <c r="S307" s="86">
        <f t="shared" si="104"/>
        <v>-1308.4099999999999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8"/>
        <v>PiècesSous-total Pièces et Acc.</v>
      </c>
      <c r="B308" s="12" t="s">
        <v>104</v>
      </c>
      <c r="C308" s="54" t="s">
        <v>117</v>
      </c>
      <c r="D308" s="204">
        <f>D303+D306+D307</f>
        <v>413182.11680654972</v>
      </c>
      <c r="E308" s="223">
        <f>IF(D308&lt;=0,0,F308/D308)</f>
        <v>0.30304782038565498</v>
      </c>
      <c r="F308" s="206">
        <f t="shared" ref="F308" si="105">F303+F306+F307</f>
        <v>125213.939920556</v>
      </c>
      <c r="G308" s="207">
        <f>G303+G306+G307</f>
        <v>413182.11680654972</v>
      </c>
      <c r="H308" s="223">
        <f>IF(G308&lt;=0,0,I308/G308)</f>
        <v>0.30304782038565498</v>
      </c>
      <c r="I308" s="206">
        <f t="shared" ref="I308:J308" si="106">I303+I306+I307</f>
        <v>125213.939920556</v>
      </c>
      <c r="J308" s="207">
        <f t="shared" si="106"/>
        <v>334619.39</v>
      </c>
      <c r="K308" s="223">
        <f t="shared" si="99"/>
        <v>0.29466337859261527</v>
      </c>
      <c r="L308" s="206">
        <f>L303+L306+L307</f>
        <v>98600.079999999987</v>
      </c>
      <c r="M308" s="224">
        <f t="shared" si="100"/>
        <v>-0.19014067553008948</v>
      </c>
      <c r="N308" s="206">
        <f t="shared" si="101"/>
        <v>-26613.859920556017</v>
      </c>
      <c r="O308" s="207">
        <f t="shared" ref="O308" si="107">O303+O306+O307</f>
        <v>424933.4</v>
      </c>
      <c r="P308" s="223">
        <f t="shared" si="102"/>
        <v>0.3086369534614129</v>
      </c>
      <c r="Q308" s="206">
        <f>Q303+Q306+Q307</f>
        <v>131150.14999999997</v>
      </c>
      <c r="R308" s="224">
        <f>IF(O308=0,0,(J308-O308)/O308)</f>
        <v>-0.21253685871715428</v>
      </c>
      <c r="S308" s="208">
        <f t="shared" si="104"/>
        <v>-32550.069999999978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8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-0.21254710088542544</v>
      </c>
      <c r="O309" s="42"/>
      <c r="P309" s="14"/>
      <c r="Q309" s="41"/>
      <c r="R309" s="42"/>
      <c r="S309" s="45">
        <f>IF(Q308=0,0,S308/Q308)</f>
        <v>-0.24818934633319129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8"/>
        <v>Pièces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8"/>
        <v>PiècesAutostock</v>
      </c>
      <c r="B311" s="12" t="s">
        <v>104</v>
      </c>
      <c r="C311" s="88" t="s">
        <v>118</v>
      </c>
      <c r="D311" s="92">
        <f>+INDEX('[6]Budget original'!$A$2:$AO$496,MATCH($A311,'[6]Budget original'!$A$2:$A$496,0),MATCH(D$2,'[6]Budget original'!$A$2:$AO$2,0))</f>
        <v>0</v>
      </c>
      <c r="E311" s="227">
        <f t="shared" ref="E311" si="108">IF(D311=0,0,F311/D311)</f>
        <v>0</v>
      </c>
      <c r="F311" s="153">
        <f>+INDEX('[6]Budget original'!$A$2:$AO$496,MATCH($A311,'[6]Budget original'!$A$2:$A$496,0),MATCH(F$2,'[6]Budget original'!$A$2:$AO$2,0))</f>
        <v>0</v>
      </c>
      <c r="G311" s="181">
        <f>+INDEX('[6]Budget révisé'!$A$2:$AO$496,MATCH($A311,'[6]Budget révisé'!$A$2:$A$496,0),MATCH(G$2,'[6]Budget révisé'!$A$2:$AO$2,0))</f>
        <v>0</v>
      </c>
      <c r="H311" s="227">
        <f t="shared" ref="H311" si="109">IF(G311=0,0,I311/G311)</f>
        <v>0</v>
      </c>
      <c r="I311" s="153">
        <f>+INDEX('[6]Budget révisé'!$A$2:$AO$496,MATCH($A311,'[6]Budget révisé'!$A$2:$A$496,0),MATCH(I$2,'[6]Budget révisé'!$A$2:$AO$2,0))</f>
        <v>0</v>
      </c>
      <c r="J311" s="47">
        <f>-SUMIFS([6]BV_Data_An_Cour!$O:$O,[6]BV_Data_An_Cour!$X:$X,"Oui",[6]BV_Data_An_Cour!$U:$U,$B311,[6]BV_Data_An_Cour!$V:$V,$C311)</f>
        <v>0</v>
      </c>
      <c r="K311" s="228">
        <f>IF(J311&lt;=0,0,L311/J311)</f>
        <v>0</v>
      </c>
      <c r="L311" s="23">
        <f>-SUMIFS([6]BV_Data_An_Cour!$O:$O,[6]BV_Data_An_Cour!$U:$U,$B311,[6]BV_Data_An_Cour!$V:$V,$C311,[6]BV_Data_An_Cour!$W:$W,$L$2)</f>
        <v>0</v>
      </c>
      <c r="M311" s="228">
        <f>IF(F311=0,0,(+L311-F311)/F311)</f>
        <v>0</v>
      </c>
      <c r="N311" s="94">
        <f>L311-I311</f>
        <v>0</v>
      </c>
      <c r="O311" s="47">
        <f>-SUMIFS([6]BV_Data_An_Prec!$O:$O,[6]BV_Data_An_Prec!$X:$X,"Oui",[6]BV_Data_An_Prec!$U:$U,$B311,[6]BV_Data_An_Prec!$V:$V,$C311)</f>
        <v>0</v>
      </c>
      <c r="P311" s="228">
        <f>IF(O311&lt;=0,0,Q311/O311)</f>
        <v>0</v>
      </c>
      <c r="Q311" s="23">
        <f>-SUMIFS([6]BV_Data_An_Prec!$O:$O,[6]BV_Data_An_Prec!$U:$U,$B311,[6]BV_Data_An_Prec!$V:$V,$C311,[6]BV_Data_An_Prec!$W:$W,$L$2)</f>
        <v>0</v>
      </c>
      <c r="R311" s="228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8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8"/>
        <v>PiècesTotal Dépt. Pièces</v>
      </c>
      <c r="B313" s="12" t="s">
        <v>104</v>
      </c>
      <c r="C313" s="63" t="s">
        <v>119</v>
      </c>
      <c r="D313" s="64">
        <f>D308+D311</f>
        <v>413182.11680654972</v>
      </c>
      <c r="E313" s="229">
        <f>IF(D313&lt;=0,0,F313/D313)</f>
        <v>0.30304782038565498</v>
      </c>
      <c r="F313" s="66">
        <f t="shared" ref="F313" si="110">F308+F311</f>
        <v>125213.939920556</v>
      </c>
      <c r="G313" s="67">
        <f>G308+G311</f>
        <v>413182.11680654972</v>
      </c>
      <c r="H313" s="229">
        <f>IF(G313&lt;=0,0,I313/G313)</f>
        <v>0.30304782038565498</v>
      </c>
      <c r="I313" s="66">
        <f t="shared" ref="I313:J313" si="111">I308+I311</f>
        <v>125213.939920556</v>
      </c>
      <c r="J313" s="67">
        <f t="shared" si="111"/>
        <v>334619.39</v>
      </c>
      <c r="K313" s="229">
        <f>IF(J313&lt;=0,0,L313/J313)</f>
        <v>0.29466337859261527</v>
      </c>
      <c r="L313" s="66">
        <f>L308+L311</f>
        <v>98600.079999999987</v>
      </c>
      <c r="M313" s="230">
        <f>(+J313-G313)/G313</f>
        <v>-0.19014067553008948</v>
      </c>
      <c r="N313" s="231">
        <f>L313-I313</f>
        <v>-26613.859920556017</v>
      </c>
      <c r="O313" s="67">
        <f t="shared" ref="O313" si="112">O308+O311</f>
        <v>424933.4</v>
      </c>
      <c r="P313" s="229">
        <f>IF(O313&lt;=0,0,Q313/O313)</f>
        <v>0.3086369534614129</v>
      </c>
      <c r="Q313" s="66">
        <f>Q308+Q311</f>
        <v>131150.14999999997</v>
      </c>
      <c r="R313" s="230">
        <f>IF(O313=0,0,(J313-O313)/O313)</f>
        <v>-0.21253685871715428</v>
      </c>
      <c r="S313" s="232">
        <f>L313-Q313</f>
        <v>-32550.069999999978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8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-0.21254710088542544</v>
      </c>
      <c r="O314" s="237"/>
      <c r="P314" s="235"/>
      <c r="Q314" s="236"/>
      <c r="R314" s="238"/>
      <c r="S314" s="76">
        <f>IF(Q313=0,0,S313/Q313)</f>
        <v>-0.24818934633319129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8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8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8"/>
        <v>PiècesSalaires cadres</v>
      </c>
      <c r="B317" s="12" t="s">
        <v>104</v>
      </c>
      <c r="C317" s="108" t="s">
        <v>42</v>
      </c>
      <c r="D317" s="14"/>
      <c r="E317" s="14"/>
      <c r="F317" s="31">
        <f>+INDEX('[6]Budget original'!$A$2:$AO$496,MATCH($A317,'[6]Budget original'!$A$2:$A$496,0),MATCH(F$2,'[6]Budget original'!$A$2:$AO$2,0))</f>
        <v>9312.4792762778889</v>
      </c>
      <c r="G317" s="42"/>
      <c r="H317" s="14"/>
      <c r="I317" s="31">
        <f>+INDEX('[6]Budget révisé'!$A$2:$AO$496,MATCH($A317,'[6]Budget révisé'!$A$2:$A$496,0),MATCH(I$2,'[6]Budget révisé'!$A$2:$AO$2,0))</f>
        <v>9312.4792762778889</v>
      </c>
      <c r="J317" s="42"/>
      <c r="K317" s="14"/>
      <c r="L317" s="34">
        <f>SUMIFS([6]BV_Data_An_Cour!$O:$O,[6]BV_Data_An_Cour!$U:$U,$B317,[6]BV_Data_An_Cour!$V:$V,$C317,[6]BV_Data_An_Cour!$W:$W,$L$2)</f>
        <v>5861.34</v>
      </c>
      <c r="M317" s="42"/>
      <c r="N317" s="60">
        <f t="shared" ref="N317:N347" si="113">L317-I317</f>
        <v>-3451.1392762778887</v>
      </c>
      <c r="O317" s="42"/>
      <c r="P317" s="14"/>
      <c r="Q317" s="34">
        <f>SUMIFS([6]BV_Data_An_Prec!$O:$O,[6]BV_Data_An_Prec!$U:$U,$B317,[6]BV_Data_An_Prec!$V:$V,$C317,[6]BV_Data_An_Prec!$W:$W,$L$2)</f>
        <v>11960.17</v>
      </c>
      <c r="R317" s="42"/>
      <c r="S317" s="35">
        <f>L317-Q317</f>
        <v>-6098.83</v>
      </c>
      <c r="T317" s="14"/>
      <c r="U317" s="14"/>
      <c r="V317" s="14" t="s">
        <v>245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8"/>
        <v>PiècesSalaires commis</v>
      </c>
      <c r="B318" s="12" t="s">
        <v>104</v>
      </c>
      <c r="C318" s="109" t="s">
        <v>43</v>
      </c>
      <c r="D318" s="82"/>
      <c r="E318" s="14"/>
      <c r="F318" s="23">
        <f>+INDEX('[6]Budget original'!$A$2:$AO$496,MATCH($A318,'[6]Budget original'!$A$2:$A$496,0),MATCH(F$2,'[6]Budget original'!$A$2:$AO$2,0))</f>
        <v>4457.4935733946359</v>
      </c>
      <c r="G318" s="84"/>
      <c r="H318" s="14"/>
      <c r="I318" s="23">
        <f>+INDEX('[6]Budget révisé'!$A$2:$AO$496,MATCH($A318,'[6]Budget révisé'!$A$2:$A$496,0),MATCH(I$2,'[6]Budget révisé'!$A$2:$AO$2,0))</f>
        <v>4457.4935733946359</v>
      </c>
      <c r="J318" s="42"/>
      <c r="K318" s="14"/>
      <c r="L318" s="34">
        <f>SUMIFS([6]BV_Data_An_Cour!$O:$O,[6]BV_Data_An_Cour!$U:$U,$B318,[6]BV_Data_An_Cour!$V:$V,$C318,[6]BV_Data_An_Cour!$W:$W,$L$2)</f>
        <v>4362.93</v>
      </c>
      <c r="M318" s="42"/>
      <c r="N318" s="60">
        <f t="shared" si="113"/>
        <v>-94.563573394635569</v>
      </c>
      <c r="O318" s="42"/>
      <c r="P318" s="14"/>
      <c r="Q318" s="34">
        <f>SUMIFS([6]BV_Data_An_Prec!$O:$O,[6]BV_Data_An_Prec!$U:$U,$B318,[6]BV_Data_An_Prec!$V:$V,$C318,[6]BV_Data_An_Prec!$W:$W,$L$2)</f>
        <v>4664.2</v>
      </c>
      <c r="R318" s="42"/>
      <c r="S318" s="86">
        <f t="shared" ref="S318:S347" si="114">L318-Q318</f>
        <v>-301.26999999999953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8"/>
        <v>PiècesSalaires autres</v>
      </c>
      <c r="B319" s="12" t="s">
        <v>104</v>
      </c>
      <c r="C319" s="108" t="s">
        <v>44</v>
      </c>
      <c r="D319" s="110"/>
      <c r="E319" s="111"/>
      <c r="F319" s="31">
        <f>+INDEX('[6]Budget original'!$A$2:$AO$496,MATCH($A319,'[6]Budget original'!$A$2:$A$496,0),MATCH(F$2,'[6]Budget original'!$A$2:$AO$2,0))</f>
        <v>16566.671412622221</v>
      </c>
      <c r="G319" s="112"/>
      <c r="H319" s="111"/>
      <c r="I319" s="31">
        <f>+INDEX('[6]Budget révisé'!$A$2:$AO$496,MATCH($A319,'[6]Budget révisé'!$A$2:$A$496,0),MATCH(I$2,'[6]Budget révisé'!$A$2:$AO$2,0))</f>
        <v>16566.671412622221</v>
      </c>
      <c r="J319" s="113"/>
      <c r="K319" s="111"/>
      <c r="L319" s="114">
        <f>SUMIFS([6]BV_Data_An_Cour!$O:$O,[6]BV_Data_An_Cour!$U:$U,$B319,[6]BV_Data_An_Cour!$V:$V,$C319,[6]BV_Data_An_Cour!$W:$W,$L$2)</f>
        <v>23595.43</v>
      </c>
      <c r="M319" s="113"/>
      <c r="N319" s="115">
        <f t="shared" si="113"/>
        <v>7028.7585873777789</v>
      </c>
      <c r="O319" s="113"/>
      <c r="P319" s="111"/>
      <c r="Q319" s="114">
        <f>SUMIFS([6]BV_Data_An_Prec!$O:$O,[6]BV_Data_An_Prec!$U:$U,$B319,[6]BV_Data_An_Prec!$V:$V,$C319,[6]BV_Data_An_Prec!$W:$W,$L$2)</f>
        <v>15579.01</v>
      </c>
      <c r="R319" s="113"/>
      <c r="S319" s="116">
        <f t="shared" si="114"/>
        <v>8016.42</v>
      </c>
      <c r="T319" s="14"/>
      <c r="U319" s="533"/>
      <c r="V319" s="533" t="s">
        <v>246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8"/>
        <v>PiècesSalaires spécialistes</v>
      </c>
      <c r="B320" s="12" t="s">
        <v>104</v>
      </c>
      <c r="C320" s="108" t="s">
        <v>45</v>
      </c>
      <c r="D320" s="82"/>
      <c r="E320" s="14"/>
      <c r="F320" s="31">
        <f>+INDEX('[6]Budget original'!$A$2:$AO$496,MATCH($A320,'[6]Budget original'!$A$2:$A$496,0),MATCH(F$2,'[6]Budget original'!$A$2:$AO$2,0))</f>
        <v>0</v>
      </c>
      <c r="G320" s="84"/>
      <c r="H320" s="14"/>
      <c r="I320" s="31">
        <f>+INDEX('[6]Budget révisé'!$A$2:$AO$496,MATCH($A320,'[6]Budget révisé'!$A$2:$A$496,0),MATCH(I$2,'[6]Budget révisé'!$A$2:$AO$2,0))</f>
        <v>0</v>
      </c>
      <c r="J320" s="42"/>
      <c r="K320" s="14"/>
      <c r="L320" s="34">
        <f>SUMIFS([6]BV_Data_An_Cour!$O:$O,[6]BV_Data_An_Cour!$U:$U,$B320,[6]BV_Data_An_Cour!$V:$V,$C320,[6]BV_Data_An_Cour!$W:$W,$L$2)</f>
        <v>0</v>
      </c>
      <c r="M320" s="42"/>
      <c r="N320" s="60">
        <f t="shared" si="113"/>
        <v>0</v>
      </c>
      <c r="O320" s="42"/>
      <c r="P320" s="14"/>
      <c r="Q320" s="34">
        <f>SUMIFS([6]BV_Data_An_Prec!$O:$O,[6]BV_Data_An_Prec!$U:$U,$B320,[6]BV_Data_An_Prec!$V:$V,$C320,[6]BV_Data_An_Prec!$W:$W,$L$2)</f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8"/>
        <v>Pièces[...]</v>
      </c>
      <c r="B321" s="12" t="s">
        <v>104</v>
      </c>
      <c r="C321" s="240" t="s">
        <v>21</v>
      </c>
      <c r="D321" s="82"/>
      <c r="E321" s="14"/>
      <c r="F321" s="31">
        <f>+INDEX('[6]Budget original'!$A$2:$AO$496,MATCH($A321,'[6]Budget original'!$A$2:$A$496,0),MATCH(F$2,'[6]Budget original'!$A$2:$AO$2,0))</f>
        <v>0</v>
      </c>
      <c r="G321" s="84"/>
      <c r="H321" s="14"/>
      <c r="I321" s="31">
        <f>+INDEX('[6]Budget révisé'!$A$2:$AO$496,MATCH($A321,'[6]Budget révisé'!$A$2:$A$496,0),MATCH(I$2,'[6]Budget révisé'!$A$2:$AO$2,0))</f>
        <v>0</v>
      </c>
      <c r="J321" s="42"/>
      <c r="K321" s="14"/>
      <c r="L321" s="34">
        <f>SUMIFS([6]BV_Data_An_Cour!$O:$O,[6]BV_Data_An_Cour!$U:$U,$B321,[6]BV_Data_An_Cour!$V:$V,$C321,[6]BV_Data_An_Cour!$W:$W,$L$2)</f>
        <v>0</v>
      </c>
      <c r="M321" s="42"/>
      <c r="N321" s="60">
        <f t="shared" si="113"/>
        <v>0</v>
      </c>
      <c r="O321" s="42"/>
      <c r="P321" s="14"/>
      <c r="Q321" s="34">
        <f>SUMIFS([6]BV_Data_An_Prec!$O:$O,[6]BV_Data_An_Prec!$U:$U,$B321,[6]BV_Data_An_Prec!$V:$V,$C321,[6]BV_Data_An_Prec!$W:$W,$L$2)</f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8"/>
        <v>Pièces[...]</v>
      </c>
      <c r="B322" s="12" t="s">
        <v>104</v>
      </c>
      <c r="C322" s="240" t="s">
        <v>21</v>
      </c>
      <c r="D322" s="82"/>
      <c r="E322" s="14"/>
      <c r="F322" s="31">
        <f>+INDEX('[6]Budget original'!$A$2:$AO$496,MATCH($A322,'[6]Budget original'!$A$2:$A$496,0),MATCH(F$2,'[6]Budget original'!$A$2:$AO$2,0))</f>
        <v>0</v>
      </c>
      <c r="G322" s="84"/>
      <c r="H322" s="14"/>
      <c r="I322" s="31">
        <f>+INDEX('[6]Budget révisé'!$A$2:$AO$496,MATCH($A322,'[6]Budget révisé'!$A$2:$A$496,0),MATCH(I$2,'[6]Budget révisé'!$A$2:$AO$2,0))</f>
        <v>0</v>
      </c>
      <c r="J322" s="42"/>
      <c r="K322" s="14"/>
      <c r="L322" s="34">
        <f>SUMIFS([6]BV_Data_An_Cour!$O:$O,[6]BV_Data_An_Cour!$U:$U,$B322,[6]BV_Data_An_Cour!$V:$V,$C322,[6]BV_Data_An_Cour!$W:$W,$L$2)</f>
        <v>0</v>
      </c>
      <c r="M322" s="42"/>
      <c r="N322" s="60">
        <f t="shared" si="113"/>
        <v>0</v>
      </c>
      <c r="O322" s="42"/>
      <c r="P322" s="14"/>
      <c r="Q322" s="34">
        <f>SUMIFS([6]BV_Data_An_Prec!$O:$O,[6]BV_Data_An_Prec!$U:$U,$B322,[6]BV_Data_An_Prec!$V:$V,$C322,[6]BV_Data_An_Prec!$W:$W,$L$2)</f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8"/>
        <v>Pièces[...]</v>
      </c>
      <c r="B323" s="12" t="s">
        <v>104</v>
      </c>
      <c r="C323" s="240" t="s">
        <v>21</v>
      </c>
      <c r="D323" s="82"/>
      <c r="E323" s="14"/>
      <c r="F323" s="31">
        <f>+INDEX('[6]Budget original'!$A$2:$AO$496,MATCH($A323,'[6]Budget original'!$A$2:$A$496,0),MATCH(F$2,'[6]Budget original'!$A$2:$AO$2,0))</f>
        <v>0</v>
      </c>
      <c r="G323" s="84"/>
      <c r="H323" s="14"/>
      <c r="I323" s="31">
        <f>+INDEX('[6]Budget révisé'!$A$2:$AO$496,MATCH($A323,'[6]Budget révisé'!$A$2:$A$496,0),MATCH(I$2,'[6]Budget révisé'!$A$2:$AO$2,0))</f>
        <v>0</v>
      </c>
      <c r="J323" s="42"/>
      <c r="K323" s="14"/>
      <c r="L323" s="34">
        <f>SUMIFS([6]BV_Data_An_Cour!$O:$O,[6]BV_Data_An_Cour!$U:$U,$B323,[6]BV_Data_An_Cour!$V:$V,$C323,[6]BV_Data_An_Cour!$W:$W,$L$2)</f>
        <v>0</v>
      </c>
      <c r="M323" s="42"/>
      <c r="N323" s="60">
        <f t="shared" si="113"/>
        <v>0</v>
      </c>
      <c r="O323" s="42"/>
      <c r="P323" s="14"/>
      <c r="Q323" s="34">
        <f>SUMIFS([6]BV_Data_An_Prec!$O:$O,[6]BV_Data_An_Prec!$U:$U,$B323,[6]BV_Data_An_Prec!$V:$V,$C323,[6]BV_Data_An_Prec!$W:$W,$L$2)</f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8"/>
        <v>PiècesSalaires en absences</v>
      </c>
      <c r="B324" s="12" t="s">
        <v>104</v>
      </c>
      <c r="C324" s="109" t="s">
        <v>46</v>
      </c>
      <c r="D324" s="82"/>
      <c r="E324" s="14"/>
      <c r="F324" s="23">
        <f>+INDEX('[6]Budget original'!$A$2:$AO$496,MATCH($A324,'[6]Budget original'!$A$2:$A$496,0),MATCH(F$2,'[6]Budget original'!$A$2:$AO$2,0))</f>
        <v>3640.3973114753694</v>
      </c>
      <c r="G324" s="84"/>
      <c r="H324" s="14"/>
      <c r="I324" s="23">
        <f>+INDEX('[6]Budget révisé'!$A$2:$AO$496,MATCH($A324,'[6]Budget révisé'!$A$2:$A$496,0),MATCH(I$2,'[6]Budget révisé'!$A$2:$AO$2,0))</f>
        <v>3640.3973114753694</v>
      </c>
      <c r="J324" s="42"/>
      <c r="K324" s="14"/>
      <c r="L324" s="34">
        <f>SUMIFS([6]BV_Data_An_Cour!$O:$O,[6]BV_Data_An_Cour!$U:$U,$B324,[6]BV_Data_An_Cour!$V:$V,$C324,[6]BV_Data_An_Cour!$W:$W,$L$2)</f>
        <v>3534.98</v>
      </c>
      <c r="M324" s="42"/>
      <c r="N324" s="60">
        <f t="shared" si="113"/>
        <v>-105.41731147536939</v>
      </c>
      <c r="O324" s="42"/>
      <c r="P324" s="14"/>
      <c r="Q324" s="34">
        <f>SUMIFS([6]BV_Data_An_Prec!$O:$O,[6]BV_Data_An_Prec!$U:$U,$B324,[6]BV_Data_An_Prec!$V:$V,$C324,[6]BV_Data_An_Prec!$W:$W,$L$2)</f>
        <v>4137.8599999999997</v>
      </c>
      <c r="R324" s="42"/>
      <c r="S324" s="86">
        <f t="shared" si="114"/>
        <v>-602.87999999999965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8"/>
        <v>PiècesDéduction à la source</v>
      </c>
      <c r="B325" s="12" t="s">
        <v>104</v>
      </c>
      <c r="C325" s="108" t="s">
        <v>47</v>
      </c>
      <c r="D325" s="110"/>
      <c r="E325" s="111"/>
      <c r="F325" s="31">
        <f>+INDEX('[6]Budget original'!$A$2:$AO$496,MATCH($A325,'[6]Budget original'!$A$2:$A$496,0),MATCH(F$2,'[6]Budget original'!$A$2:$AO$2,0))</f>
        <v>3640.3973114753694</v>
      </c>
      <c r="G325" s="112"/>
      <c r="H325" s="111"/>
      <c r="I325" s="31">
        <f>+INDEX('[6]Budget révisé'!$A$2:$AO$496,MATCH($A325,'[6]Budget révisé'!$A$2:$A$496,0),MATCH(I$2,'[6]Budget révisé'!$A$2:$AO$2,0))</f>
        <v>3640.3973114753694</v>
      </c>
      <c r="J325" s="113"/>
      <c r="K325" s="111"/>
      <c r="L325" s="114">
        <f>SUMIFS([6]BV_Data_An_Cour!$O:$O,[6]BV_Data_An_Cour!$U:$U,$B325,[6]BV_Data_An_Cour!$V:$V,$C325,[6]BV_Data_An_Cour!$W:$W,$L$2)</f>
        <v>45.44</v>
      </c>
      <c r="M325" s="113"/>
      <c r="N325" s="115">
        <f t="shared" si="113"/>
        <v>-3594.9573114753694</v>
      </c>
      <c r="O325" s="113"/>
      <c r="P325" s="111"/>
      <c r="Q325" s="114">
        <f>SUMIFS([6]BV_Data_An_Prec!$O:$O,[6]BV_Data_An_Prec!$U:$U,$B325,[6]BV_Data_An_Prec!$V:$V,$C325,[6]BV_Data_An_Prec!$W:$W,$L$2)</f>
        <v>0</v>
      </c>
      <c r="R325" s="113"/>
      <c r="S325" s="116">
        <f t="shared" si="114"/>
        <v>45.44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8"/>
        <v>PiècesBénéfices marginaux</v>
      </c>
      <c r="B326" s="12" t="s">
        <v>104</v>
      </c>
      <c r="C326" s="108" t="s">
        <v>48</v>
      </c>
      <c r="D326" s="82"/>
      <c r="E326" s="14"/>
      <c r="F326" s="31">
        <f>+INDEX('[6]Budget original'!$A$2:$AO$496,MATCH($A326,'[6]Budget original'!$A$2:$A$496,0),MATCH(F$2,'[6]Budget original'!$A$2:$AO$2,0))</f>
        <v>2608.951406557348</v>
      </c>
      <c r="G326" s="84"/>
      <c r="H326" s="14"/>
      <c r="I326" s="31">
        <f>+INDEX('[6]Budget révisé'!$A$2:$AO$496,MATCH($A326,'[6]Budget révisé'!$A$2:$A$496,0),MATCH(I$2,'[6]Budget révisé'!$A$2:$AO$2,0))</f>
        <v>2608.951406557348</v>
      </c>
      <c r="J326" s="42"/>
      <c r="K326" s="14"/>
      <c r="L326" s="34">
        <f>SUMIFS([6]BV_Data_An_Cour!$O:$O,[6]BV_Data_An_Cour!$U:$U,$B326,[6]BV_Data_An_Cour!$V:$V,$C326,[6]BV_Data_An_Cour!$W:$W,$L$2)</f>
        <v>2652.84</v>
      </c>
      <c r="M326" s="42"/>
      <c r="N326" s="60">
        <f t="shared" si="113"/>
        <v>43.888593442652109</v>
      </c>
      <c r="O326" s="42"/>
      <c r="P326" s="14"/>
      <c r="Q326" s="34">
        <f>SUMIFS([6]BV_Data_An_Prec!$O:$O,[6]BV_Data_An_Prec!$U:$U,$B326,[6]BV_Data_An_Prec!$V:$V,$C326,[6]BV_Data_An_Prec!$W:$W,$L$2)</f>
        <v>4436.7700000000004</v>
      </c>
      <c r="R326" s="42"/>
      <c r="S326" s="86">
        <f t="shared" si="114"/>
        <v>-1783.9300000000003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8"/>
        <v>PiècesCsst</v>
      </c>
      <c r="B327" s="12" t="s">
        <v>104</v>
      </c>
      <c r="C327" s="108" t="s">
        <v>49</v>
      </c>
      <c r="D327" s="82"/>
      <c r="E327" s="14"/>
      <c r="F327" s="31">
        <f>+INDEX('[6]Budget original'!$A$2:$AO$496,MATCH($A327,'[6]Budget original'!$A$2:$A$496,0),MATCH(F$2,'[6]Budget original'!$A$2:$AO$2,0))</f>
        <v>606.73288524589498</v>
      </c>
      <c r="G327" s="84"/>
      <c r="H327" s="14"/>
      <c r="I327" s="31">
        <f>+INDEX('[6]Budget révisé'!$A$2:$AO$496,MATCH($A327,'[6]Budget révisé'!$A$2:$A$496,0),MATCH(I$2,'[6]Budget révisé'!$A$2:$AO$2,0))</f>
        <v>606.73288524589498</v>
      </c>
      <c r="J327" s="42"/>
      <c r="K327" s="14"/>
      <c r="L327" s="34">
        <f>SUMIFS([6]BV_Data_An_Cour!$O:$O,[6]BV_Data_An_Cour!$U:$U,$B327,[6]BV_Data_An_Cour!$V:$V,$C327,[6]BV_Data_An_Cour!$W:$W,$L$2)</f>
        <v>4273.130000000001</v>
      </c>
      <c r="M327" s="42"/>
      <c r="N327" s="60">
        <f t="shared" si="113"/>
        <v>3666.397114754106</v>
      </c>
      <c r="O327" s="42"/>
      <c r="P327" s="14"/>
      <c r="Q327" s="34">
        <f>SUMIFS([6]BV_Data_An_Prec!$O:$O,[6]BV_Data_An_Prec!$U:$U,$B327,[6]BV_Data_An_Prec!$V:$V,$C327,[6]BV_Data_An_Prec!$W:$W,$L$2)</f>
        <v>4972.22</v>
      </c>
      <c r="R327" s="42"/>
      <c r="S327" s="86">
        <f t="shared" si="114"/>
        <v>-699.08999999999924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8"/>
        <v>Pièces[...]</v>
      </c>
      <c r="B328" s="12" t="s">
        <v>104</v>
      </c>
      <c r="C328" s="30" t="s">
        <v>21</v>
      </c>
      <c r="D328" s="89"/>
      <c r="E328" s="117"/>
      <c r="F328" s="31">
        <f>+INDEX('[6]Budget original'!$A$2:$AO$496,MATCH($A328,'[6]Budget original'!$A$2:$A$496,0),MATCH(F$2,'[6]Budget original'!$A$2:$AO$2,0))</f>
        <v>0</v>
      </c>
      <c r="G328" s="91"/>
      <c r="H328" s="117"/>
      <c r="I328" s="31">
        <f>+INDEX('[6]Budget révisé'!$A$2:$AO$496,MATCH($A328,'[6]Budget révisé'!$A$2:$A$496,0),MATCH(I$2,'[6]Budget révisé'!$A$2:$AO$2,0))</f>
        <v>0</v>
      </c>
      <c r="J328" s="24"/>
      <c r="K328" s="117"/>
      <c r="L328" s="34">
        <f>SUMIFS([6]BV_Data_An_Cour!$O:$O,[6]BV_Data_An_Cour!$U:$U,$B328,[6]BV_Data_An_Cour!$V:$V,$C328,[6]BV_Data_An_Cour!$W:$W,$L$2)</f>
        <v>0</v>
      </c>
      <c r="M328" s="24"/>
      <c r="N328" s="94">
        <f t="shared" si="113"/>
        <v>0</v>
      </c>
      <c r="O328" s="24"/>
      <c r="P328" s="117"/>
      <c r="Q328" s="34">
        <f>SUMIFS([6]BV_Data_An_Prec!$O:$O,[6]BV_Data_An_Prec!$U:$U,$B328,[6]BV_Data_An_Prec!$V:$V,$C328,[6]BV_Data_An_Prec!$W:$W,$L$2)</f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8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0.32610684723247235</v>
      </c>
      <c r="F329" s="102">
        <f>+SUM(F317:F328)</f>
        <v>40833.123177048728</v>
      </c>
      <c r="G329" s="103" t="s">
        <v>40</v>
      </c>
      <c r="H329" s="101">
        <f>I329/I$313</f>
        <v>0.32610684723247235</v>
      </c>
      <c r="I329" s="102">
        <f>+SUM(I317:I328)</f>
        <v>40833.123177048728</v>
      </c>
      <c r="J329" s="103" t="s">
        <v>40</v>
      </c>
      <c r="K329" s="101">
        <f>L329/L$313</f>
        <v>0.44955430056446216</v>
      </c>
      <c r="L329" s="102">
        <f>+SUM(L317:L328)</f>
        <v>44326.090000000011</v>
      </c>
      <c r="M329" s="154"/>
      <c r="N329" s="119">
        <f t="shared" si="113"/>
        <v>3492.9668229512827</v>
      </c>
      <c r="O329" s="103" t="s">
        <v>40</v>
      </c>
      <c r="P329" s="101">
        <f>Q329/Q$313</f>
        <v>0.34883856404281666</v>
      </c>
      <c r="Q329" s="102">
        <f>+SUM(Q317:Q328)</f>
        <v>45750.229999999996</v>
      </c>
      <c r="R329" s="154"/>
      <c r="S329" s="120">
        <f t="shared" si="114"/>
        <v>-1424.1399999999849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8"/>
        <v>PiècesPublicité 2</v>
      </c>
      <c r="B330" s="12" t="s">
        <v>104</v>
      </c>
      <c r="C330" s="221" t="s">
        <v>51</v>
      </c>
      <c r="D330" s="82"/>
      <c r="E330" s="14"/>
      <c r="F330" s="31">
        <f>+INDEX('[6]Budget original'!$A$2:$AO$496,MATCH($A330,'[6]Budget original'!$A$2:$A$496,0),MATCH(F$2,'[6]Budget original'!$A$2:$AO$2,0))</f>
        <v>3808.6416666666664</v>
      </c>
      <c r="G330" s="84"/>
      <c r="H330" s="14"/>
      <c r="I330" s="31">
        <f>+INDEX('[6]Budget révisé'!$A$2:$AO$496,MATCH($A330,'[6]Budget révisé'!$A$2:$A$496,0),MATCH(I$2,'[6]Budget révisé'!$A$2:$AO$2,0))</f>
        <v>3808.6416666666664</v>
      </c>
      <c r="J330" s="42"/>
      <c r="K330" s="14"/>
      <c r="L330" s="34">
        <f>SUMIFS([6]BV_Data_An_Cour!$O:$O,[6]BV_Data_An_Cour!$U:$U,$B330,[6]BV_Data_An_Cour!$V:$V,$C330,[6]BV_Data_An_Cour!$W:$W,$L$2)</f>
        <v>3940.17</v>
      </c>
      <c r="M330" s="42"/>
      <c r="N330" s="60">
        <f t="shared" si="113"/>
        <v>131.52833333333365</v>
      </c>
      <c r="O330" s="42"/>
      <c r="P330" s="14"/>
      <c r="Q330" s="34">
        <f>SUMIFS([6]BV_Data_An_Prec!$O:$O,[6]BV_Data_An_Prec!$U:$U,$B330,[6]BV_Data_An_Prec!$V:$V,$C330,[6]BV_Data_An_Prec!$W:$W,$L$2)</f>
        <v>9919.64</v>
      </c>
      <c r="R330" s="42"/>
      <c r="S330" s="86">
        <f t="shared" si="114"/>
        <v>-5979.4699999999993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8"/>
        <v>PiècesService gratuit 2</v>
      </c>
      <c r="B331" s="12" t="s">
        <v>104</v>
      </c>
      <c r="C331" s="108" t="s">
        <v>52</v>
      </c>
      <c r="D331" s="82"/>
      <c r="E331" s="14"/>
      <c r="F331" s="31">
        <f>+INDEX('[6]Budget original'!$A$2:$AO$496,MATCH($A331,'[6]Budget original'!$A$2:$A$496,0),MATCH(F$2,'[6]Budget original'!$A$2:$AO$2,0))</f>
        <v>2316.8335249374268</v>
      </c>
      <c r="G331" s="84"/>
      <c r="H331" s="14"/>
      <c r="I331" s="31">
        <f>+INDEX('[6]Budget révisé'!$A$2:$AO$496,MATCH($A331,'[6]Budget révisé'!$A$2:$A$496,0),MATCH(I$2,'[6]Budget révisé'!$A$2:$AO$2,0))</f>
        <v>2316.8335249374268</v>
      </c>
      <c r="J331" s="42"/>
      <c r="K331" s="14"/>
      <c r="L331" s="34">
        <f>SUMIFS([6]BV_Data_An_Cour!$O:$O,[6]BV_Data_An_Cour!$U:$U,$B331,[6]BV_Data_An_Cour!$V:$V,$C331,[6]BV_Data_An_Cour!$W:$W,$L$2)</f>
        <v>0</v>
      </c>
      <c r="M331" s="42"/>
      <c r="N331" s="60">
        <f t="shared" si="113"/>
        <v>-2316.8335249374268</v>
      </c>
      <c r="O331" s="42"/>
      <c r="P331" s="14"/>
      <c r="Q331" s="34">
        <f>SUMIFS([6]BV_Data_An_Prec!$O:$O,[6]BV_Data_An_Prec!$U:$U,$B331,[6]BV_Data_An_Prec!$V:$V,$C331,[6]BV_Data_An_Prec!$W:$W,$L$2)</f>
        <v>8.52</v>
      </c>
      <c r="R331" s="42"/>
      <c r="S331" s="86">
        <f t="shared" si="114"/>
        <v>-8.52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8"/>
        <v>PiècesFrais véhicules de cie</v>
      </c>
      <c r="B332" s="12" t="s">
        <v>104</v>
      </c>
      <c r="C332" s="109" t="s">
        <v>53</v>
      </c>
      <c r="D332" s="89"/>
      <c r="E332" s="117"/>
      <c r="F332" s="23">
        <f>+INDEX('[6]Budget original'!$A$2:$AO$496,MATCH($A332,'[6]Budget original'!$A$2:$A$496,0),MATCH(F$2,'[6]Budget original'!$A$2:$AO$2,0))</f>
        <v>285.5</v>
      </c>
      <c r="G332" s="91"/>
      <c r="H332" s="117"/>
      <c r="I332" s="23">
        <f>+INDEX('[6]Budget révisé'!$A$2:$AO$496,MATCH($A332,'[6]Budget révisé'!$A$2:$A$496,0),MATCH(I$2,'[6]Budget révisé'!$A$2:$AO$2,0))</f>
        <v>285.5</v>
      </c>
      <c r="J332" s="24"/>
      <c r="K332" s="117"/>
      <c r="L332" s="34">
        <f>SUMIFS([6]BV_Data_An_Cour!$O:$O,[6]BV_Data_An_Cour!$U:$U,$B332,[6]BV_Data_An_Cour!$V:$V,$C332,[6]BV_Data_An_Cour!$W:$W,$L$2)</f>
        <v>297.88</v>
      </c>
      <c r="M332" s="24"/>
      <c r="N332" s="94">
        <f t="shared" si="113"/>
        <v>12.379999999999995</v>
      </c>
      <c r="O332" s="24"/>
      <c r="P332" s="117"/>
      <c r="Q332" s="34">
        <f>SUMIFS([6]BV_Data_An_Prec!$O:$O,[6]BV_Data_An_Prec!$U:$U,$B332,[6]BV_Data_An_Prec!$V:$V,$C332,[6]BV_Data_An_Prec!$W:$W,$L$2)</f>
        <v>1161.26</v>
      </c>
      <c r="R332" s="24"/>
      <c r="S332" s="95">
        <f t="shared" si="114"/>
        <v>-863.38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8"/>
        <v>PiècesInformatique</v>
      </c>
      <c r="B333" s="12" t="s">
        <v>104</v>
      </c>
      <c r="C333" s="108" t="s">
        <v>54</v>
      </c>
      <c r="D333" s="82"/>
      <c r="E333" s="14"/>
      <c r="F333" s="31">
        <f>+INDEX('[6]Budget original'!$A$2:$AO$496,MATCH($A333,'[6]Budget original'!$A$2:$A$496,0),MATCH(F$2,'[6]Budget original'!$A$2:$AO$2,0))</f>
        <v>4280.7783333333336</v>
      </c>
      <c r="G333" s="84"/>
      <c r="H333" s="14"/>
      <c r="I333" s="31">
        <f>+INDEX('[6]Budget révisé'!$A$2:$AO$496,MATCH($A333,'[6]Budget révisé'!$A$2:$A$496,0),MATCH(I$2,'[6]Budget révisé'!$A$2:$AO$2,0))</f>
        <v>4280.7783333333336</v>
      </c>
      <c r="J333" s="42"/>
      <c r="K333" s="14"/>
      <c r="L333" s="114">
        <f>SUMIFS([6]BV_Data_An_Cour!$O:$O,[6]BV_Data_An_Cour!$U:$U,$B333,[6]BV_Data_An_Cour!$V:$V,$C333,[6]BV_Data_An_Cour!$W:$W,$L$2)</f>
        <v>3646.53</v>
      </c>
      <c r="M333" s="42"/>
      <c r="N333" s="60">
        <f t="shared" si="113"/>
        <v>-634.24833333333345</v>
      </c>
      <c r="O333" s="42"/>
      <c r="P333" s="14"/>
      <c r="Q333" s="114">
        <f>SUMIFS([6]BV_Data_An_Prec!$O:$O,[6]BV_Data_An_Prec!$U:$U,$B333,[6]BV_Data_An_Prec!$V:$V,$C333,[6]BV_Data_An_Prec!$W:$W,$L$2)</f>
        <v>3677.6</v>
      </c>
      <c r="R333" s="42"/>
      <c r="S333" s="86">
        <f t="shared" si="114"/>
        <v>-31.069999999999709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8"/>
        <v>PiècesFrais de déplacement</v>
      </c>
      <c r="B334" s="12" t="s">
        <v>104</v>
      </c>
      <c r="C334" s="108" t="s">
        <v>55</v>
      </c>
      <c r="D334" s="82"/>
      <c r="E334" s="14"/>
      <c r="F334" s="31">
        <f>+INDEX('[6]Budget original'!$A$2:$AO$496,MATCH($A334,'[6]Budget original'!$A$2:$A$496,0),MATCH(F$2,'[6]Budget original'!$A$2:$AO$2,0))</f>
        <v>1247.2631249999999</v>
      </c>
      <c r="G334" s="84"/>
      <c r="H334" s="14"/>
      <c r="I334" s="31">
        <f>+INDEX('[6]Budget révisé'!$A$2:$AO$496,MATCH($A334,'[6]Budget révisé'!$A$2:$A$496,0),MATCH(I$2,'[6]Budget révisé'!$A$2:$AO$2,0))</f>
        <v>1247.2631249999999</v>
      </c>
      <c r="J334" s="42"/>
      <c r="K334" s="14"/>
      <c r="L334" s="34">
        <f>SUMIFS([6]BV_Data_An_Cour!$O:$O,[6]BV_Data_An_Cour!$U:$U,$B334,[6]BV_Data_An_Cour!$V:$V,$C334,[6]BV_Data_An_Cour!$W:$W,$L$2)</f>
        <v>478.48</v>
      </c>
      <c r="M334" s="42"/>
      <c r="N334" s="60">
        <f t="shared" si="113"/>
        <v>-768.78312499999993</v>
      </c>
      <c r="O334" s="42"/>
      <c r="P334" s="14"/>
      <c r="Q334" s="34">
        <f>SUMIFS([6]BV_Data_An_Prec!$O:$O,[6]BV_Data_An_Prec!$U:$U,$B334,[6]BV_Data_An_Prec!$V:$V,$C334,[6]BV_Data_An_Prec!$W:$W,$L$2)</f>
        <v>1519.25</v>
      </c>
      <c r="R334" s="42"/>
      <c r="S334" s="86">
        <f t="shared" si="114"/>
        <v>-1040.77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8"/>
        <v>PiècesServices extérieurs</v>
      </c>
      <c r="B335" s="12" t="s">
        <v>104</v>
      </c>
      <c r="C335" s="241" t="s">
        <v>56</v>
      </c>
      <c r="D335" s="89"/>
      <c r="E335" s="117"/>
      <c r="F335" s="23">
        <f>+INDEX('[6]Budget original'!$A$2:$AO$496,MATCH($A335,'[6]Budget original'!$A$2:$A$496,0),MATCH(F$2,'[6]Budget original'!$A$2:$AO$2,0))</f>
        <v>9198.8635083333338</v>
      </c>
      <c r="G335" s="91"/>
      <c r="H335" s="117"/>
      <c r="I335" s="23">
        <f>+INDEX('[6]Budget révisé'!$A$2:$AO$496,MATCH($A335,'[6]Budget révisé'!$A$2:$A$496,0),MATCH(I$2,'[6]Budget révisé'!$A$2:$AO$2,0))</f>
        <v>9198.8635083333338</v>
      </c>
      <c r="J335" s="24"/>
      <c r="K335" s="117"/>
      <c r="L335" s="49">
        <f>SUMIFS([6]BV_Data_An_Cour!$O:$O,[6]BV_Data_An_Cour!$U:$U,$B335,[6]BV_Data_An_Cour!$V:$V,$C335,[6]BV_Data_An_Cour!$W:$W,$L$2)</f>
        <v>5740.51</v>
      </c>
      <c r="M335" s="24"/>
      <c r="N335" s="94">
        <f t="shared" si="113"/>
        <v>-3458.3535083333336</v>
      </c>
      <c r="O335" s="24"/>
      <c r="P335" s="117"/>
      <c r="Q335" s="49">
        <f>SUMIFS([6]BV_Data_An_Prec!$O:$O,[6]BV_Data_An_Prec!$U:$U,$B335,[6]BV_Data_An_Prec!$V:$V,$C335,[6]BV_Data_An_Prec!$W:$W,$L$2)</f>
        <v>12916.02</v>
      </c>
      <c r="R335" s="24"/>
      <c r="S335" s="95">
        <f t="shared" si="114"/>
        <v>-7175.51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8"/>
        <v>PiècesFournitures d'atelier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f>SUMIFS([6]BV_Data_An_Cour!$O:$O,[6]BV_Data_An_Cour!$U:$U,$B336,[6]BV_Data_An_Cour!$V:$V,$C336,[6]BV_Data_An_Cour!$W:$W,$L$2)</f>
        <v>0</v>
      </c>
      <c r="M336" s="42"/>
      <c r="N336" s="60">
        <f t="shared" si="113"/>
        <v>0</v>
      </c>
      <c r="O336" s="42"/>
      <c r="P336" s="14"/>
      <c r="Q336" s="34">
        <f>SUMIFS([6]BV_Data_An_Prec!$O:$O,[6]BV_Data_An_Prec!$U:$U,$B336,[6]BV_Data_An_Prec!$V:$V,$C336,[6]BV_Data_An_Prec!$W:$W,$L$2)</f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8"/>
        <v>PiècesFournitures autres</v>
      </c>
      <c r="B337" s="12" t="s">
        <v>104</v>
      </c>
      <c r="C337" s="108" t="s">
        <v>57</v>
      </c>
      <c r="D337" s="82"/>
      <c r="E337" s="14"/>
      <c r="F337" s="31">
        <f>+INDEX('[6]Budget original'!$A$2:$AO$496,MATCH($A337,'[6]Budget original'!$A$2:$A$496,0),MATCH(F$2,'[6]Budget original'!$A$2:$AO$2,0))</f>
        <v>120</v>
      </c>
      <c r="G337" s="84"/>
      <c r="H337" s="14"/>
      <c r="I337" s="31">
        <f>+INDEX('[6]Budget révisé'!$A$2:$AO$496,MATCH($A337,'[6]Budget révisé'!$A$2:$A$496,0),MATCH(I$2,'[6]Budget révisé'!$A$2:$AO$2,0))</f>
        <v>120</v>
      </c>
      <c r="J337" s="42"/>
      <c r="K337" s="14"/>
      <c r="L337" s="34">
        <f>SUMIFS([6]BV_Data_An_Cour!$O:$O,[6]BV_Data_An_Cour!$U:$U,$B337,[6]BV_Data_An_Cour!$V:$V,$C337,[6]BV_Data_An_Cour!$W:$W,$L$2)</f>
        <v>58.53</v>
      </c>
      <c r="M337" s="42"/>
      <c r="N337" s="60">
        <f t="shared" si="113"/>
        <v>-61.47</v>
      </c>
      <c r="O337" s="42"/>
      <c r="P337" s="14"/>
      <c r="Q337" s="34">
        <f>SUMIFS([6]BV_Data_An_Prec!$O:$O,[6]BV_Data_An_Prec!$U:$U,$B337,[6]BV_Data_An_Prec!$V:$V,$C337,[6]BV_Data_An_Prec!$W:$W,$L$2)</f>
        <v>110</v>
      </c>
      <c r="R337" s="42"/>
      <c r="S337" s="86">
        <f t="shared" si="114"/>
        <v>-51.47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8"/>
        <v>PiècesUniformes</v>
      </c>
      <c r="B338" s="12" t="s">
        <v>104</v>
      </c>
      <c r="C338" s="108" t="s">
        <v>58</v>
      </c>
      <c r="D338" s="82"/>
      <c r="E338" s="14"/>
      <c r="F338" s="31">
        <f>+INDEX('[6]Budget original'!$A$2:$AO$496,MATCH($A338,'[6]Budget original'!$A$2:$A$496,0),MATCH(F$2,'[6]Budget original'!$A$2:$AO$2,0))</f>
        <v>170</v>
      </c>
      <c r="G338" s="84"/>
      <c r="H338" s="14"/>
      <c r="I338" s="31">
        <f>+INDEX('[6]Budget révisé'!$A$2:$AO$496,MATCH($A338,'[6]Budget révisé'!$A$2:$A$496,0),MATCH(I$2,'[6]Budget révisé'!$A$2:$AO$2,0))</f>
        <v>170</v>
      </c>
      <c r="J338" s="42"/>
      <c r="K338" s="14"/>
      <c r="L338" s="34">
        <f>SUMIFS([6]BV_Data_An_Cour!$O:$O,[6]BV_Data_An_Cour!$U:$U,$B338,[6]BV_Data_An_Cour!$V:$V,$C338,[6]BV_Data_An_Cour!$W:$W,$L$2)</f>
        <v>0</v>
      </c>
      <c r="M338" s="42"/>
      <c r="N338" s="60">
        <f t="shared" si="113"/>
        <v>-170</v>
      </c>
      <c r="O338" s="42"/>
      <c r="P338" s="14"/>
      <c r="Q338" s="34">
        <f>SUMIFS([6]BV_Data_An_Prec!$O:$O,[6]BV_Data_An_Prec!$U:$U,$B338,[6]BV_Data_An_Prec!$V:$V,$C338,[6]BV_Data_An_Prec!$W:$W,$L$2)</f>
        <v>170</v>
      </c>
      <c r="R338" s="42"/>
      <c r="S338" s="86">
        <f t="shared" si="114"/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8"/>
        <v>PiècesPapeterie</v>
      </c>
      <c r="B339" s="12" t="s">
        <v>104</v>
      </c>
      <c r="C339" s="108" t="s">
        <v>59</v>
      </c>
      <c r="D339" s="82"/>
      <c r="E339" s="14"/>
      <c r="F339" s="31">
        <f>+INDEX('[6]Budget original'!$A$2:$AO$496,MATCH($A339,'[6]Budget original'!$A$2:$A$496,0),MATCH(F$2,'[6]Budget original'!$A$2:$AO$2,0))</f>
        <v>545</v>
      </c>
      <c r="G339" s="84"/>
      <c r="H339" s="14"/>
      <c r="I339" s="31">
        <f>+INDEX('[6]Budget révisé'!$A$2:$AO$496,MATCH($A339,'[6]Budget révisé'!$A$2:$A$496,0),MATCH(I$2,'[6]Budget révisé'!$A$2:$AO$2,0))</f>
        <v>545</v>
      </c>
      <c r="J339" s="42"/>
      <c r="K339" s="14"/>
      <c r="L339" s="33">
        <f>SUMIFS([6]BV_Data_An_Cour!$O:$O,[6]BV_Data_An_Cour!$U:$U,$B339,[6]BV_Data_An_Cour!$V:$V,$C339,[6]BV_Data_An_Cour!$W:$W,$L$2)</f>
        <v>1034.04</v>
      </c>
      <c r="M339" s="42"/>
      <c r="N339" s="60">
        <f t="shared" si="113"/>
        <v>489.03999999999996</v>
      </c>
      <c r="O339" s="42"/>
      <c r="P339" s="14"/>
      <c r="Q339" s="33">
        <f>SUMIFS([6]BV_Data_An_Prec!$O:$O,[6]BV_Data_An_Prec!$U:$U,$B339,[6]BV_Data_An_Prec!$V:$V,$C339,[6]BV_Data_An_Prec!$W:$W,$L$2)</f>
        <v>462.5</v>
      </c>
      <c r="R339" s="42"/>
      <c r="S339" s="86">
        <f t="shared" si="114"/>
        <v>571.54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8"/>
        <v>PiècesTéléphone</v>
      </c>
      <c r="B340" s="12" t="s">
        <v>104</v>
      </c>
      <c r="C340" s="108" t="s">
        <v>60</v>
      </c>
      <c r="D340" s="82"/>
      <c r="E340" s="14"/>
      <c r="F340" s="31">
        <f>+INDEX('[6]Budget original'!$A$2:$AO$496,MATCH($A340,'[6]Budget original'!$A$2:$A$496,0),MATCH(F$2,'[6]Budget original'!$A$2:$AO$2,0))</f>
        <v>452.27499999999998</v>
      </c>
      <c r="G340" s="84"/>
      <c r="H340" s="14"/>
      <c r="I340" s="31">
        <f>+INDEX('[6]Budget révisé'!$A$2:$AO$496,MATCH($A340,'[6]Budget révisé'!$A$2:$A$496,0),MATCH(I$2,'[6]Budget révisé'!$A$2:$AO$2,0))</f>
        <v>452.27499999999998</v>
      </c>
      <c r="J340" s="42"/>
      <c r="K340" s="14"/>
      <c r="L340" s="34">
        <f>SUMIFS([6]BV_Data_An_Cour!$O:$O,[6]BV_Data_An_Cour!$U:$U,$B340,[6]BV_Data_An_Cour!$V:$V,$C340,[6]BV_Data_An_Cour!$W:$W,$L$2)</f>
        <v>101.15</v>
      </c>
      <c r="M340" s="42"/>
      <c r="N340" s="60">
        <f t="shared" si="113"/>
        <v>-351.125</v>
      </c>
      <c r="O340" s="42"/>
      <c r="P340" s="14"/>
      <c r="Q340" s="34">
        <f>SUMIFS([6]BV_Data_An_Prec!$O:$O,[6]BV_Data_An_Prec!$U:$U,$B340,[6]BV_Data_An_Prec!$V:$V,$C340,[6]BV_Data_An_Prec!$W:$W,$L$2)</f>
        <v>334.11</v>
      </c>
      <c r="R340" s="42"/>
      <c r="S340" s="86">
        <f t="shared" si="114"/>
        <v>-232.96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8"/>
        <v>PiècesFrais postaux</v>
      </c>
      <c r="B341" s="12" t="s">
        <v>104</v>
      </c>
      <c r="C341" s="108" t="s">
        <v>61</v>
      </c>
      <c r="D341" s="82"/>
      <c r="E341" s="14"/>
      <c r="F341" s="31">
        <f>+INDEX('[6]Budget original'!$A$2:$AO$496,MATCH($A341,'[6]Budget original'!$A$2:$A$496,0),MATCH(F$2,'[6]Budget original'!$A$2:$AO$2,0))</f>
        <v>216.25</v>
      </c>
      <c r="G341" s="84"/>
      <c r="H341" s="14"/>
      <c r="I341" s="31">
        <f>+INDEX('[6]Budget révisé'!$A$2:$AO$496,MATCH($A341,'[6]Budget révisé'!$A$2:$A$496,0),MATCH(I$2,'[6]Budget révisé'!$A$2:$AO$2,0))</f>
        <v>216.25</v>
      </c>
      <c r="J341" s="42"/>
      <c r="K341" s="14"/>
      <c r="L341" s="34">
        <f>SUMIFS([6]BV_Data_An_Cour!$O:$O,[6]BV_Data_An_Cour!$U:$U,$B341,[6]BV_Data_An_Cour!$V:$V,$C341,[6]BV_Data_An_Cour!$W:$W,$L$2)</f>
        <v>-47.98</v>
      </c>
      <c r="M341" s="42"/>
      <c r="N341" s="60">
        <f t="shared" si="113"/>
        <v>-264.23</v>
      </c>
      <c r="O341" s="42"/>
      <c r="P341" s="14"/>
      <c r="Q341" s="34">
        <f>SUMIFS([6]BV_Data_An_Prec!$O:$O,[6]BV_Data_An_Prec!$U:$U,$B341,[6]BV_Data_An_Prec!$V:$V,$C341,[6]BV_Data_An_Prec!$W:$W,$L$2)</f>
        <v>51.68</v>
      </c>
      <c r="R341" s="42"/>
      <c r="S341" s="86">
        <f t="shared" si="114"/>
        <v>-99.66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8"/>
        <v>PiècesDivers</v>
      </c>
      <c r="B342" s="12" t="s">
        <v>104</v>
      </c>
      <c r="C342" s="108" t="s">
        <v>62</v>
      </c>
      <c r="D342" s="82"/>
      <c r="E342" s="14"/>
      <c r="F342" s="31">
        <f>+INDEX('[6]Budget original'!$A$2:$AO$496,MATCH($A342,'[6]Budget original'!$A$2:$A$496,0),MATCH(F$2,'[6]Budget original'!$A$2:$AO$2,0))</f>
        <v>897.75</v>
      </c>
      <c r="G342" s="84"/>
      <c r="H342" s="14"/>
      <c r="I342" s="31">
        <f>+INDEX('[6]Budget révisé'!$A$2:$AO$496,MATCH($A342,'[6]Budget révisé'!$A$2:$A$496,0),MATCH(I$2,'[6]Budget révisé'!$A$2:$AO$2,0))</f>
        <v>897.75</v>
      </c>
      <c r="J342" s="42"/>
      <c r="K342" s="14"/>
      <c r="L342" s="34">
        <f>SUMIFS([6]BV_Data_An_Cour!$O:$O,[6]BV_Data_An_Cour!$U:$U,$B342,[6]BV_Data_An_Cour!$V:$V,$C342,[6]BV_Data_An_Cour!$W:$W,$L$2)</f>
        <v>936.25</v>
      </c>
      <c r="M342" s="42"/>
      <c r="N342" s="60">
        <f t="shared" si="113"/>
        <v>38.5</v>
      </c>
      <c r="O342" s="42"/>
      <c r="P342" s="14"/>
      <c r="Q342" s="34">
        <f>SUMIFS([6]BV_Data_An_Prec!$O:$O,[6]BV_Data_An_Prec!$U:$U,$B342,[6]BV_Data_An_Prec!$V:$V,$C342,[6]BV_Data_An_Prec!$W:$W,$L$2)</f>
        <v>1325.23</v>
      </c>
      <c r="R342" s="42"/>
      <c r="S342" s="86">
        <f t="shared" si="114"/>
        <v>-388.98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8"/>
        <v>PiècesFormation</v>
      </c>
      <c r="B343" s="12" t="s">
        <v>104</v>
      </c>
      <c r="C343" s="108" t="s">
        <v>63</v>
      </c>
      <c r="D343" s="82"/>
      <c r="E343" s="14"/>
      <c r="F343" s="31">
        <f>+INDEX('[6]Budget original'!$A$2:$AO$496,MATCH($A343,'[6]Budget original'!$A$2:$A$496,0),MATCH(F$2,'[6]Budget original'!$A$2:$AO$2,0))</f>
        <v>247.14583333333334</v>
      </c>
      <c r="G343" s="84"/>
      <c r="H343" s="14"/>
      <c r="I343" s="31">
        <f>+INDEX('[6]Budget révisé'!$A$2:$AO$496,MATCH($A343,'[6]Budget révisé'!$A$2:$A$496,0),MATCH(I$2,'[6]Budget révisé'!$A$2:$AO$2,0))</f>
        <v>247.14583333333334</v>
      </c>
      <c r="J343" s="42"/>
      <c r="K343" s="14"/>
      <c r="L343" s="34">
        <f>SUMIFS([6]BV_Data_An_Cour!$O:$O,[6]BV_Data_An_Cour!$U:$U,$B343,[6]BV_Data_An_Cour!$V:$V,$C343,[6]BV_Data_An_Cour!$W:$W,$L$2)</f>
        <v>272.14</v>
      </c>
      <c r="M343" s="42"/>
      <c r="N343" s="60">
        <f t="shared" si="113"/>
        <v>24.994166666666644</v>
      </c>
      <c r="O343" s="42"/>
      <c r="P343" s="14"/>
      <c r="Q343" s="34">
        <f>SUMIFS([6]BV_Data_An_Prec!$O:$O,[6]BV_Data_An_Prec!$U:$U,$B343,[6]BV_Data_An_Prec!$V:$V,$C343,[6]BV_Data_An_Prec!$W:$W,$L$2)</f>
        <v>325</v>
      </c>
      <c r="R343" s="42"/>
      <c r="S343" s="86">
        <f t="shared" si="114"/>
        <v>-52.860000000000014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8"/>
        <v>PiècesFrais bancaires</v>
      </c>
      <c r="B344" s="12" t="s">
        <v>104</v>
      </c>
      <c r="C344" s="108" t="s">
        <v>64</v>
      </c>
      <c r="D344" s="82"/>
      <c r="E344" s="14"/>
      <c r="F344" s="31">
        <f>+INDEX('[6]Budget original'!$A$2:$AO$496,MATCH($A344,'[6]Budget original'!$A$2:$A$496,0),MATCH(F$2,'[6]Budget original'!$A$2:$AO$2,0))</f>
        <v>2867.7010940528189</v>
      </c>
      <c r="G344" s="84"/>
      <c r="H344" s="14"/>
      <c r="I344" s="31">
        <f>+INDEX('[6]Budget révisé'!$A$2:$AO$496,MATCH($A344,'[6]Budget révisé'!$A$2:$A$496,0),MATCH(I$2,'[6]Budget révisé'!$A$2:$AO$2,0))</f>
        <v>2867.7010940528189</v>
      </c>
      <c r="J344" s="42"/>
      <c r="K344" s="14"/>
      <c r="L344" s="33">
        <f>AF447*W7</f>
        <v>1379.0420000000001</v>
      </c>
      <c r="M344" s="42"/>
      <c r="N344" s="60">
        <f t="shared" si="113"/>
        <v>-1488.6590940528188</v>
      </c>
      <c r="O344" s="42"/>
      <c r="P344" s="14"/>
      <c r="Q344" s="34">
        <f>AL447*W7</f>
        <v>1636.0500000000002</v>
      </c>
      <c r="R344" s="42"/>
      <c r="S344" s="86">
        <f t="shared" si="114"/>
        <v>-257.00800000000004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8"/>
        <v>Pièces[...]</v>
      </c>
      <c r="B345" s="12" t="s">
        <v>104</v>
      </c>
      <c r="C345" s="108" t="s">
        <v>21</v>
      </c>
      <c r="D345" s="82"/>
      <c r="E345" s="14"/>
      <c r="F345" s="31">
        <f>+INDEX('[6]Budget original'!$A$2:$AO$496,MATCH($A345,'[6]Budget original'!$A$2:$A$496,0),MATCH(F$2,'[6]Budget original'!$A$2:$AO$2,0))</f>
        <v>0</v>
      </c>
      <c r="G345" s="84"/>
      <c r="H345" s="14"/>
      <c r="I345" s="31">
        <f>+INDEX('[6]Budget révisé'!$A$2:$AO$496,MATCH($A345,'[6]Budget révisé'!$A$2:$A$496,0),MATCH(I$2,'[6]Budget révisé'!$A$2:$AO$2,0))</f>
        <v>0</v>
      </c>
      <c r="J345" s="42"/>
      <c r="K345" s="14"/>
      <c r="L345" s="34">
        <f>SUMIFS([6]BV_Data_An_Cour!$O:$O,[6]BV_Data_An_Cour!$U:$U,$B345,[6]BV_Data_An_Cour!$V:$V,$C345,[6]BV_Data_An_Cour!$W:$W,$L$2)</f>
        <v>0</v>
      </c>
      <c r="M345" s="42"/>
      <c r="N345" s="60">
        <f t="shared" si="113"/>
        <v>0</v>
      </c>
      <c r="O345" s="42"/>
      <c r="P345" s="14"/>
      <c r="Q345" s="34">
        <f>SUMIFS([6]BV_Data_An_Prec!$O:$O,[6]BV_Data_An_Prec!$U:$U,$B345,[6]BV_Data_An_Prec!$V:$V,$C345,[6]BV_Data_An_Prec!$W:$W,$L$2)</f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8"/>
        <v>Pièces[...]</v>
      </c>
      <c r="B346" s="12" t="s">
        <v>104</v>
      </c>
      <c r="C346" s="108" t="s">
        <v>21</v>
      </c>
      <c r="D346" s="82"/>
      <c r="E346" s="14"/>
      <c r="F346" s="31">
        <f>+INDEX('[6]Budget original'!$A$2:$AO$496,MATCH($A346,'[6]Budget original'!$A$2:$A$496,0),MATCH(F$2,'[6]Budget original'!$A$2:$AO$2,0))</f>
        <v>0</v>
      </c>
      <c r="G346" s="84"/>
      <c r="H346" s="14"/>
      <c r="I346" s="31">
        <f>+INDEX('[6]Budget révisé'!$A$2:$AO$496,MATCH($A346,'[6]Budget révisé'!$A$2:$A$496,0),MATCH(I$2,'[6]Budget révisé'!$A$2:$AO$2,0))</f>
        <v>0</v>
      </c>
      <c r="J346" s="42"/>
      <c r="K346" s="14"/>
      <c r="L346" s="34">
        <f>SUMIFS([6]BV_Data_An_Cour!$O:$O,[6]BV_Data_An_Cour!$U:$U,$B346,[6]BV_Data_An_Cour!$V:$V,$C346,[6]BV_Data_An_Cour!$W:$W,$L$2)</f>
        <v>0</v>
      </c>
      <c r="M346" s="42"/>
      <c r="N346" s="60">
        <f t="shared" si="113"/>
        <v>0</v>
      </c>
      <c r="O346" s="42"/>
      <c r="P346" s="14"/>
      <c r="Q346" s="34">
        <f>SUMIFS([6]BV_Data_An_Prec!$O:$O,[6]BV_Data_An_Prec!$U:$U,$B346,[6]BV_Data_An_Prec!$V:$V,$C346,[6]BV_Data_An_Prec!$W:$W,$L$2)</f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8"/>
        <v>Pièces[...]</v>
      </c>
      <c r="B347" s="12" t="s">
        <v>104</v>
      </c>
      <c r="C347" s="108" t="s">
        <v>21</v>
      </c>
      <c r="D347" s="82"/>
      <c r="E347" s="14"/>
      <c r="F347" s="31">
        <f>+INDEX('[6]Budget original'!$A$2:$AO$496,MATCH($A347,'[6]Budget original'!$A$2:$A$496,0),MATCH(F$2,'[6]Budget original'!$A$2:$AO$2,0))</f>
        <v>0</v>
      </c>
      <c r="G347" s="84"/>
      <c r="H347" s="14"/>
      <c r="I347" s="31">
        <f>+INDEX('[6]Budget révisé'!$A$2:$AO$496,MATCH($A347,'[6]Budget révisé'!$A$2:$A$496,0),MATCH(I$2,'[6]Budget révisé'!$A$2:$AO$2,0))</f>
        <v>0</v>
      </c>
      <c r="J347" s="42"/>
      <c r="K347" s="14"/>
      <c r="L347" s="34">
        <f>SUMIFS([6]BV_Data_An_Cour!$O:$O,[6]BV_Data_An_Cour!$U:$U,$B347,[6]BV_Data_An_Cour!$V:$V,$C347,[6]BV_Data_An_Cour!$W:$W,$L$2)</f>
        <v>0</v>
      </c>
      <c r="M347" s="42"/>
      <c r="N347" s="60">
        <f t="shared" si="113"/>
        <v>0</v>
      </c>
      <c r="O347" s="42"/>
      <c r="P347" s="14"/>
      <c r="Q347" s="34">
        <f>SUMIFS([6]BV_Data_An_Prec!$O:$O,[6]BV_Data_An_Prec!$U:$U,$B347,[6]BV_Data_An_Prec!$V:$V,$C347,[6]BV_Data_An_Prec!$W:$W,$L$2)</f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0.21286768951258919</v>
      </c>
      <c r="F348" s="102">
        <f>+SUM(F330:F347)</f>
        <v>26654.002085656914</v>
      </c>
      <c r="G348" s="103" t="s">
        <v>40</v>
      </c>
      <c r="H348" s="101">
        <f>I348/I$313</f>
        <v>0.21286768951258919</v>
      </c>
      <c r="I348" s="102">
        <f>+SUM(I330:I347)</f>
        <v>26654.002085656914</v>
      </c>
      <c r="J348" s="103" t="s">
        <v>40</v>
      </c>
      <c r="K348" s="101">
        <f>L348/L$313</f>
        <v>0.18089987350923045</v>
      </c>
      <c r="L348" s="102">
        <f>+SUM(L330:L347)</f>
        <v>17836.742000000002</v>
      </c>
      <c r="M348" s="106"/>
      <c r="N348" s="102">
        <f>+SUM(N330:N347)</f>
        <v>-8817.2600856569134</v>
      </c>
      <c r="O348" s="103" t="s">
        <v>40</v>
      </c>
      <c r="P348" s="101">
        <f>Q348/Q$313</f>
        <v>0.2563234582652022</v>
      </c>
      <c r="Q348" s="102">
        <f>+SUM(Q330:Q347)</f>
        <v>33616.86</v>
      </c>
      <c r="R348" s="106"/>
      <c r="S348" s="107">
        <f>+SUM(S330:S347)</f>
        <v>-15780.117999999997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0.53897453674506157</v>
      </c>
      <c r="F350" s="102">
        <f>F329+F348</f>
        <v>67487.125262705638</v>
      </c>
      <c r="G350" s="103" t="s">
        <v>40</v>
      </c>
      <c r="H350" s="101">
        <f>I350/I$313</f>
        <v>0.53897453674506157</v>
      </c>
      <c r="I350" s="102">
        <f>I329+I348</f>
        <v>67487.125262705638</v>
      </c>
      <c r="J350" s="103" t="s">
        <v>40</v>
      </c>
      <c r="K350" s="101">
        <f>L350/L$313</f>
        <v>0.63045417407369264</v>
      </c>
      <c r="L350" s="102">
        <f>L329+L348</f>
        <v>62162.832000000009</v>
      </c>
      <c r="M350" s="106"/>
      <c r="N350" s="119">
        <f t="shared" ref="N350:N352" si="115">L350-I350</f>
        <v>-5324.2932627056289</v>
      </c>
      <c r="O350" s="103" t="s">
        <v>40</v>
      </c>
      <c r="P350" s="101">
        <f>Q350/Q$313</f>
        <v>0.60516202230801885</v>
      </c>
      <c r="Q350" s="102">
        <f>Q329+Q348</f>
        <v>79367.09</v>
      </c>
      <c r="R350" s="106"/>
      <c r="S350" s="120">
        <f>L350-Q350</f>
        <v>-17204.257999999987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f>F313-F350</f>
        <v>57726.814657850366</v>
      </c>
      <c r="G352" s="160"/>
      <c r="H352" s="131"/>
      <c r="I352" s="133">
        <f>I313-I350</f>
        <v>57726.814657850366</v>
      </c>
      <c r="J352" s="161"/>
      <c r="K352" s="132"/>
      <c r="L352" s="133">
        <f>L313-L350</f>
        <v>36437.247999999978</v>
      </c>
      <c r="M352" s="161"/>
      <c r="N352" s="133">
        <f t="shared" si="115"/>
        <v>-21289.566657850388</v>
      </c>
      <c r="O352" s="161"/>
      <c r="P352" s="132"/>
      <c r="Q352" s="133">
        <f>Q313-Q350</f>
        <v>51783.059999999969</v>
      </c>
      <c r="R352" s="161"/>
      <c r="S352" s="135">
        <f>L352-Q352</f>
        <v>-15345.811999999991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Mai 2021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19" t="s">
        <v>5</v>
      </c>
      <c r="E357" s="520"/>
      <c r="F357" s="521"/>
      <c r="G357" s="522" t="s">
        <v>75</v>
      </c>
      <c r="H357" s="520"/>
      <c r="I357" s="521"/>
      <c r="J357" s="522" t="s">
        <v>7</v>
      </c>
      <c r="K357" s="520"/>
      <c r="L357" s="521"/>
      <c r="M357" s="522" t="s">
        <v>8</v>
      </c>
      <c r="N357" s="521"/>
      <c r="O357" s="519" t="s">
        <v>9</v>
      </c>
      <c r="P357" s="520"/>
      <c r="Q357" s="521"/>
      <c r="R357" s="522" t="s">
        <v>10</v>
      </c>
      <c r="S357" s="523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6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6"/>
        <v>BoutiqueBoutique</v>
      </c>
      <c r="B359" s="12" t="s">
        <v>120</v>
      </c>
      <c r="C359" s="63" t="s">
        <v>120</v>
      </c>
      <c r="D359" s="245">
        <f>+INDEX('[6]Budget original'!$A$2:$AO$496,MATCH($A359,'[6]Budget original'!$A$2:$A$496,0),MATCH(D$2,'[6]Budget original'!$A$2:$AO$2,0))</f>
        <v>0</v>
      </c>
      <c r="E359" s="246">
        <f>IFERROR(F359/D359,0)</f>
        <v>0</v>
      </c>
      <c r="F359" s="247">
        <f>+INDEX('[6]Budget original'!$A$2:$AO$496,MATCH($A359,'[6]Budget original'!$A$2:$A$496,0),MATCH(F$2,'[6]Budget original'!$A$2:$AO$2,0))</f>
        <v>0</v>
      </c>
      <c r="G359" s="245">
        <f>+INDEX('[6]Budget révisé'!$A$2:$AO$496,MATCH($A359,'[6]Budget révisé'!$A$2:$A$496,0),MATCH(G$2,'[6]Budget révisé'!$A$2:$AO$2,0))</f>
        <v>0</v>
      </c>
      <c r="H359" s="246">
        <f>IFERROR(I359/G359,0)</f>
        <v>0</v>
      </c>
      <c r="I359" s="245">
        <f>+INDEX('[6]Budget révisé'!$A$2:$AO$496,MATCH($A359,'[6]Budget révisé'!$A$2:$A$496,0),MATCH(I$2,'[6]Budget révisé'!$A$2:$AO$2,0))</f>
        <v>0</v>
      </c>
      <c r="J359" s="248">
        <f>-SUMIFS([6]BV_Data_An_Cour!$O:$O,[6]BV_Data_An_Cour!$X:$X,"Oui",[6]BV_Data_An_Cour!$U:$U,$B359,[6]BV_Data_An_Cour!$V:$V,$C359)</f>
        <v>0</v>
      </c>
      <c r="K359" s="229">
        <f>IF(J359&lt;=0,0,L359/J359)</f>
        <v>0</v>
      </c>
      <c r="L359" s="249">
        <f>-SUMIFS([6]BV_Data_An_Cour!$O:$O,[6]BV_Data_An_Cour!$X:$X,"Oui",[6]BV_Data_An_Cour!$U:$U,$B359,[6]BV_Data_An_Cour!$V:$V,$C359)</f>
        <v>0</v>
      </c>
      <c r="M359" s="230">
        <f>IF(G359=0,0,(+J359-G359)/G359)</f>
        <v>0</v>
      </c>
      <c r="N359" s="231">
        <f>L359-I359</f>
        <v>0</v>
      </c>
      <c r="O359" s="248">
        <f>-SUMIFS([6]BV_Data_An_Prec!$O:$O,[6]BV_Data_An_Prec!$X:$X,"Oui",[6]BV_Data_An_Prec!$U:$U,$B359,[6]BV_Data_An_Prec!$V:$V,$C359)</f>
        <v>0</v>
      </c>
      <c r="P359" s="229">
        <f>IF(O359&lt;=0,0,Q359/O359)</f>
        <v>0</v>
      </c>
      <c r="Q359" s="249">
        <f>-SUMIFS([6]BV_Data_An_Prec!$O:$O,[6]BV_Data_An_Prec!$X:$X,"Oui",[6]BV_Data_An_Prec!$U:$U,$B359,[6]BV_Data_An_Prec!$V:$V,$C359)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V359" s="250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6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6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17">+F359</f>
        <v>0</v>
      </c>
      <c r="G361" s="184">
        <f>+G359</f>
        <v>0</v>
      </c>
      <c r="H361" s="183">
        <f>IF(G361&lt;=0,0,I361/G361)</f>
        <v>0</v>
      </c>
      <c r="I361" s="185">
        <f t="shared" ref="I361:J361" si="118">+I359</f>
        <v>0</v>
      </c>
      <c r="J361" s="184">
        <f t="shared" si="118"/>
        <v>0</v>
      </c>
      <c r="K361" s="183">
        <f>IF(J361&lt;=0,0,L361/J361)</f>
        <v>0</v>
      </c>
      <c r="L361" s="185">
        <f>+L359</f>
        <v>0</v>
      </c>
      <c r="M361" s="252">
        <f>IF(G361=0,0,(+J361-G361)/G361)</f>
        <v>0</v>
      </c>
      <c r="N361" s="253">
        <f>L361-I361</f>
        <v>0</v>
      </c>
      <c r="O361" s="184">
        <f t="shared" ref="O361" si="119">+O359</f>
        <v>0</v>
      </c>
      <c r="P361" s="183">
        <f>IF(O361&lt;=0,0,Q361/O361)</f>
        <v>0</v>
      </c>
      <c r="Q361" s="185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6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6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6"/>
        <v>BoutiqueSalaires cadres</v>
      </c>
      <c r="B364" s="12" t="s">
        <v>120</v>
      </c>
      <c r="C364" s="108" t="s">
        <v>42</v>
      </c>
      <c r="D364" s="14"/>
      <c r="E364" s="14"/>
      <c r="F364" s="31">
        <f>+INDEX('[6]Budget original'!$A$2:$AO$496,MATCH($A364,'[6]Budget original'!$A$2:$A$496,0),MATCH(F$2,'[6]Budget original'!$A$2:$AO$2,0))</f>
        <v>0</v>
      </c>
      <c r="G364" s="42"/>
      <c r="H364" s="14"/>
      <c r="I364" s="31">
        <f>+INDEX('[6]Budget révisé'!$A$2:$AO$496,MATCH($A364,'[6]Budget révisé'!$A$2:$A$496,0),MATCH(I$2,'[6]Budget révisé'!$A$2:$AO$2,0))</f>
        <v>0</v>
      </c>
      <c r="J364" s="42"/>
      <c r="K364" s="14"/>
      <c r="L364" s="34">
        <f>-SUMIFS([6]BV_Data_An_Cour!$O:$O,[6]BV_Data_An_Cour!$U:$U,$B364,[6]BV_Data_An_Cour!$V:$V,$C364,[6]BV_Data_An_Cour!$W:$W,$L$2)</f>
        <v>0</v>
      </c>
      <c r="M364" s="42"/>
      <c r="N364" s="41"/>
      <c r="O364" s="42"/>
      <c r="P364" s="14"/>
      <c r="Q364" s="34">
        <f>-SUMIFS([6]BV_Data_An_Prec!$O:$O,[6]BV_Data_An_Prec!$U:$U,$B364,[6]BV_Data_An_Prec!$V:$V,$C364,[6]BV_Data_An_Prec!$W:$W,$L$2)</f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6"/>
        <v>BoutiqueSalaires commis</v>
      </c>
      <c r="B365" s="12" t="s">
        <v>120</v>
      </c>
      <c r="C365" s="109" t="s">
        <v>43</v>
      </c>
      <c r="D365" s="82"/>
      <c r="E365" s="14"/>
      <c r="F365" s="23">
        <f>+INDEX('[6]Budget original'!$A$2:$AO$496,MATCH($A365,'[6]Budget original'!$A$2:$A$496,0),MATCH(F$2,'[6]Budget original'!$A$2:$AO$2,0))</f>
        <v>0</v>
      </c>
      <c r="G365" s="84"/>
      <c r="H365" s="14"/>
      <c r="I365" s="23">
        <f>+INDEX('[6]Budget révisé'!$A$2:$AO$496,MATCH($A365,'[6]Budget révisé'!$A$2:$A$496,0),MATCH(I$2,'[6]Budget révisé'!$A$2:$AO$2,0))</f>
        <v>0</v>
      </c>
      <c r="J365" s="42"/>
      <c r="K365" s="14"/>
      <c r="L365" s="23">
        <f>-SUMIFS([6]BV_Data_An_Cour!$O:$O,[6]BV_Data_An_Cour!$U:$U,$B365,[6]BV_Data_An_Cour!$V:$V,$C365,[6]BV_Data_An_Cour!$W:$W,$L$2)</f>
        <v>0</v>
      </c>
      <c r="M365" s="42"/>
      <c r="N365" s="60">
        <f t="shared" ref="N365:N393" si="120">L365-I365</f>
        <v>0</v>
      </c>
      <c r="O365" s="42"/>
      <c r="P365" s="14"/>
      <c r="Q365" s="23">
        <f>-SUMIFS([6]BV_Data_An_Prec!$O:$O,[6]BV_Data_An_Prec!$U:$U,$B365,[6]BV_Data_An_Prec!$V:$V,$C365,[6]BV_Data_An_Prec!$W:$W,$L$2)</f>
        <v>0</v>
      </c>
      <c r="R365" s="42"/>
      <c r="S365" s="86">
        <f t="shared" ref="S365:S393" si="121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6"/>
        <v>BoutiqueSalaires autres</v>
      </c>
      <c r="B366" s="12" t="s">
        <v>120</v>
      </c>
      <c r="C366" s="108" t="s">
        <v>44</v>
      </c>
      <c r="D366" s="110"/>
      <c r="E366" s="111"/>
      <c r="F366" s="31">
        <f>+INDEX('[6]Budget original'!$A$2:$AO$496,MATCH($A366,'[6]Budget original'!$A$2:$A$496,0),MATCH(F$2,'[6]Budget original'!$A$2:$AO$2,0))</f>
        <v>0</v>
      </c>
      <c r="G366" s="112"/>
      <c r="H366" s="111"/>
      <c r="I366" s="31">
        <f>+INDEX('[6]Budget révisé'!$A$2:$AO$496,MATCH($A366,'[6]Budget révisé'!$A$2:$A$496,0),MATCH(I$2,'[6]Budget révisé'!$A$2:$AO$2,0))</f>
        <v>0</v>
      </c>
      <c r="J366" s="113"/>
      <c r="K366" s="111"/>
      <c r="L366" s="34">
        <f>-SUMIFS([6]BV_Data_An_Cour!$O:$O,[6]BV_Data_An_Cour!$U:$U,$B366,[6]BV_Data_An_Cour!$V:$V,$C366,[6]BV_Data_An_Cour!$W:$W,$L$2)</f>
        <v>0</v>
      </c>
      <c r="M366" s="113"/>
      <c r="N366" s="115">
        <f t="shared" si="120"/>
        <v>0</v>
      </c>
      <c r="O366" s="113"/>
      <c r="P366" s="111"/>
      <c r="Q366" s="34">
        <f>-SUMIFS([6]BV_Data_An_Prec!$O:$O,[6]BV_Data_An_Prec!$U:$U,$B366,[6]BV_Data_An_Prec!$V:$V,$C366,[6]BV_Data_An_Prec!$W:$W,$L$2)</f>
        <v>0</v>
      </c>
      <c r="R366" s="113"/>
      <c r="S366" s="116">
        <f t="shared" si="121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6"/>
        <v>BoutiqueSalaires spécialistes</v>
      </c>
      <c r="B367" s="12" t="s">
        <v>120</v>
      </c>
      <c r="C367" s="108" t="s">
        <v>45</v>
      </c>
      <c r="D367" s="82"/>
      <c r="E367" s="14"/>
      <c r="F367" s="31">
        <f>+INDEX('[6]Budget original'!$A$2:$AO$496,MATCH($A367,'[6]Budget original'!$A$2:$A$496,0),MATCH(F$2,'[6]Budget original'!$A$2:$AO$2,0))</f>
        <v>0</v>
      </c>
      <c r="G367" s="84"/>
      <c r="H367" s="14"/>
      <c r="I367" s="31">
        <f>+INDEX('[6]Budget révisé'!$A$2:$AO$496,MATCH($A367,'[6]Budget révisé'!$A$2:$A$496,0),MATCH(I$2,'[6]Budget révisé'!$A$2:$AO$2,0))</f>
        <v>0</v>
      </c>
      <c r="J367" s="42"/>
      <c r="K367" s="14"/>
      <c r="L367" s="34">
        <f>-SUMIFS([6]BV_Data_An_Cour!$O:$O,[6]BV_Data_An_Cour!$U:$U,$B367,[6]BV_Data_An_Cour!$V:$V,$C367,[6]BV_Data_An_Cour!$W:$W,$L$2)</f>
        <v>0</v>
      </c>
      <c r="M367" s="42"/>
      <c r="N367" s="60">
        <f t="shared" si="120"/>
        <v>0</v>
      </c>
      <c r="O367" s="42"/>
      <c r="P367" s="14"/>
      <c r="Q367" s="34">
        <f>-SUMIFS([6]BV_Data_An_Prec!$O:$O,[6]BV_Data_An_Prec!$U:$U,$B367,[6]BV_Data_An_Prec!$V:$V,$C367,[6]BV_Data_An_Prec!$W:$W,$L$2)</f>
        <v>0</v>
      </c>
      <c r="R367" s="42"/>
      <c r="S367" s="86">
        <f t="shared" si="121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6"/>
        <v>Boutique[...]</v>
      </c>
      <c r="B368" s="12" t="s">
        <v>120</v>
      </c>
      <c r="C368" s="30" t="s">
        <v>21</v>
      </c>
      <c r="D368" s="82"/>
      <c r="E368" s="14"/>
      <c r="F368" s="31">
        <f>+INDEX('[6]Budget original'!$A$2:$AO$496,MATCH($A368,'[6]Budget original'!$A$2:$A$496,0),MATCH(F$2,'[6]Budget original'!$A$2:$AO$2,0))</f>
        <v>0</v>
      </c>
      <c r="G368" s="84"/>
      <c r="H368" s="14"/>
      <c r="I368" s="31">
        <f>+INDEX('[6]Budget révisé'!$A$2:$AO$496,MATCH($A368,'[6]Budget révisé'!$A$2:$A$496,0),MATCH(I$2,'[6]Budget révisé'!$A$2:$AO$2,0))</f>
        <v>0</v>
      </c>
      <c r="J368" s="42"/>
      <c r="K368" s="14"/>
      <c r="L368" s="34">
        <f>-SUMIFS([6]BV_Data_An_Cour!$O:$O,[6]BV_Data_An_Cour!$U:$U,$B368,[6]BV_Data_An_Cour!$V:$V,$C368,[6]BV_Data_An_Cour!$W:$W,$L$2)</f>
        <v>0</v>
      </c>
      <c r="M368" s="42"/>
      <c r="N368" s="60">
        <f t="shared" si="120"/>
        <v>0</v>
      </c>
      <c r="O368" s="42"/>
      <c r="P368" s="14"/>
      <c r="Q368" s="34">
        <f>-SUMIFS([6]BV_Data_An_Prec!$O:$O,[6]BV_Data_An_Prec!$U:$U,$B368,[6]BV_Data_An_Prec!$V:$V,$C368,[6]BV_Data_An_Prec!$W:$W,$L$2)</f>
        <v>0</v>
      </c>
      <c r="R368" s="42"/>
      <c r="S368" s="86">
        <f t="shared" si="121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6"/>
        <v>Boutique[...]</v>
      </c>
      <c r="B369" s="12" t="s">
        <v>120</v>
      </c>
      <c r="C369" s="30" t="s">
        <v>21</v>
      </c>
      <c r="D369" s="82"/>
      <c r="E369" s="14"/>
      <c r="F369" s="31">
        <f>+INDEX('[6]Budget original'!$A$2:$AO$496,MATCH($A369,'[6]Budget original'!$A$2:$A$496,0),MATCH(F$2,'[6]Budget original'!$A$2:$AO$2,0))</f>
        <v>0</v>
      </c>
      <c r="G369" s="84"/>
      <c r="H369" s="14"/>
      <c r="I369" s="31">
        <f>+INDEX('[6]Budget révisé'!$A$2:$AO$496,MATCH($A369,'[6]Budget révisé'!$A$2:$A$496,0),MATCH(I$2,'[6]Budget révisé'!$A$2:$AO$2,0))</f>
        <v>0</v>
      </c>
      <c r="J369" s="42"/>
      <c r="K369" s="14"/>
      <c r="L369" s="34">
        <f>-SUMIFS([6]BV_Data_An_Cour!$O:$O,[6]BV_Data_An_Cour!$U:$U,$B369,[6]BV_Data_An_Cour!$V:$V,$C369,[6]BV_Data_An_Cour!$W:$W,$L$2)</f>
        <v>0</v>
      </c>
      <c r="M369" s="42"/>
      <c r="N369" s="60">
        <f t="shared" si="120"/>
        <v>0</v>
      </c>
      <c r="O369" s="42"/>
      <c r="P369" s="14"/>
      <c r="Q369" s="34">
        <f>-SUMIFS([6]BV_Data_An_Prec!$O:$O,[6]BV_Data_An_Prec!$U:$U,$B369,[6]BV_Data_An_Prec!$V:$V,$C369,[6]BV_Data_An_Prec!$W:$W,$L$2)</f>
        <v>0</v>
      </c>
      <c r="R369" s="42"/>
      <c r="S369" s="86">
        <f t="shared" si="121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6"/>
        <v>Boutique[...]</v>
      </c>
      <c r="B370" s="12" t="s">
        <v>120</v>
      </c>
      <c r="C370" s="30" t="s">
        <v>21</v>
      </c>
      <c r="D370" s="82"/>
      <c r="E370" s="14"/>
      <c r="F370" s="31">
        <f>+INDEX('[6]Budget original'!$A$2:$AO$496,MATCH($A370,'[6]Budget original'!$A$2:$A$496,0),MATCH(F$2,'[6]Budget original'!$A$2:$AO$2,0))</f>
        <v>0</v>
      </c>
      <c r="G370" s="84"/>
      <c r="H370" s="14"/>
      <c r="I370" s="31">
        <f>+INDEX('[6]Budget révisé'!$A$2:$AO$496,MATCH($A370,'[6]Budget révisé'!$A$2:$A$496,0),MATCH(I$2,'[6]Budget révisé'!$A$2:$AO$2,0))</f>
        <v>0</v>
      </c>
      <c r="J370" s="42"/>
      <c r="K370" s="14"/>
      <c r="L370" s="34">
        <f>-SUMIFS([6]BV_Data_An_Cour!$O:$O,[6]BV_Data_An_Cour!$U:$U,$B370,[6]BV_Data_An_Cour!$V:$V,$C370,[6]BV_Data_An_Cour!$W:$W,$L$2)</f>
        <v>0</v>
      </c>
      <c r="M370" s="42"/>
      <c r="N370" s="60">
        <f t="shared" si="120"/>
        <v>0</v>
      </c>
      <c r="O370" s="42"/>
      <c r="P370" s="14"/>
      <c r="Q370" s="34">
        <f>-SUMIFS([6]BV_Data_An_Prec!$O:$O,[6]BV_Data_An_Prec!$U:$U,$B370,[6]BV_Data_An_Prec!$V:$V,$C370,[6]BV_Data_An_Prec!$W:$W,$L$2)</f>
        <v>0</v>
      </c>
      <c r="R370" s="42"/>
      <c r="S370" s="86">
        <f t="shared" si="121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6"/>
        <v>BoutiqueSalaires en absences</v>
      </c>
      <c r="B371" s="12" t="s">
        <v>120</v>
      </c>
      <c r="C371" s="109" t="s">
        <v>46</v>
      </c>
      <c r="D371" s="82"/>
      <c r="E371" s="14"/>
      <c r="F371" s="23">
        <f>+INDEX('[6]Budget original'!$A$2:$AO$496,MATCH($A371,'[6]Budget original'!$A$2:$A$496,0),MATCH(F$2,'[6]Budget original'!$A$2:$AO$2,0))</f>
        <v>0</v>
      </c>
      <c r="G371" s="84"/>
      <c r="H371" s="14"/>
      <c r="I371" s="23">
        <f>+INDEX('[6]Budget révisé'!$A$2:$AO$496,MATCH($A371,'[6]Budget révisé'!$A$2:$A$496,0),MATCH(I$2,'[6]Budget révisé'!$A$2:$AO$2,0))</f>
        <v>0</v>
      </c>
      <c r="J371" s="42"/>
      <c r="K371" s="14"/>
      <c r="L371" s="23">
        <f>-SUMIFS([6]BV_Data_An_Cour!$O:$O,[6]BV_Data_An_Cour!$U:$U,$B371,[6]BV_Data_An_Cour!$V:$V,$C371,[6]BV_Data_An_Cour!$W:$W,$L$2)</f>
        <v>0</v>
      </c>
      <c r="M371" s="42"/>
      <c r="N371" s="60">
        <f t="shared" si="120"/>
        <v>0</v>
      </c>
      <c r="O371" s="42"/>
      <c r="P371" s="14"/>
      <c r="Q371" s="23">
        <f>-SUMIFS([6]BV_Data_An_Prec!$O:$O,[6]BV_Data_An_Prec!$U:$U,$B371,[6]BV_Data_An_Prec!$V:$V,$C371,[6]BV_Data_An_Prec!$W:$W,$L$2)</f>
        <v>0</v>
      </c>
      <c r="R371" s="42"/>
      <c r="S371" s="86">
        <f t="shared" si="121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6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+INDEX('[6]Budget original'!$A$2:$AO$496,MATCH($A372,'[6]Budget original'!$A$2:$A$496,0),MATCH(F$2,'[6]Budget original'!$A$2:$AO$2,0))</f>
        <v>0</v>
      </c>
      <c r="G372" s="112"/>
      <c r="H372" s="111"/>
      <c r="I372" s="31">
        <f>+INDEX('[6]Budget révisé'!$A$2:$AO$496,MATCH($A372,'[6]Budget révisé'!$A$2:$A$496,0),MATCH(I$2,'[6]Budget révisé'!$A$2:$AO$2,0))</f>
        <v>0</v>
      </c>
      <c r="J372" s="113"/>
      <c r="K372" s="111"/>
      <c r="L372" s="34">
        <f>-SUMIFS([6]BV_Data_An_Cour!$O:$O,[6]BV_Data_An_Cour!$U:$U,$B372,[6]BV_Data_An_Cour!$V:$V,$C372,[6]BV_Data_An_Cour!$W:$W,$L$2)</f>
        <v>0</v>
      </c>
      <c r="M372" s="113"/>
      <c r="N372" s="115">
        <f t="shared" si="120"/>
        <v>0</v>
      </c>
      <c r="O372" s="113"/>
      <c r="P372" s="111"/>
      <c r="Q372" s="34">
        <f>-SUMIFS([6]BV_Data_An_Prec!$O:$O,[6]BV_Data_An_Prec!$U:$U,$B372,[6]BV_Data_An_Prec!$V:$V,$C372,[6]BV_Data_An_Prec!$W:$W,$L$2)</f>
        <v>0</v>
      </c>
      <c r="R372" s="113"/>
      <c r="S372" s="116">
        <f t="shared" si="121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6"/>
        <v>BoutiqueBénéfices marginaux</v>
      </c>
      <c r="B373" s="12" t="s">
        <v>120</v>
      </c>
      <c r="C373" s="108" t="s">
        <v>48</v>
      </c>
      <c r="D373" s="82"/>
      <c r="E373" s="14"/>
      <c r="F373" s="31">
        <f>+INDEX('[6]Budget original'!$A$2:$AO$496,MATCH($A373,'[6]Budget original'!$A$2:$A$496,0),MATCH(F$2,'[6]Budget original'!$A$2:$AO$2,0))</f>
        <v>0</v>
      </c>
      <c r="G373" s="84"/>
      <c r="H373" s="14"/>
      <c r="I373" s="31">
        <f>+INDEX('[6]Budget révisé'!$A$2:$AO$496,MATCH($A373,'[6]Budget révisé'!$A$2:$A$496,0),MATCH(I$2,'[6]Budget révisé'!$A$2:$AO$2,0))</f>
        <v>0</v>
      </c>
      <c r="J373" s="42"/>
      <c r="K373" s="14"/>
      <c r="L373" s="34">
        <f>-SUMIFS([6]BV_Data_An_Cour!$O:$O,[6]BV_Data_An_Cour!$U:$U,$B373,[6]BV_Data_An_Cour!$V:$V,$C373,[6]BV_Data_An_Cour!$W:$W,$L$2)</f>
        <v>0</v>
      </c>
      <c r="M373" s="42"/>
      <c r="N373" s="60">
        <f t="shared" si="120"/>
        <v>0</v>
      </c>
      <c r="O373" s="42"/>
      <c r="P373" s="14"/>
      <c r="Q373" s="34">
        <f>-SUMIFS([6]BV_Data_An_Prec!$O:$O,[6]BV_Data_An_Prec!$U:$U,$B373,[6]BV_Data_An_Prec!$V:$V,$C373,[6]BV_Data_An_Prec!$W:$W,$L$2)</f>
        <v>0</v>
      </c>
      <c r="R373" s="42"/>
      <c r="S373" s="86">
        <f t="shared" si="121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6"/>
        <v>BoutiqueCsst</v>
      </c>
      <c r="B374" s="12" t="s">
        <v>120</v>
      </c>
      <c r="C374" s="108" t="s">
        <v>49</v>
      </c>
      <c r="D374" s="82"/>
      <c r="E374" s="14"/>
      <c r="F374" s="31">
        <f>+INDEX('[6]Budget original'!$A$2:$AO$496,MATCH($A374,'[6]Budget original'!$A$2:$A$496,0),MATCH(F$2,'[6]Budget original'!$A$2:$AO$2,0))</f>
        <v>0</v>
      </c>
      <c r="G374" s="84"/>
      <c r="H374" s="14"/>
      <c r="I374" s="31">
        <f>+INDEX('[6]Budget révisé'!$A$2:$AO$496,MATCH($A374,'[6]Budget révisé'!$A$2:$A$496,0),MATCH(I$2,'[6]Budget révisé'!$A$2:$AO$2,0))</f>
        <v>0</v>
      </c>
      <c r="J374" s="42"/>
      <c r="K374" s="14"/>
      <c r="L374" s="34">
        <f>-SUMIFS([6]BV_Data_An_Cour!$O:$O,[6]BV_Data_An_Cour!$U:$U,$B374,[6]BV_Data_An_Cour!$V:$V,$C374,[6]BV_Data_An_Cour!$W:$W,$L$2)</f>
        <v>0</v>
      </c>
      <c r="M374" s="42"/>
      <c r="N374" s="60">
        <f t="shared" si="120"/>
        <v>0</v>
      </c>
      <c r="O374" s="42"/>
      <c r="P374" s="14"/>
      <c r="Q374" s="34">
        <f>-SUMIFS([6]BV_Data_An_Prec!$O:$O,[6]BV_Data_An_Prec!$U:$U,$B374,[6]BV_Data_An_Prec!$V:$V,$C374,[6]BV_Data_An_Prec!$W:$W,$L$2)</f>
        <v>0</v>
      </c>
      <c r="R374" s="42"/>
      <c r="S374" s="86">
        <f t="shared" si="121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6"/>
        <v>Boutique[...]</v>
      </c>
      <c r="B375" s="12" t="s">
        <v>120</v>
      </c>
      <c r="C375" s="30" t="s">
        <v>21</v>
      </c>
      <c r="D375" s="89"/>
      <c r="E375" s="117"/>
      <c r="F375" s="31">
        <f>+INDEX('[6]Budget original'!$A$2:$AO$496,MATCH($A375,'[6]Budget original'!$A$2:$A$496,0),MATCH(F$2,'[6]Budget original'!$A$2:$AO$2,0))</f>
        <v>0</v>
      </c>
      <c r="G375" s="91"/>
      <c r="H375" s="117"/>
      <c r="I375" s="31">
        <f>+INDEX('[6]Budget révisé'!$A$2:$AO$496,MATCH($A375,'[6]Budget révisé'!$A$2:$A$496,0),MATCH(I$2,'[6]Budget révisé'!$A$2:$AO$2,0))</f>
        <v>0</v>
      </c>
      <c r="J375" s="24"/>
      <c r="K375" s="117"/>
      <c r="L375" s="34">
        <f>-SUMIFS([6]BV_Data_An_Cour!$O:$O,[6]BV_Data_An_Cour!$U:$U,$B375,[6]BV_Data_An_Cour!$V:$V,$C375,[6]BV_Data_An_Cour!$W:$W,$L$2)</f>
        <v>0</v>
      </c>
      <c r="M375" s="24"/>
      <c r="N375" s="94">
        <f t="shared" si="120"/>
        <v>0</v>
      </c>
      <c r="O375" s="24"/>
      <c r="P375" s="117"/>
      <c r="Q375" s="34">
        <f>-SUMIFS([6]BV_Data_An_Prec!$O:$O,[6]BV_Data_An_Prec!$U:$U,$B375,[6]BV_Data_An_Prec!$V:$V,$C375,[6]BV_Data_An_Prec!$W:$W,$L$2)</f>
        <v>0</v>
      </c>
      <c r="R375" s="24"/>
      <c r="S375" s="95">
        <f t="shared" si="121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6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20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21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6"/>
        <v>BoutiquePublicité 2</v>
      </c>
      <c r="B377" s="12" t="s">
        <v>120</v>
      </c>
      <c r="C377" s="221" t="s">
        <v>51</v>
      </c>
      <c r="D377" s="82"/>
      <c r="E377" s="14"/>
      <c r="F377" s="31">
        <f>+INDEX('[6]Budget original'!$A$2:$AO$496,MATCH($A377,'[6]Budget original'!$A$2:$A$496,0),MATCH(F$2,'[6]Budget original'!$A$2:$AO$2,0))</f>
        <v>0</v>
      </c>
      <c r="G377" s="84"/>
      <c r="H377" s="14"/>
      <c r="I377" s="31">
        <f>+INDEX('[6]Budget révisé'!$A$2:$AO$496,MATCH($A377,'[6]Budget révisé'!$A$2:$A$496,0),MATCH(I$2,'[6]Budget révisé'!$A$2:$AO$2,0))</f>
        <v>0</v>
      </c>
      <c r="J377" s="42"/>
      <c r="K377" s="14"/>
      <c r="L377" s="34">
        <f>-SUMIFS([6]BV_Data_An_Cour!$O:$O,[6]BV_Data_An_Cour!$U:$U,$B377,[6]BV_Data_An_Cour!$V:$V,$C377,[6]BV_Data_An_Cour!$W:$W,$L$2)</f>
        <v>0</v>
      </c>
      <c r="M377" s="42"/>
      <c r="N377" s="60">
        <f t="shared" si="120"/>
        <v>0</v>
      </c>
      <c r="O377" s="42"/>
      <c r="P377" s="14"/>
      <c r="Q377" s="34">
        <f>-SUMIFS([6]BV_Data_An_Prec!$O:$O,[6]BV_Data_An_Prec!$U:$U,$B377,[6]BV_Data_An_Prec!$V:$V,$C377,[6]BV_Data_An_Prec!$W:$W,$L$2)</f>
        <v>0</v>
      </c>
      <c r="R377" s="42"/>
      <c r="S377" s="86">
        <f t="shared" si="121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6"/>
        <v>BoutiqueService gratuit 2</v>
      </c>
      <c r="B378" s="12" t="s">
        <v>120</v>
      </c>
      <c r="C378" s="108" t="s">
        <v>52</v>
      </c>
      <c r="D378" s="82"/>
      <c r="E378" s="14"/>
      <c r="F378" s="31">
        <f>+INDEX('[6]Budget original'!$A$2:$AO$496,MATCH($A378,'[6]Budget original'!$A$2:$A$496,0),MATCH(F$2,'[6]Budget original'!$A$2:$AO$2,0))</f>
        <v>0</v>
      </c>
      <c r="G378" s="84"/>
      <c r="H378" s="14"/>
      <c r="I378" s="31">
        <f>+INDEX('[6]Budget révisé'!$A$2:$AO$496,MATCH($A378,'[6]Budget révisé'!$A$2:$A$496,0),MATCH(I$2,'[6]Budget révisé'!$A$2:$AO$2,0))</f>
        <v>0</v>
      </c>
      <c r="J378" s="42"/>
      <c r="K378" s="14"/>
      <c r="L378" s="34">
        <f>-SUMIFS([6]BV_Data_An_Cour!$O:$O,[6]BV_Data_An_Cour!$U:$U,$B378,[6]BV_Data_An_Cour!$V:$V,$C378,[6]BV_Data_An_Cour!$W:$W,$L$2)</f>
        <v>0</v>
      </c>
      <c r="M378" s="42"/>
      <c r="N378" s="60">
        <f t="shared" si="120"/>
        <v>0</v>
      </c>
      <c r="O378" s="42"/>
      <c r="P378" s="14"/>
      <c r="Q378" s="34">
        <f>-SUMIFS([6]BV_Data_An_Prec!$O:$O,[6]BV_Data_An_Prec!$U:$U,$B378,[6]BV_Data_An_Prec!$V:$V,$C378,[6]BV_Data_An_Prec!$W:$W,$L$2)</f>
        <v>0</v>
      </c>
      <c r="R378" s="42"/>
      <c r="S378" s="86">
        <f t="shared" si="121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6"/>
        <v>BoutiqueFrais véhicules de cie</v>
      </c>
      <c r="B379" s="12" t="s">
        <v>120</v>
      </c>
      <c r="C379" s="109" t="s">
        <v>53</v>
      </c>
      <c r="D379" s="89"/>
      <c r="E379" s="117"/>
      <c r="F379" s="23">
        <f>+INDEX('[6]Budget original'!$A$2:$AO$496,MATCH($A379,'[6]Budget original'!$A$2:$A$496,0),MATCH(F$2,'[6]Budget original'!$A$2:$AO$2,0))</f>
        <v>0</v>
      </c>
      <c r="G379" s="91"/>
      <c r="H379" s="117"/>
      <c r="I379" s="23">
        <f>+INDEX('[6]Budget révisé'!$A$2:$AO$496,MATCH($A379,'[6]Budget révisé'!$A$2:$A$496,0),MATCH(I$2,'[6]Budget révisé'!$A$2:$AO$2,0))</f>
        <v>0</v>
      </c>
      <c r="J379" s="24"/>
      <c r="K379" s="117"/>
      <c r="L379" s="23">
        <f>-SUMIFS([6]BV_Data_An_Cour!$O:$O,[6]BV_Data_An_Cour!$U:$U,$B379,[6]BV_Data_An_Cour!$V:$V,$C379,[6]BV_Data_An_Cour!$W:$W,$L$2)</f>
        <v>0</v>
      </c>
      <c r="M379" s="24"/>
      <c r="N379" s="94">
        <f t="shared" si="120"/>
        <v>0</v>
      </c>
      <c r="O379" s="24"/>
      <c r="P379" s="117"/>
      <c r="Q379" s="23">
        <f>-SUMIFS([6]BV_Data_An_Prec!$O:$O,[6]BV_Data_An_Prec!$U:$U,$B379,[6]BV_Data_An_Prec!$V:$V,$C379,[6]BV_Data_An_Prec!$W:$W,$L$2)</f>
        <v>0</v>
      </c>
      <c r="R379" s="24"/>
      <c r="S379" s="95">
        <f t="shared" si="121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6"/>
        <v>BoutiqueInformatique</v>
      </c>
      <c r="B380" s="12" t="s">
        <v>120</v>
      </c>
      <c r="C380" s="108" t="s">
        <v>54</v>
      </c>
      <c r="D380" s="82"/>
      <c r="E380" s="14"/>
      <c r="F380" s="31">
        <f>+INDEX('[6]Budget original'!$A$2:$AO$496,MATCH($A380,'[6]Budget original'!$A$2:$A$496,0),MATCH(F$2,'[6]Budget original'!$A$2:$AO$2,0))</f>
        <v>0</v>
      </c>
      <c r="G380" s="84"/>
      <c r="H380" s="14"/>
      <c r="I380" s="31">
        <f>+INDEX('[6]Budget révisé'!$A$2:$AO$496,MATCH($A380,'[6]Budget révisé'!$A$2:$A$496,0),MATCH(I$2,'[6]Budget révisé'!$A$2:$AO$2,0))</f>
        <v>0</v>
      </c>
      <c r="J380" s="42"/>
      <c r="K380" s="14"/>
      <c r="L380" s="34">
        <f>-SUMIFS([6]BV_Data_An_Cour!$O:$O,[6]BV_Data_An_Cour!$U:$U,$B380,[6]BV_Data_An_Cour!$V:$V,$C380,[6]BV_Data_An_Cour!$W:$W,$L$2)</f>
        <v>0</v>
      </c>
      <c r="M380" s="42"/>
      <c r="N380" s="60">
        <f t="shared" si="120"/>
        <v>0</v>
      </c>
      <c r="O380" s="42"/>
      <c r="P380" s="14"/>
      <c r="Q380" s="34">
        <f>-SUMIFS([6]BV_Data_An_Prec!$O:$O,[6]BV_Data_An_Prec!$U:$U,$B380,[6]BV_Data_An_Prec!$V:$V,$C380,[6]BV_Data_An_Prec!$W:$W,$L$2)</f>
        <v>0</v>
      </c>
      <c r="R380" s="42"/>
      <c r="S380" s="86">
        <f t="shared" si="121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6"/>
        <v>BoutiqueFrais de déplacement</v>
      </c>
      <c r="B381" s="12" t="s">
        <v>120</v>
      </c>
      <c r="C381" s="108" t="s">
        <v>55</v>
      </c>
      <c r="D381" s="82"/>
      <c r="E381" s="14"/>
      <c r="F381" s="31">
        <f>+INDEX('[6]Budget original'!$A$2:$AO$496,MATCH($A381,'[6]Budget original'!$A$2:$A$496,0),MATCH(F$2,'[6]Budget original'!$A$2:$AO$2,0))</f>
        <v>0</v>
      </c>
      <c r="G381" s="84"/>
      <c r="H381" s="14"/>
      <c r="I381" s="31">
        <f>+INDEX('[6]Budget révisé'!$A$2:$AO$496,MATCH($A381,'[6]Budget révisé'!$A$2:$A$496,0),MATCH(I$2,'[6]Budget révisé'!$A$2:$AO$2,0))</f>
        <v>0</v>
      </c>
      <c r="J381" s="42"/>
      <c r="K381" s="14"/>
      <c r="L381" s="34">
        <f>-SUMIFS([6]BV_Data_An_Cour!$O:$O,[6]BV_Data_An_Cour!$U:$U,$B381,[6]BV_Data_An_Cour!$V:$V,$C381,[6]BV_Data_An_Cour!$W:$W,$L$2)</f>
        <v>0</v>
      </c>
      <c r="M381" s="42"/>
      <c r="N381" s="60">
        <f t="shared" si="120"/>
        <v>0</v>
      </c>
      <c r="O381" s="42"/>
      <c r="P381" s="14"/>
      <c r="Q381" s="34">
        <f>-SUMIFS([6]BV_Data_An_Prec!$O:$O,[6]BV_Data_An_Prec!$U:$U,$B381,[6]BV_Data_An_Prec!$V:$V,$C381,[6]BV_Data_An_Prec!$W:$W,$L$2)</f>
        <v>0</v>
      </c>
      <c r="R381" s="42"/>
      <c r="S381" s="86">
        <f t="shared" si="121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6"/>
        <v>BoutiqueServices extérieurs</v>
      </c>
      <c r="B382" s="12" t="s">
        <v>120</v>
      </c>
      <c r="C382" s="108" t="s">
        <v>56</v>
      </c>
      <c r="D382" s="89"/>
      <c r="E382" s="117"/>
      <c r="F382" s="23">
        <f>+INDEX('[6]Budget original'!$A$2:$AO$496,MATCH($A382,'[6]Budget original'!$A$2:$A$496,0),MATCH(F$2,'[6]Budget original'!$A$2:$AO$2,0))</f>
        <v>0</v>
      </c>
      <c r="G382" s="91"/>
      <c r="H382" s="117"/>
      <c r="I382" s="23">
        <f>+INDEX('[6]Budget révisé'!$A$2:$AO$496,MATCH($A382,'[6]Budget révisé'!$A$2:$A$496,0),MATCH(I$2,'[6]Budget révisé'!$A$2:$AO$2,0))</f>
        <v>0</v>
      </c>
      <c r="J382" s="24"/>
      <c r="K382" s="117"/>
      <c r="L382" s="23">
        <f>-SUMIFS([6]BV_Data_An_Cour!$O:$O,[6]BV_Data_An_Cour!$U:$U,$B382,[6]BV_Data_An_Cour!$V:$V,$C382,[6]BV_Data_An_Cour!$W:$W,$L$2)</f>
        <v>0</v>
      </c>
      <c r="M382" s="24"/>
      <c r="N382" s="94">
        <f t="shared" si="120"/>
        <v>0</v>
      </c>
      <c r="O382" s="24"/>
      <c r="P382" s="117"/>
      <c r="Q382" s="23">
        <f>-SUMIFS([6]BV_Data_An_Prec!$O:$O,[6]BV_Data_An_Prec!$U:$U,$B382,[6]BV_Data_An_Prec!$V:$V,$C382,[6]BV_Data_An_Prec!$W:$W,$L$2)</f>
        <v>0</v>
      </c>
      <c r="R382" s="24"/>
      <c r="S382" s="95">
        <f t="shared" si="121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6"/>
        <v>BoutiqueFournitures autres</v>
      </c>
      <c r="B383" s="12" t="s">
        <v>120</v>
      </c>
      <c r="C383" s="221" t="s">
        <v>57</v>
      </c>
      <c r="D383" s="82"/>
      <c r="E383" s="14"/>
      <c r="F383" s="31">
        <f>+INDEX('[6]Budget original'!$A$2:$AO$496,MATCH($A383,'[6]Budget original'!$A$2:$A$496,0),MATCH(F$2,'[6]Budget original'!$A$2:$AO$2,0))</f>
        <v>0</v>
      </c>
      <c r="G383" s="84"/>
      <c r="H383" s="14"/>
      <c r="I383" s="31">
        <f>+INDEX('[6]Budget révisé'!$A$2:$AO$496,MATCH($A383,'[6]Budget révisé'!$A$2:$A$496,0),MATCH(I$2,'[6]Budget révisé'!$A$2:$AO$2,0))</f>
        <v>0</v>
      </c>
      <c r="J383" s="42"/>
      <c r="K383" s="14"/>
      <c r="L383" s="34">
        <f>-SUMIFS([6]BV_Data_An_Cour!$O:$O,[6]BV_Data_An_Cour!$U:$U,$B383,[6]BV_Data_An_Cour!$V:$V,$C383,[6]BV_Data_An_Cour!$W:$W,$L$2)</f>
        <v>0</v>
      </c>
      <c r="M383" s="42"/>
      <c r="N383" s="60">
        <f t="shared" si="120"/>
        <v>0</v>
      </c>
      <c r="O383" s="42"/>
      <c r="P383" s="14"/>
      <c r="Q383" s="34">
        <f>-SUMIFS([6]BV_Data_An_Prec!$O:$O,[6]BV_Data_An_Prec!$U:$U,$B383,[6]BV_Data_An_Prec!$V:$V,$C383,[6]BV_Data_An_Prec!$W:$W,$L$2)</f>
        <v>0</v>
      </c>
      <c r="R383" s="42"/>
      <c r="S383" s="86">
        <f t="shared" si="121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6"/>
        <v>BoutiqueUniformes</v>
      </c>
      <c r="B384" s="12" t="s">
        <v>120</v>
      </c>
      <c r="C384" s="108" t="s">
        <v>58</v>
      </c>
      <c r="D384" s="82"/>
      <c r="E384" s="14"/>
      <c r="F384" s="31">
        <f>+INDEX('[6]Budget original'!$A$2:$AO$496,MATCH($A384,'[6]Budget original'!$A$2:$A$496,0),MATCH(F$2,'[6]Budget original'!$A$2:$AO$2,0))</f>
        <v>0</v>
      </c>
      <c r="G384" s="84"/>
      <c r="H384" s="14"/>
      <c r="I384" s="31">
        <f>+INDEX('[6]Budget révisé'!$A$2:$AO$496,MATCH($A384,'[6]Budget révisé'!$A$2:$A$496,0),MATCH(I$2,'[6]Budget révisé'!$A$2:$AO$2,0))</f>
        <v>0</v>
      </c>
      <c r="J384" s="42"/>
      <c r="K384" s="14"/>
      <c r="L384" s="34">
        <f>-SUMIFS([6]BV_Data_An_Cour!$O:$O,[6]BV_Data_An_Cour!$U:$U,$B384,[6]BV_Data_An_Cour!$V:$V,$C384,[6]BV_Data_An_Cour!$W:$W,$L$2)</f>
        <v>0</v>
      </c>
      <c r="M384" s="42"/>
      <c r="N384" s="60">
        <f t="shared" si="120"/>
        <v>0</v>
      </c>
      <c r="O384" s="42"/>
      <c r="P384" s="14"/>
      <c r="Q384" s="34">
        <f>-SUMIFS([6]BV_Data_An_Prec!$O:$O,[6]BV_Data_An_Prec!$U:$U,$B384,[6]BV_Data_An_Prec!$V:$V,$C384,[6]BV_Data_An_Prec!$W:$W,$L$2)</f>
        <v>0</v>
      </c>
      <c r="R384" s="42"/>
      <c r="S384" s="86">
        <f t="shared" si="121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6"/>
        <v>BoutiquePapeterie</v>
      </c>
      <c r="B385" s="12" t="s">
        <v>120</v>
      </c>
      <c r="C385" s="108" t="s">
        <v>59</v>
      </c>
      <c r="D385" s="82"/>
      <c r="E385" s="14"/>
      <c r="F385" s="31">
        <f>+INDEX('[6]Budget original'!$A$2:$AO$496,MATCH($A385,'[6]Budget original'!$A$2:$A$496,0),MATCH(F$2,'[6]Budget original'!$A$2:$AO$2,0))</f>
        <v>0</v>
      </c>
      <c r="G385" s="84"/>
      <c r="H385" s="14"/>
      <c r="I385" s="31">
        <f>+INDEX('[6]Budget révisé'!$A$2:$AO$496,MATCH($A385,'[6]Budget révisé'!$A$2:$A$496,0),MATCH(I$2,'[6]Budget révisé'!$A$2:$AO$2,0))</f>
        <v>0</v>
      </c>
      <c r="J385" s="42"/>
      <c r="K385" s="14"/>
      <c r="L385" s="34">
        <f>-SUMIFS([6]BV_Data_An_Cour!$O:$O,[6]BV_Data_An_Cour!$U:$U,$B385,[6]BV_Data_An_Cour!$V:$V,$C385,[6]BV_Data_An_Cour!$W:$W,$L$2)</f>
        <v>0</v>
      </c>
      <c r="M385" s="42"/>
      <c r="N385" s="60">
        <f t="shared" si="120"/>
        <v>0</v>
      </c>
      <c r="O385" s="42"/>
      <c r="P385" s="14"/>
      <c r="Q385" s="34">
        <f>-SUMIFS([6]BV_Data_An_Prec!$O:$O,[6]BV_Data_An_Prec!$U:$U,$B385,[6]BV_Data_An_Prec!$V:$V,$C385,[6]BV_Data_An_Prec!$W:$W,$L$2)</f>
        <v>0</v>
      </c>
      <c r="R385" s="42"/>
      <c r="S385" s="86">
        <f t="shared" si="121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6"/>
        <v>BoutiqueTéléphone</v>
      </c>
      <c r="B386" s="12" t="s">
        <v>120</v>
      </c>
      <c r="C386" s="108" t="s">
        <v>60</v>
      </c>
      <c r="D386" s="82"/>
      <c r="E386" s="14"/>
      <c r="F386" s="31">
        <f>+INDEX('[6]Budget original'!$A$2:$AO$496,MATCH($A386,'[6]Budget original'!$A$2:$A$496,0),MATCH(F$2,'[6]Budget original'!$A$2:$AO$2,0))</f>
        <v>0</v>
      </c>
      <c r="G386" s="84"/>
      <c r="H386" s="14"/>
      <c r="I386" s="31">
        <f>+INDEX('[6]Budget révisé'!$A$2:$AO$496,MATCH($A386,'[6]Budget révisé'!$A$2:$A$496,0),MATCH(I$2,'[6]Budget révisé'!$A$2:$AO$2,0))</f>
        <v>0</v>
      </c>
      <c r="J386" s="42"/>
      <c r="K386" s="14"/>
      <c r="L386" s="34">
        <f>-SUMIFS([6]BV_Data_An_Cour!$O:$O,[6]BV_Data_An_Cour!$U:$U,$B386,[6]BV_Data_An_Cour!$V:$V,$C386,[6]BV_Data_An_Cour!$W:$W,$L$2)</f>
        <v>0</v>
      </c>
      <c r="M386" s="42"/>
      <c r="N386" s="60">
        <f t="shared" si="120"/>
        <v>0</v>
      </c>
      <c r="O386" s="42"/>
      <c r="P386" s="14"/>
      <c r="Q386" s="34">
        <f>-SUMIFS([6]BV_Data_An_Prec!$O:$O,[6]BV_Data_An_Prec!$U:$U,$B386,[6]BV_Data_An_Prec!$V:$V,$C386,[6]BV_Data_An_Prec!$W:$W,$L$2)</f>
        <v>0</v>
      </c>
      <c r="R386" s="42"/>
      <c r="S386" s="86">
        <f t="shared" si="121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6"/>
        <v>BoutiqueFrais postaux</v>
      </c>
      <c r="B387" s="12" t="s">
        <v>120</v>
      </c>
      <c r="C387" s="108" t="s">
        <v>61</v>
      </c>
      <c r="D387" s="82"/>
      <c r="E387" s="14"/>
      <c r="F387" s="31">
        <f>+INDEX('[6]Budget original'!$A$2:$AO$496,MATCH($A387,'[6]Budget original'!$A$2:$A$496,0),MATCH(F$2,'[6]Budget original'!$A$2:$AO$2,0))</f>
        <v>0</v>
      </c>
      <c r="G387" s="84"/>
      <c r="H387" s="14"/>
      <c r="I387" s="31">
        <f>+INDEX('[6]Budget révisé'!$A$2:$AO$496,MATCH($A387,'[6]Budget révisé'!$A$2:$A$496,0),MATCH(I$2,'[6]Budget révisé'!$A$2:$AO$2,0))</f>
        <v>0</v>
      </c>
      <c r="J387" s="42"/>
      <c r="K387" s="14"/>
      <c r="L387" s="34">
        <f>-SUMIFS([6]BV_Data_An_Cour!$O:$O,[6]BV_Data_An_Cour!$U:$U,$B387,[6]BV_Data_An_Cour!$V:$V,$C387,[6]BV_Data_An_Cour!$W:$W,$L$2)</f>
        <v>0</v>
      </c>
      <c r="M387" s="42"/>
      <c r="N387" s="60">
        <f t="shared" si="120"/>
        <v>0</v>
      </c>
      <c r="O387" s="42"/>
      <c r="P387" s="14"/>
      <c r="Q387" s="34">
        <f>-SUMIFS([6]BV_Data_An_Prec!$O:$O,[6]BV_Data_An_Prec!$U:$U,$B387,[6]BV_Data_An_Prec!$V:$V,$C387,[6]BV_Data_An_Prec!$W:$W,$L$2)</f>
        <v>0</v>
      </c>
      <c r="R387" s="42"/>
      <c r="S387" s="86">
        <f t="shared" si="121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6"/>
        <v>BoutiqueDivers</v>
      </c>
      <c r="B388" s="12" t="s">
        <v>120</v>
      </c>
      <c r="C388" s="108" t="s">
        <v>62</v>
      </c>
      <c r="D388" s="82"/>
      <c r="E388" s="14"/>
      <c r="F388" s="31">
        <f>+INDEX('[6]Budget original'!$A$2:$AO$496,MATCH($A388,'[6]Budget original'!$A$2:$A$496,0),MATCH(F$2,'[6]Budget original'!$A$2:$AO$2,0))</f>
        <v>0</v>
      </c>
      <c r="G388" s="84"/>
      <c r="H388" s="14"/>
      <c r="I388" s="31">
        <f>+INDEX('[6]Budget révisé'!$A$2:$AO$496,MATCH($A388,'[6]Budget révisé'!$A$2:$A$496,0),MATCH(I$2,'[6]Budget révisé'!$A$2:$AO$2,0))</f>
        <v>0</v>
      </c>
      <c r="J388" s="42"/>
      <c r="K388" s="14"/>
      <c r="L388" s="34">
        <f>-SUMIFS([6]BV_Data_An_Cour!$O:$O,[6]BV_Data_An_Cour!$U:$U,$B388,[6]BV_Data_An_Cour!$V:$V,$C388,[6]BV_Data_An_Cour!$W:$W,$L$2)</f>
        <v>0</v>
      </c>
      <c r="M388" s="42"/>
      <c r="N388" s="60">
        <f t="shared" si="120"/>
        <v>0</v>
      </c>
      <c r="O388" s="42"/>
      <c r="P388" s="14"/>
      <c r="Q388" s="34">
        <f>-SUMIFS([6]BV_Data_An_Prec!$O:$O,[6]BV_Data_An_Prec!$U:$U,$B388,[6]BV_Data_An_Prec!$V:$V,$C388,[6]BV_Data_An_Prec!$W:$W,$L$2)</f>
        <v>0</v>
      </c>
      <c r="R388" s="42"/>
      <c r="S388" s="86">
        <f t="shared" si="121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6"/>
        <v>BoutiqueFormation</v>
      </c>
      <c r="B389" s="12" t="s">
        <v>120</v>
      </c>
      <c r="C389" s="108" t="s">
        <v>63</v>
      </c>
      <c r="D389" s="82"/>
      <c r="E389" s="14"/>
      <c r="F389" s="31">
        <f>+INDEX('[6]Budget original'!$A$2:$AO$496,MATCH($A389,'[6]Budget original'!$A$2:$A$496,0),MATCH(F$2,'[6]Budget original'!$A$2:$AO$2,0))</f>
        <v>0</v>
      </c>
      <c r="G389" s="84"/>
      <c r="H389" s="14"/>
      <c r="I389" s="31">
        <f>+INDEX('[6]Budget révisé'!$A$2:$AO$496,MATCH($A389,'[6]Budget révisé'!$A$2:$A$496,0),MATCH(I$2,'[6]Budget révisé'!$A$2:$AO$2,0))</f>
        <v>0</v>
      </c>
      <c r="J389" s="42"/>
      <c r="K389" s="14"/>
      <c r="L389" s="34">
        <f>-SUMIFS([6]BV_Data_An_Cour!$O:$O,[6]BV_Data_An_Cour!$U:$U,$B389,[6]BV_Data_An_Cour!$V:$V,$C389,[6]BV_Data_An_Cour!$W:$W,$L$2)</f>
        <v>0</v>
      </c>
      <c r="M389" s="42"/>
      <c r="N389" s="60">
        <f t="shared" si="120"/>
        <v>0</v>
      </c>
      <c r="O389" s="42"/>
      <c r="P389" s="14"/>
      <c r="Q389" s="34">
        <f>-SUMIFS([6]BV_Data_An_Prec!$O:$O,[6]BV_Data_An_Prec!$U:$U,$B389,[6]BV_Data_An_Prec!$V:$V,$C389,[6]BV_Data_An_Prec!$W:$W,$L$2)</f>
        <v>0</v>
      </c>
      <c r="R389" s="42"/>
      <c r="S389" s="86">
        <f t="shared" si="121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6"/>
        <v>BoutiqueFrais bancaires</v>
      </c>
      <c r="B390" s="12" t="s">
        <v>120</v>
      </c>
      <c r="C390" s="108" t="s">
        <v>64</v>
      </c>
      <c r="D390" s="82"/>
      <c r="E390" s="14"/>
      <c r="F390" s="31">
        <f>+INDEX('[6]Budget original'!$A$2:$AO$496,MATCH($A390,'[6]Budget original'!$A$2:$A$496,0),MATCH(F$2,'[6]Budget original'!$A$2:$AO$2,0))</f>
        <v>0</v>
      </c>
      <c r="G390" s="84"/>
      <c r="H390" s="14"/>
      <c r="I390" s="31">
        <f>+INDEX('[6]Budget révisé'!$A$2:$AO$496,MATCH($A390,'[6]Budget révisé'!$A$2:$A$496,0),MATCH(I$2,'[6]Budget révisé'!$A$2:$AO$2,0))</f>
        <v>0</v>
      </c>
      <c r="J390" s="42"/>
      <c r="K390" s="14"/>
      <c r="L390" s="34">
        <f>-SUMIFS([6]BV_Data_An_Cour!$O:$O,[6]BV_Data_An_Cour!$U:$U,$B390,[6]BV_Data_An_Cour!$V:$V,$C390,[6]BV_Data_An_Cour!$W:$W,$L$2)</f>
        <v>0</v>
      </c>
      <c r="M390" s="42"/>
      <c r="N390" s="60">
        <f t="shared" si="120"/>
        <v>0</v>
      </c>
      <c r="O390" s="42"/>
      <c r="P390" s="14"/>
      <c r="Q390" s="34">
        <f>-SUMIFS([6]BV_Data_An_Prec!$O:$O,[6]BV_Data_An_Prec!$U:$U,$B390,[6]BV_Data_An_Prec!$V:$V,$C390,[6]BV_Data_An_Prec!$W:$W,$L$2)</f>
        <v>0</v>
      </c>
      <c r="R390" s="42"/>
      <c r="S390" s="86">
        <f t="shared" si="121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6"/>
        <v>Boutique[...]</v>
      </c>
      <c r="B391" s="12" t="s">
        <v>120</v>
      </c>
      <c r="C391" s="108" t="s">
        <v>21</v>
      </c>
      <c r="D391" s="82"/>
      <c r="E391" s="14"/>
      <c r="F391" s="31">
        <f>+INDEX('[6]Budget original'!$A$2:$AO$496,MATCH($A391,'[6]Budget original'!$A$2:$A$496,0),MATCH(F$2,'[6]Budget original'!$A$2:$AO$2,0))</f>
        <v>0</v>
      </c>
      <c r="G391" s="84"/>
      <c r="H391" s="14"/>
      <c r="I391" s="31">
        <f>+INDEX('[6]Budget révisé'!$A$2:$AO$496,MATCH($A391,'[6]Budget révisé'!$A$2:$A$496,0),MATCH(I$2,'[6]Budget révisé'!$A$2:$AO$2,0))</f>
        <v>0</v>
      </c>
      <c r="J391" s="42"/>
      <c r="K391" s="14"/>
      <c r="L391" s="34">
        <f>-SUMIFS([6]BV_Data_An_Cour!$O:$O,[6]BV_Data_An_Cour!$U:$U,$B391,[6]BV_Data_An_Cour!$V:$V,$C391,[6]BV_Data_An_Cour!$W:$W,$L$2)</f>
        <v>0</v>
      </c>
      <c r="M391" s="42"/>
      <c r="N391" s="60">
        <f t="shared" si="120"/>
        <v>0</v>
      </c>
      <c r="O391" s="42"/>
      <c r="P391" s="14"/>
      <c r="Q391" s="34">
        <f>-SUMIFS([6]BV_Data_An_Prec!$O:$O,[6]BV_Data_An_Prec!$U:$U,$B391,[6]BV_Data_An_Prec!$V:$V,$C391,[6]BV_Data_An_Prec!$W:$W,$L$2)</f>
        <v>0</v>
      </c>
      <c r="R391" s="42"/>
      <c r="S391" s="86">
        <f t="shared" si="121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6"/>
        <v>Boutique[...]</v>
      </c>
      <c r="B392" s="12" t="s">
        <v>120</v>
      </c>
      <c r="C392" s="108" t="s">
        <v>21</v>
      </c>
      <c r="D392" s="82"/>
      <c r="E392" s="14"/>
      <c r="F392" s="31">
        <f>+INDEX('[6]Budget original'!$A$2:$AO$496,MATCH($A392,'[6]Budget original'!$A$2:$A$496,0),MATCH(F$2,'[6]Budget original'!$A$2:$AO$2,0))</f>
        <v>0</v>
      </c>
      <c r="G392" s="84"/>
      <c r="H392" s="14"/>
      <c r="I392" s="31">
        <f>+INDEX('[6]Budget révisé'!$A$2:$AO$496,MATCH($A392,'[6]Budget révisé'!$A$2:$A$496,0),MATCH(I$2,'[6]Budget révisé'!$A$2:$AO$2,0))</f>
        <v>0</v>
      </c>
      <c r="J392" s="42"/>
      <c r="K392" s="14"/>
      <c r="L392" s="34">
        <f>-SUMIFS([6]BV_Data_An_Cour!$O:$O,[6]BV_Data_An_Cour!$U:$U,$B392,[6]BV_Data_An_Cour!$V:$V,$C392,[6]BV_Data_An_Cour!$W:$W,$L$2)</f>
        <v>0</v>
      </c>
      <c r="M392" s="42"/>
      <c r="N392" s="60">
        <f t="shared" si="120"/>
        <v>0</v>
      </c>
      <c r="O392" s="42"/>
      <c r="P392" s="14"/>
      <c r="Q392" s="34">
        <f>-SUMIFS([6]BV_Data_An_Prec!$O:$O,[6]BV_Data_An_Prec!$U:$U,$B392,[6]BV_Data_An_Prec!$V:$V,$C392,[6]BV_Data_An_Prec!$W:$W,$L$2)</f>
        <v>0</v>
      </c>
      <c r="R392" s="42"/>
      <c r="S392" s="86">
        <f t="shared" si="121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6"/>
        <v>Boutique[...]</v>
      </c>
      <c r="B393" s="12" t="s">
        <v>120</v>
      </c>
      <c r="C393" s="108" t="s">
        <v>21</v>
      </c>
      <c r="D393" s="89"/>
      <c r="E393" s="117"/>
      <c r="F393" s="31">
        <f>+INDEX('[6]Budget original'!$A$2:$AO$496,MATCH($A393,'[6]Budget original'!$A$2:$A$496,0),MATCH(F$2,'[6]Budget original'!$A$2:$AO$2,0))</f>
        <v>0</v>
      </c>
      <c r="G393" s="91"/>
      <c r="H393" s="117"/>
      <c r="I393" s="31">
        <f>+INDEX('[6]Budget révisé'!$A$2:$AO$496,MATCH($A393,'[6]Budget révisé'!$A$2:$A$496,0),MATCH(I$2,'[6]Budget révisé'!$A$2:$AO$2,0))</f>
        <v>0</v>
      </c>
      <c r="J393" s="24"/>
      <c r="K393" s="117"/>
      <c r="L393" s="34">
        <f>-SUMIFS([6]BV_Data_An_Cour!$O:$O,[6]BV_Data_An_Cour!$U:$U,$B393,[6]BV_Data_An_Cour!$V:$V,$C393,[6]BV_Data_An_Cour!$W:$W,$L$2)</f>
        <v>0</v>
      </c>
      <c r="M393" s="24"/>
      <c r="N393" s="94">
        <f t="shared" si="120"/>
        <v>0</v>
      </c>
      <c r="O393" s="24"/>
      <c r="P393" s="117"/>
      <c r="Q393" s="34">
        <f>-SUMIFS([6]BV_Data_An_Prec!$O:$O,[6]BV_Data_An_Prec!$U:$U,$B393,[6]BV_Data_An_Prec!$V:$V,$C393,[6]BV_Data_An_Prec!$W:$W,$L$2)</f>
        <v>0</v>
      </c>
      <c r="R393" s="24"/>
      <c r="S393" s="95">
        <f t="shared" si="121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 t="s">
        <v>219</v>
      </c>
      <c r="M400" s="14"/>
      <c r="N400" s="14"/>
      <c r="O400" s="14"/>
      <c r="P400" s="14"/>
      <c r="Q400" s="14"/>
      <c r="R400" s="11" t="s">
        <v>220</v>
      </c>
      <c r="S400" s="496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221</v>
      </c>
      <c r="M401" s="495">
        <f>L50</f>
        <v>12289.25</v>
      </c>
      <c r="N401" s="497">
        <f>I50/($I$50+$I$51+$I$52)</f>
        <v>0.53097345132743357</v>
      </c>
      <c r="O401" s="495">
        <f>($M$439*$O$405)*N401</f>
        <v>12538.193881250378</v>
      </c>
      <c r="P401" s="11"/>
      <c r="Q401" s="495">
        <f>O401-M401</f>
        <v>248.94388125037767</v>
      </c>
      <c r="R401" s="11">
        <v>6132</v>
      </c>
      <c r="S401" s="498">
        <f>Q401</f>
        <v>248.94388125037767</v>
      </c>
      <c r="T401" s="11"/>
      <c r="U401" s="11"/>
      <c r="V401" s="6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>Réalisé, Mai 2021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222</v>
      </c>
      <c r="M402" s="495">
        <f>L51</f>
        <v>8807.2900000000009</v>
      </c>
      <c r="N402" s="497">
        <f t="shared" ref="N402:N403" si="122">I51/($I$50+$I$51+$I$52)</f>
        <v>0.38053097345132747</v>
      </c>
      <c r="O402" s="495">
        <f t="shared" ref="O402:O404" si="123">($M$439*$O$405)*N402</f>
        <v>8985.7056148961055</v>
      </c>
      <c r="P402" s="499"/>
      <c r="Q402" s="495">
        <f t="shared" ref="Q402:Q403" si="124">O402-M402</f>
        <v>178.41561489610467</v>
      </c>
      <c r="R402" s="11">
        <v>6139</v>
      </c>
      <c r="S402" s="498">
        <f>Q402</f>
        <v>178.41561489610467</v>
      </c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223</v>
      </c>
      <c r="M403" s="495">
        <f>L52</f>
        <v>2048.21</v>
      </c>
      <c r="N403" s="497">
        <f t="shared" si="122"/>
        <v>8.8495575221238951E-2</v>
      </c>
      <c r="O403" s="495">
        <f t="shared" si="123"/>
        <v>2089.6989802083967</v>
      </c>
      <c r="P403" s="499"/>
      <c r="Q403" s="495">
        <f t="shared" si="124"/>
        <v>41.488980208396697</v>
      </c>
      <c r="R403" s="11">
        <v>6131</v>
      </c>
      <c r="S403" s="498">
        <f>Q403</f>
        <v>41.488980208396697</v>
      </c>
      <c r="T403" s="11"/>
      <c r="U403" s="11"/>
      <c r="V403" s="268"/>
      <c r="W403" s="511"/>
      <c r="X403" s="524" t="s">
        <v>123</v>
      </c>
      <c r="Y403" s="517"/>
      <c r="Z403" s="525"/>
      <c r="AA403" s="516" t="s">
        <v>75</v>
      </c>
      <c r="AB403" s="517"/>
      <c r="AC403" s="525"/>
      <c r="AD403" s="516" t="s">
        <v>7</v>
      </c>
      <c r="AE403" s="517"/>
      <c r="AF403" s="525"/>
      <c r="AG403" s="516" t="s">
        <v>124</v>
      </c>
      <c r="AH403" s="517"/>
      <c r="AI403" s="525"/>
      <c r="AJ403" s="516" t="s">
        <v>125</v>
      </c>
      <c r="AK403" s="517"/>
      <c r="AL403" s="517"/>
      <c r="AM403" s="516" t="s">
        <v>126</v>
      </c>
      <c r="AN403" s="517"/>
      <c r="AO403" s="518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25">+U404&amp;V404</f>
        <v/>
      </c>
      <c r="B404" s="7"/>
      <c r="C404" s="11"/>
      <c r="D404" s="11"/>
      <c r="E404" s="11"/>
      <c r="F404" s="11" t="s">
        <v>224</v>
      </c>
      <c r="G404" s="11"/>
      <c r="H404" s="11"/>
      <c r="I404" s="11"/>
      <c r="J404" s="11"/>
      <c r="M404" s="500"/>
      <c r="N404" s="501">
        <f>SUM(N401:N403)</f>
        <v>1</v>
      </c>
      <c r="O404" s="495">
        <f t="shared" si="123"/>
        <v>23613.59847635488</v>
      </c>
      <c r="P404" s="499"/>
      <c r="Q404" s="502">
        <f>SUM(Q401:Q403)</f>
        <v>468.84847635487904</v>
      </c>
      <c r="R404" s="11"/>
      <c r="S404" s="498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25"/>
        <v>Ventes nettes</v>
      </c>
      <c r="B405" s="7"/>
      <c r="C405" s="11"/>
      <c r="D405" s="11"/>
      <c r="E405" s="11"/>
      <c r="F405" s="11" t="s">
        <v>219</v>
      </c>
      <c r="G405" s="11"/>
      <c r="H405" s="11"/>
      <c r="I405" s="495">
        <f>L31+L32+L42+L43+L44+L45+K405</f>
        <v>118739.66</v>
      </c>
      <c r="J405" s="503">
        <f t="shared" ref="J405:J410" si="126">I405/$I$410</f>
        <v>0.32327303532523521</v>
      </c>
      <c r="K405">
        <v>4800</v>
      </c>
      <c r="L405" s="11" t="s">
        <v>225</v>
      </c>
      <c r="M405" s="495">
        <f>SUM(M401:M403)</f>
        <v>23144.75</v>
      </c>
      <c r="N405" s="497">
        <f>M405/$M$439</f>
        <v>0.31685444265666662</v>
      </c>
      <c r="O405" s="497">
        <f>J405</f>
        <v>0.32327303532523521</v>
      </c>
      <c r="P405" s="499">
        <f>O405*$M$439</f>
        <v>23613.59847635488</v>
      </c>
      <c r="Q405" s="315">
        <f>P405-M405</f>
        <v>468.8484763548804</v>
      </c>
      <c r="R405" s="257"/>
      <c r="S405" s="498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3070578.4158225488</v>
      </c>
      <c r="AA405" s="274"/>
      <c r="AB405" s="274"/>
      <c r="AC405" s="275">
        <f>I5+I93+H193+H249+G313+G361</f>
        <v>3070578.4158225488</v>
      </c>
      <c r="AD405" s="276"/>
      <c r="AE405" s="277"/>
      <c r="AF405" s="277">
        <f>L5+L93+K193+K249+J313+J361</f>
        <v>5749670.9499999993</v>
      </c>
      <c r="AG405" s="276"/>
      <c r="AH405" s="277"/>
      <c r="AI405" s="278"/>
      <c r="AJ405" s="276"/>
      <c r="AK405" s="277"/>
      <c r="AL405" s="277">
        <f>Q5+Q93+P193+P249+O313+O361</f>
        <v>5181423.8600000003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25"/>
        <v>Profit brut</v>
      </c>
      <c r="B406" s="7"/>
      <c r="C406" s="11"/>
      <c r="D406" s="11"/>
      <c r="E406" s="11"/>
      <c r="F406" s="11" t="s">
        <v>225</v>
      </c>
      <c r="G406" s="11"/>
      <c r="H406" s="11"/>
      <c r="I406" s="495">
        <f>L111+L112+L122+L123+L124+L125+K406</f>
        <v>64538.170000000006</v>
      </c>
      <c r="J406" s="503">
        <f t="shared" si="126"/>
        <v>0.17570751095494158</v>
      </c>
      <c r="K406">
        <v>4125</v>
      </c>
      <c r="L406" s="11" t="s">
        <v>221</v>
      </c>
      <c r="M406" s="495">
        <f>L130</f>
        <v>6704.76</v>
      </c>
      <c r="N406" s="497">
        <f>I130/(I$130+I$131+I$132)</f>
        <v>0.53097345132743357</v>
      </c>
      <c r="O406" s="495">
        <f>($J$406*$M$439)*N406</f>
        <v>6814.8425572474844</v>
      </c>
      <c r="P406" s="499"/>
      <c r="Q406" s="495">
        <f>O406-M406</f>
        <v>110.08255724748415</v>
      </c>
      <c r="R406" s="257">
        <v>6232</v>
      </c>
      <c r="S406" s="498">
        <f>Q406</f>
        <v>110.08255724748415</v>
      </c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640640.25587218278</v>
      </c>
      <c r="AA406" s="282"/>
      <c r="AB406" s="282"/>
      <c r="AC406" s="283">
        <f>I27+I107+I193+I249+I313+I361</f>
        <v>677748.24056670244</v>
      </c>
      <c r="AD406" s="284"/>
      <c r="AE406" s="285"/>
      <c r="AF406" s="285">
        <f>L27+L107+L193+L249+L313+L361</f>
        <v>685822.65000000014</v>
      </c>
      <c r="AG406" s="284"/>
      <c r="AH406" s="285">
        <f>AF406-AC406</f>
        <v>8074.4094332976965</v>
      </c>
      <c r="AI406" s="286">
        <f>AH406/AC406</f>
        <v>1.1913582286169035E-2</v>
      </c>
      <c r="AJ406" s="284"/>
      <c r="AK406" s="285"/>
      <c r="AL406" s="285">
        <f>Q27+Q107+Q193+Q249+Q313+Q361</f>
        <v>554370.64999999991</v>
      </c>
      <c r="AM406" s="287"/>
      <c r="AN406" s="285">
        <f>AF406-AL406</f>
        <v>131452.00000000023</v>
      </c>
      <c r="AO406" s="288">
        <f>IF(AL406=0,0,AN406/AL406)</f>
        <v>0.23711933523176282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25"/>
        <v>DÉPENSES</v>
      </c>
      <c r="B407" s="7"/>
      <c r="C407" s="11"/>
      <c r="D407" s="11"/>
      <c r="E407" s="11"/>
      <c r="F407" s="11" t="s">
        <v>84</v>
      </c>
      <c r="G407" s="11"/>
      <c r="H407" s="11"/>
      <c r="I407" s="162">
        <f>(K193-L193)+L197+L198+L199+L200+K407</f>
        <v>142622.34</v>
      </c>
      <c r="J407" s="503">
        <f t="shared" si="126"/>
        <v>0.38829449871245808</v>
      </c>
      <c r="K407">
        <v>3500</v>
      </c>
      <c r="L407" s="11" t="s">
        <v>222</v>
      </c>
      <c r="M407" s="495">
        <f>L131</f>
        <v>4805.08</v>
      </c>
      <c r="N407" s="497">
        <f>I131/(I$130+I$131+I$132)</f>
        <v>0.38053097345132741</v>
      </c>
      <c r="O407" s="495">
        <f>($J$406*$M$439)*N407</f>
        <v>4883.9704993606974</v>
      </c>
      <c r="P407" s="499"/>
      <c r="Q407" s="495">
        <f t="shared" ref="Q407:Q408" si="127">O407-M407</f>
        <v>78.890499360697504</v>
      </c>
      <c r="R407" s="257">
        <v>6239</v>
      </c>
      <c r="S407" s="498">
        <f>Q407</f>
        <v>78.890499360697504</v>
      </c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25"/>
        <v>Comm. vendeurs</v>
      </c>
      <c r="B408" s="7"/>
      <c r="C408" s="11"/>
      <c r="D408" s="11"/>
      <c r="E408" s="11"/>
      <c r="F408" s="11" t="s">
        <v>226</v>
      </c>
      <c r="G408" s="11"/>
      <c r="H408" s="11"/>
      <c r="I408" s="495">
        <f>L253+L254+L255+L256+K408</f>
        <v>7084.69</v>
      </c>
      <c r="J408" s="503">
        <f t="shared" si="126"/>
        <v>1.9288325742539102E-2</v>
      </c>
      <c r="K408">
        <v>0</v>
      </c>
      <c r="L408" s="11" t="s">
        <v>223</v>
      </c>
      <c r="M408" s="495">
        <f>L132</f>
        <v>1117.46</v>
      </c>
      <c r="N408" s="497">
        <f>I132/(I$130+I$131+I$132)</f>
        <v>8.8495575221238937E-2</v>
      </c>
      <c r="O408" s="495">
        <f>($J$406*$M$439)*N408</f>
        <v>1135.8070928745808</v>
      </c>
      <c r="P408" s="499"/>
      <c r="Q408" s="495">
        <f t="shared" si="127"/>
        <v>18.347092874580767</v>
      </c>
      <c r="R408" s="257">
        <v>6231</v>
      </c>
      <c r="S408" s="498">
        <f>Q408</f>
        <v>18.347092874580767</v>
      </c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28">Z408/(D$13+D$96)</f>
        <v>390.27675661818603</v>
      </c>
      <c r="Z408" s="291">
        <f t="shared" ref="Z408:Z417" si="129">+SUMIF($C:$C,$V408,F:F)</f>
        <v>48061.698428145974</v>
      </c>
      <c r="AA408" s="290"/>
      <c r="AB408" s="298">
        <f t="shared" ref="AB408:AB417" si="130">IF(AC408=0,0,AC408/(G$13+G$96))</f>
        <v>395.82995977745099</v>
      </c>
      <c r="AC408" s="291">
        <f t="shared" ref="AC408:AC417" si="131">+SUMIF($C:$C,$V408,I:I)</f>
        <v>48745.562816749392</v>
      </c>
      <c r="AD408" s="299"/>
      <c r="AE408" s="298">
        <f t="shared" ref="AE408:AE413" si="132">IF(AF408=0,0,AF408/(J$13+J$96))</f>
        <v>590.54139344262296</v>
      </c>
      <c r="AF408" s="291">
        <f t="shared" ref="AF408:AF417" si="133">+SUMIF($C:$C,$V408,L:L)</f>
        <v>72046.05</v>
      </c>
      <c r="AG408" s="292">
        <f t="shared" ref="AG408:AH417" si="134">AE408-AB408</f>
        <v>194.71143366517197</v>
      </c>
      <c r="AH408" s="293">
        <f t="shared" si="134"/>
        <v>23300.487183250611</v>
      </c>
      <c r="AI408" s="294">
        <f>IF(AC408=0,0,AH408/AC408)</f>
        <v>0.47800221880389004</v>
      </c>
      <c r="AJ408" s="299"/>
      <c r="AK408" s="293">
        <f t="shared" ref="AK408:AK417" si="135">AL408/(O$13+O$96)</f>
        <v>483.66208695652176</v>
      </c>
      <c r="AL408" s="291">
        <f t="shared" ref="AL408:AL417" si="136">+SUMIF($C:$C,$V408,Q:Q)</f>
        <v>55621.14</v>
      </c>
      <c r="AM408" s="295">
        <f t="shared" ref="AM408:AM417" si="137">AE408-Y408</f>
        <v>200.26463682443693</v>
      </c>
      <c r="AN408" s="293">
        <f t="shared" ref="AN408:AN430" si="138">AF408-AL408</f>
        <v>16424.910000000003</v>
      </c>
      <c r="AO408" s="300">
        <f>IF(AL408=0,0,AN408/AL408)</f>
        <v>0.29529977271231772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25"/>
        <v>Comm. F&amp;I</v>
      </c>
      <c r="B409" s="7"/>
      <c r="C409" s="11"/>
      <c r="D409" s="11"/>
      <c r="E409" s="11"/>
      <c r="F409" s="11" t="s">
        <v>227</v>
      </c>
      <c r="G409" s="11"/>
      <c r="H409" s="11"/>
      <c r="I409" s="495">
        <f>L317+L318+L319+L320+K409</f>
        <v>34319.699999999997</v>
      </c>
      <c r="J409" s="503">
        <f t="shared" si="126"/>
        <v>9.3436629264825877E-2</v>
      </c>
      <c r="K409">
        <v>500</v>
      </c>
      <c r="M409" s="500">
        <f>SUM(M406:M408)</f>
        <v>12627.3</v>
      </c>
      <c r="N409" s="497">
        <f>SUM(N406:N408)</f>
        <v>0.99999999999999989</v>
      </c>
      <c r="O409" s="500">
        <f t="shared" ref="O409" si="139">SUM(O406:O408)</f>
        <v>12834.620149482762</v>
      </c>
      <c r="Q409" s="502">
        <f>SUM(Q406:Q408)</f>
        <v>207.32014948276242</v>
      </c>
      <c r="R409" s="257"/>
      <c r="S409" s="498"/>
      <c r="T409" s="257"/>
      <c r="U409" s="257"/>
      <c r="V409" s="109" t="s">
        <v>33</v>
      </c>
      <c r="W409" s="301" t="s">
        <v>137</v>
      </c>
      <c r="X409" s="274"/>
      <c r="Y409" s="302">
        <f t="shared" si="128"/>
        <v>356.04867802944312</v>
      </c>
      <c r="Z409" s="275">
        <f t="shared" si="129"/>
        <v>43846.588091671518</v>
      </c>
      <c r="AA409" s="274"/>
      <c r="AB409" s="302">
        <f t="shared" si="130"/>
        <v>356.04867802944312</v>
      </c>
      <c r="AC409" s="275">
        <f t="shared" si="131"/>
        <v>43846.588091671518</v>
      </c>
      <c r="AD409" s="303"/>
      <c r="AE409" s="302">
        <f t="shared" si="132"/>
        <v>370.44098360655738</v>
      </c>
      <c r="AF409" s="275">
        <f t="shared" si="133"/>
        <v>45193.8</v>
      </c>
      <c r="AG409" s="276">
        <f t="shared" si="134"/>
        <v>14.392305577114257</v>
      </c>
      <c r="AH409" s="277">
        <f t="shared" si="134"/>
        <v>1347.2119083284852</v>
      </c>
      <c r="AI409" s="304">
        <f t="shared" ref="AI409:AI417" si="140">IF(AC409=0,0,AH409/AC409)</f>
        <v>3.0725581327145101E-2</v>
      </c>
      <c r="AJ409" s="303"/>
      <c r="AK409" s="277">
        <f t="shared" si="135"/>
        <v>290.57208695652173</v>
      </c>
      <c r="AL409" s="275">
        <f t="shared" si="136"/>
        <v>33415.79</v>
      </c>
      <c r="AM409" s="279">
        <f t="shared" si="137"/>
        <v>14.392305577114257</v>
      </c>
      <c r="AN409" s="277">
        <f t="shared" si="138"/>
        <v>11778.010000000002</v>
      </c>
      <c r="AO409" s="305">
        <f t="shared" ref="AO409:AO417" si="141">IF(AL409=0,0,AN409/AL409)</f>
        <v>0.35246839892158771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25"/>
        <v>Frais de livraison</v>
      </c>
      <c r="B410" s="7"/>
      <c r="C410" s="11"/>
      <c r="D410" s="11"/>
      <c r="E410" s="11"/>
      <c r="F410" s="11"/>
      <c r="G410" s="11"/>
      <c r="H410" s="11"/>
      <c r="I410" s="495">
        <f>SUM(I405:I409)</f>
        <v>367304.56000000006</v>
      </c>
      <c r="J410" s="11">
        <f t="shared" si="126"/>
        <v>1</v>
      </c>
      <c r="L410" s="11" t="s">
        <v>84</v>
      </c>
      <c r="M410" s="500">
        <f>SUM(M406:M408)</f>
        <v>12627.3</v>
      </c>
      <c r="N410" s="497">
        <f>M409/$M$439</f>
        <v>0.17286927289162882</v>
      </c>
      <c r="O410" s="497">
        <f>J406</f>
        <v>0.17570751095494158</v>
      </c>
      <c r="P410" s="499">
        <f>O410*$M$439</f>
        <v>12834.620149482764</v>
      </c>
      <c r="Q410" s="315">
        <f>P410-M409</f>
        <v>207.32014948276446</v>
      </c>
      <c r="R410" s="257"/>
      <c r="S410" s="498"/>
      <c r="T410" s="257"/>
      <c r="U410" s="257"/>
      <c r="V410" s="108" t="s">
        <v>34</v>
      </c>
      <c r="W410" s="297" t="s">
        <v>138</v>
      </c>
      <c r="X410" s="290"/>
      <c r="Y410" s="298">
        <f t="shared" si="128"/>
        <v>165.27385747001162</v>
      </c>
      <c r="Z410" s="291">
        <f t="shared" si="129"/>
        <v>20353.101129082042</v>
      </c>
      <c r="AA410" s="290"/>
      <c r="AB410" s="298">
        <f t="shared" si="130"/>
        <v>165.27385747001162</v>
      </c>
      <c r="AC410" s="291">
        <f t="shared" si="131"/>
        <v>20353.101129082042</v>
      </c>
      <c r="AD410" s="299"/>
      <c r="AE410" s="298">
        <f t="shared" si="132"/>
        <v>73.45926229508197</v>
      </c>
      <c r="AF410" s="291">
        <f t="shared" si="133"/>
        <v>8962.0300000000007</v>
      </c>
      <c r="AG410" s="292">
        <f t="shared" si="134"/>
        <v>-91.81459517492965</v>
      </c>
      <c r="AH410" s="293">
        <f t="shared" si="134"/>
        <v>-11391.071129082042</v>
      </c>
      <c r="AI410" s="294">
        <f t="shared" si="140"/>
        <v>-0.55967250675159386</v>
      </c>
      <c r="AJ410" s="299"/>
      <c r="AK410" s="293">
        <f t="shared" si="135"/>
        <v>103.30347826086957</v>
      </c>
      <c r="AL410" s="291">
        <f t="shared" si="136"/>
        <v>11879.9</v>
      </c>
      <c r="AM410" s="295">
        <f t="shared" si="137"/>
        <v>-91.81459517492965</v>
      </c>
      <c r="AN410" s="293">
        <f t="shared" si="138"/>
        <v>-2917.869999999999</v>
      </c>
      <c r="AO410" s="300">
        <f t="shared" si="141"/>
        <v>-0.24561402032003629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2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L411" s="11" t="s">
        <v>221</v>
      </c>
      <c r="M411" s="495">
        <f>L205</f>
        <v>15325.37</v>
      </c>
      <c r="N411" s="497">
        <f>$N$406</f>
        <v>0.53097345132743357</v>
      </c>
      <c r="O411" s="495">
        <f>($J$407*$M$439)*N411</f>
        <v>15060.06123579612</v>
      </c>
      <c r="P411" s="499"/>
      <c r="Q411" s="495">
        <f>O411-M411</f>
        <v>-265.30876420388086</v>
      </c>
      <c r="R411" s="257">
        <v>6432</v>
      </c>
      <c r="S411" s="498">
        <f>Q411</f>
        <v>-265.30876420388086</v>
      </c>
      <c r="T411" s="257"/>
      <c r="U411" s="257"/>
      <c r="V411" s="108" t="s">
        <v>35</v>
      </c>
      <c r="W411" s="297" t="s">
        <v>139</v>
      </c>
      <c r="X411" s="290"/>
      <c r="Y411" s="298">
        <f t="shared" si="128"/>
        <v>38.062029758066345</v>
      </c>
      <c r="Z411" s="291">
        <f t="shared" si="129"/>
        <v>4687.2527373823632</v>
      </c>
      <c r="AA411" s="290"/>
      <c r="AB411" s="298">
        <f t="shared" si="130"/>
        <v>38.062029758066345</v>
      </c>
      <c r="AC411" s="291">
        <f t="shared" si="131"/>
        <v>4687.2527373823632</v>
      </c>
      <c r="AD411" s="299"/>
      <c r="AE411" s="298">
        <f t="shared" si="132"/>
        <v>5.8828688524590165</v>
      </c>
      <c r="AF411" s="291">
        <f t="shared" si="133"/>
        <v>717.71</v>
      </c>
      <c r="AG411" s="292">
        <f t="shared" si="134"/>
        <v>-32.179160905607326</v>
      </c>
      <c r="AH411" s="293">
        <f t="shared" si="134"/>
        <v>-3969.5427373823632</v>
      </c>
      <c r="AI411" s="294">
        <f t="shared" si="140"/>
        <v>-0.84688045637564413</v>
      </c>
      <c r="AJ411" s="299"/>
      <c r="AK411" s="293">
        <f t="shared" si="135"/>
        <v>2.9229565217391302</v>
      </c>
      <c r="AL411" s="291">
        <f t="shared" si="136"/>
        <v>336.14</v>
      </c>
      <c r="AM411" s="295">
        <f t="shared" si="137"/>
        <v>-32.179160905607326</v>
      </c>
      <c r="AN411" s="293">
        <f t="shared" si="138"/>
        <v>381.57000000000005</v>
      </c>
      <c r="AO411" s="306">
        <f t="shared" si="141"/>
        <v>1.1351520199916703</v>
      </c>
      <c r="AP411" s="257"/>
      <c r="AQ411" s="257" t="s">
        <v>247</v>
      </c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2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L412" s="11" t="s">
        <v>222</v>
      </c>
      <c r="M412" s="495">
        <f>L206</f>
        <v>10983.18</v>
      </c>
      <c r="N412" s="497">
        <f>$N$407</f>
        <v>0.38053097345132741</v>
      </c>
      <c r="O412" s="495">
        <f>($J$407*$M$439)*N412</f>
        <v>10793.043885653886</v>
      </c>
      <c r="P412" s="499"/>
      <c r="Q412" s="495">
        <f t="shared" ref="Q412:Q413" si="142">O412-M412</f>
        <v>-190.13611434611448</v>
      </c>
      <c r="R412" s="257">
        <v>6439</v>
      </c>
      <c r="S412" s="498">
        <f>Q412</f>
        <v>-190.13611434611448</v>
      </c>
      <c r="T412" s="257"/>
      <c r="U412" s="257"/>
      <c r="V412" s="109" t="s">
        <v>36</v>
      </c>
      <c r="W412" s="301"/>
      <c r="X412" s="274"/>
      <c r="Y412" s="302">
        <f t="shared" si="128"/>
        <v>45.03938727473065</v>
      </c>
      <c r="Z412" s="275">
        <f t="shared" si="129"/>
        <v>5546.4985087603118</v>
      </c>
      <c r="AA412" s="274"/>
      <c r="AB412" s="302">
        <f t="shared" si="130"/>
        <v>45.03938727473065</v>
      </c>
      <c r="AC412" s="275">
        <f t="shared" si="131"/>
        <v>5546.4985087603118</v>
      </c>
      <c r="AD412" s="303"/>
      <c r="AE412" s="302">
        <f t="shared" si="132"/>
        <v>46.078934426229509</v>
      </c>
      <c r="AF412" s="275">
        <f t="shared" si="133"/>
        <v>5621.63</v>
      </c>
      <c r="AG412" s="276">
        <f t="shared" si="134"/>
        <v>1.0395471514988586</v>
      </c>
      <c r="AH412" s="277">
        <f t="shared" si="134"/>
        <v>75.13149123968833</v>
      </c>
      <c r="AI412" s="304">
        <f t="shared" si="140"/>
        <v>1.3545751634301049E-2</v>
      </c>
      <c r="AJ412" s="303"/>
      <c r="AK412" s="277">
        <f t="shared" si="135"/>
        <v>40.471043478260867</v>
      </c>
      <c r="AL412" s="275">
        <f t="shared" si="136"/>
        <v>4654.17</v>
      </c>
      <c r="AM412" s="279">
        <f t="shared" si="137"/>
        <v>1.0395471514988586</v>
      </c>
      <c r="AN412" s="277">
        <f t="shared" si="138"/>
        <v>967.46</v>
      </c>
      <c r="AO412" s="305">
        <f t="shared" si="141"/>
        <v>0.20786950197349904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2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L413" s="11" t="s">
        <v>223</v>
      </c>
      <c r="M413" s="495">
        <f>L207</f>
        <v>2554.23</v>
      </c>
      <c r="N413" s="497">
        <f>$N$408</f>
        <v>8.8495575221238937E-2</v>
      </c>
      <c r="O413" s="495">
        <f>($J$407*$M$439)*N413</f>
        <v>2510.0102059660203</v>
      </c>
      <c r="P413" s="499"/>
      <c r="Q413" s="495">
        <f t="shared" si="142"/>
        <v>-44.219794033979724</v>
      </c>
      <c r="R413" s="257">
        <v>6431</v>
      </c>
      <c r="S413" s="498">
        <f>Q413</f>
        <v>-44.219794033979724</v>
      </c>
      <c r="T413" s="257"/>
      <c r="U413" s="257"/>
      <c r="V413" s="108" t="s">
        <v>37</v>
      </c>
      <c r="W413" s="297" t="s">
        <v>140</v>
      </c>
      <c r="X413" s="294"/>
      <c r="Y413" s="298">
        <f t="shared" si="128"/>
        <v>144.50695629862071</v>
      </c>
      <c r="Z413" s="291">
        <f t="shared" si="129"/>
        <v>17795.704296036842</v>
      </c>
      <c r="AA413" s="294"/>
      <c r="AB413" s="298">
        <f t="shared" si="130"/>
        <v>144.50695629862071</v>
      </c>
      <c r="AC413" s="291">
        <f t="shared" si="131"/>
        <v>17795.704296036842</v>
      </c>
      <c r="AD413" s="299"/>
      <c r="AE413" s="298">
        <f t="shared" si="132"/>
        <v>91.212622950819679</v>
      </c>
      <c r="AF413" s="291">
        <f t="shared" si="133"/>
        <v>11127.94</v>
      </c>
      <c r="AG413" s="292">
        <f t="shared" si="134"/>
        <v>-53.294333347801029</v>
      </c>
      <c r="AH413" s="293">
        <f t="shared" si="134"/>
        <v>-6667.7642960368412</v>
      </c>
      <c r="AI413" s="294">
        <f t="shared" si="140"/>
        <v>-0.37468392287917329</v>
      </c>
      <c r="AJ413" s="299"/>
      <c r="AK413" s="293">
        <f t="shared" si="135"/>
        <v>136.08695652173913</v>
      </c>
      <c r="AL413" s="291">
        <f t="shared" si="136"/>
        <v>15650</v>
      </c>
      <c r="AM413" s="295">
        <f t="shared" si="137"/>
        <v>-53.294333347801029</v>
      </c>
      <c r="AN413" s="293">
        <f t="shared" si="138"/>
        <v>-4522.0599999999995</v>
      </c>
      <c r="AO413" s="300">
        <f t="shared" si="141"/>
        <v>-0.2889495207667731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25"/>
        <v>Intérêt de gros</v>
      </c>
      <c r="B414" s="7"/>
      <c r="C414" s="11"/>
      <c r="D414" s="11"/>
      <c r="E414" s="11"/>
      <c r="F414" s="11" t="s">
        <v>221</v>
      </c>
      <c r="G414" s="11"/>
      <c r="H414" s="11"/>
      <c r="I414" s="11"/>
      <c r="J414" s="11"/>
      <c r="L414" s="11"/>
      <c r="M414" s="495">
        <f>SUM(M411:M413)</f>
        <v>28862.780000000002</v>
      </c>
      <c r="N414" s="495"/>
      <c r="O414" s="495">
        <f t="shared" ref="O414" si="143">SUM(O411:O413)</f>
        <v>28363.115327416024</v>
      </c>
      <c r="Q414" s="495">
        <f>O414-M414</f>
        <v>-499.66467258397824</v>
      </c>
      <c r="R414" s="257"/>
      <c r="S414" s="498"/>
      <c r="T414" s="257"/>
      <c r="U414" s="257"/>
      <c r="V414" s="108" t="s">
        <v>38</v>
      </c>
      <c r="W414" s="297" t="s">
        <v>141</v>
      </c>
      <c r="X414" s="290"/>
      <c r="Y414" s="298">
        <f t="shared" si="128"/>
        <v>135.18711698183972</v>
      </c>
      <c r="Z414" s="291">
        <f t="shared" si="129"/>
        <v>16647.987197731345</v>
      </c>
      <c r="AA414" s="290"/>
      <c r="AB414" s="298">
        <f t="shared" si="130"/>
        <v>136.35495432098273</v>
      </c>
      <c r="AC414" s="291">
        <f t="shared" si="131"/>
        <v>16791.803720378964</v>
      </c>
      <c r="AD414" s="299"/>
      <c r="AE414" s="298">
        <f>IF(AF414=0,0,AF414/(J$13+J$13))</f>
        <v>87.77644578313253</v>
      </c>
      <c r="AF414" s="291">
        <f t="shared" si="133"/>
        <v>14570.89</v>
      </c>
      <c r="AG414" s="292">
        <f t="shared" si="134"/>
        <v>-48.578508537850198</v>
      </c>
      <c r="AH414" s="293">
        <f t="shared" si="134"/>
        <v>-2220.9137203789651</v>
      </c>
      <c r="AI414" s="294">
        <f t="shared" si="140"/>
        <v>-0.13226177231238162</v>
      </c>
      <c r="AJ414" s="299"/>
      <c r="AK414" s="293">
        <f t="shared" si="135"/>
        <v>188.93852173913044</v>
      </c>
      <c r="AL414" s="291">
        <f t="shared" si="136"/>
        <v>21727.93</v>
      </c>
      <c r="AM414" s="295">
        <f t="shared" si="137"/>
        <v>-47.410671198707192</v>
      </c>
      <c r="AN414" s="293">
        <f t="shared" si="138"/>
        <v>-7157.0400000000009</v>
      </c>
      <c r="AO414" s="300">
        <f t="shared" si="141"/>
        <v>-0.32939355014490568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2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L415" s="11" t="s">
        <v>223</v>
      </c>
      <c r="M415" s="11"/>
      <c r="N415" s="11"/>
      <c r="O415" s="497"/>
      <c r="P415" s="499"/>
      <c r="Q415" s="495">
        <f t="shared" ref="Q415:Q416" si="144">O415-M415</f>
        <v>0</v>
      </c>
      <c r="R415" s="257"/>
      <c r="S415" s="498"/>
      <c r="T415" s="257"/>
      <c r="U415" s="257"/>
      <c r="V415" s="108" t="s">
        <v>21</v>
      </c>
      <c r="W415" s="297"/>
      <c r="X415" s="294"/>
      <c r="Y415" s="298">
        <f t="shared" si="128"/>
        <v>0</v>
      </c>
      <c r="Z415" s="291">
        <f t="shared" si="129"/>
        <v>0</v>
      </c>
      <c r="AA415" s="290"/>
      <c r="AB415" s="298">
        <f t="shared" si="130"/>
        <v>0</v>
      </c>
      <c r="AC415" s="291">
        <f t="shared" si="131"/>
        <v>0</v>
      </c>
      <c r="AD415" s="299"/>
      <c r="AE415" s="298">
        <f t="shared" ref="AE415:AE417" si="145">IF(AF415=0,0,AF415/(J$13+J$13))</f>
        <v>0</v>
      </c>
      <c r="AF415" s="291">
        <f t="shared" si="133"/>
        <v>0</v>
      </c>
      <c r="AG415" s="292">
        <f t="shared" si="134"/>
        <v>0</v>
      </c>
      <c r="AH415" s="293">
        <f t="shared" si="134"/>
        <v>0</v>
      </c>
      <c r="AI415" s="294">
        <f t="shared" si="140"/>
        <v>0</v>
      </c>
      <c r="AJ415" s="299"/>
      <c r="AK415" s="293">
        <f t="shared" si="135"/>
        <v>0</v>
      </c>
      <c r="AL415" s="291">
        <f t="shared" si="136"/>
        <v>0</v>
      </c>
      <c r="AM415" s="295">
        <f t="shared" si="137"/>
        <v>0</v>
      </c>
      <c r="AN415" s="293">
        <f t="shared" si="138"/>
        <v>0</v>
      </c>
      <c r="AO415" s="300">
        <f t="shared" si="141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2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497"/>
      <c r="P416" s="499"/>
      <c r="Q416" s="495">
        <f t="shared" si="144"/>
        <v>0</v>
      </c>
      <c r="R416" s="257"/>
      <c r="S416" s="498"/>
      <c r="T416" s="257"/>
      <c r="U416" s="257"/>
      <c r="V416" s="108" t="s">
        <v>21</v>
      </c>
      <c r="W416" s="297"/>
      <c r="X416" s="294"/>
      <c r="Y416" s="298">
        <f t="shared" si="128"/>
        <v>0</v>
      </c>
      <c r="Z416" s="291">
        <f t="shared" si="129"/>
        <v>0</v>
      </c>
      <c r="AA416" s="290"/>
      <c r="AB416" s="298">
        <f t="shared" si="130"/>
        <v>0</v>
      </c>
      <c r="AC416" s="291">
        <f t="shared" si="131"/>
        <v>0</v>
      </c>
      <c r="AD416" s="299"/>
      <c r="AE416" s="298">
        <f t="shared" si="145"/>
        <v>0</v>
      </c>
      <c r="AF416" s="291">
        <f t="shared" si="133"/>
        <v>0</v>
      </c>
      <c r="AG416" s="292">
        <f t="shared" si="134"/>
        <v>0</v>
      </c>
      <c r="AH416" s="293">
        <f t="shared" si="134"/>
        <v>0</v>
      </c>
      <c r="AI416" s="294">
        <f t="shared" si="140"/>
        <v>0</v>
      </c>
      <c r="AJ416" s="299"/>
      <c r="AK416" s="293">
        <f t="shared" si="135"/>
        <v>0</v>
      </c>
      <c r="AL416" s="291">
        <f t="shared" si="136"/>
        <v>0</v>
      </c>
      <c r="AM416" s="295">
        <f t="shared" si="137"/>
        <v>0</v>
      </c>
      <c r="AN416" s="293">
        <f t="shared" si="138"/>
        <v>0</v>
      </c>
      <c r="AO416" s="300">
        <f t="shared" si="141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2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497"/>
      <c r="P417" s="499"/>
      <c r="Q417" s="11"/>
      <c r="R417" s="257"/>
      <c r="S417" s="498"/>
      <c r="T417" s="257"/>
      <c r="U417" s="257"/>
      <c r="V417" s="108" t="s">
        <v>21</v>
      </c>
      <c r="W417" s="297" t="s">
        <v>141</v>
      </c>
      <c r="X417" s="290"/>
      <c r="Y417" s="298">
        <f t="shared" si="128"/>
        <v>0</v>
      </c>
      <c r="Z417" s="291">
        <f t="shared" si="129"/>
        <v>0</v>
      </c>
      <c r="AA417" s="290"/>
      <c r="AB417" s="298">
        <f t="shared" si="130"/>
        <v>0</v>
      </c>
      <c r="AC417" s="291">
        <f t="shared" si="131"/>
        <v>0</v>
      </c>
      <c r="AD417" s="299"/>
      <c r="AE417" s="298">
        <f t="shared" si="145"/>
        <v>0</v>
      </c>
      <c r="AF417" s="291">
        <f t="shared" si="133"/>
        <v>0</v>
      </c>
      <c r="AG417" s="292">
        <f t="shared" si="134"/>
        <v>0</v>
      </c>
      <c r="AH417" s="293">
        <f t="shared" si="134"/>
        <v>0</v>
      </c>
      <c r="AI417" s="294">
        <f t="shared" si="140"/>
        <v>0</v>
      </c>
      <c r="AJ417" s="299"/>
      <c r="AK417" s="293">
        <f t="shared" si="135"/>
        <v>0</v>
      </c>
      <c r="AL417" s="291">
        <f t="shared" si="136"/>
        <v>0</v>
      </c>
      <c r="AM417" s="295">
        <f t="shared" si="137"/>
        <v>0</v>
      </c>
      <c r="AN417" s="293">
        <f t="shared" si="138"/>
        <v>0</v>
      </c>
      <c r="AO417" s="300">
        <f t="shared" si="141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25"/>
        <v>TOTAL VARIABLES</v>
      </c>
      <c r="B418" s="7"/>
      <c r="C418" s="11"/>
      <c r="D418" s="11"/>
      <c r="E418" s="11"/>
      <c r="F418" s="11" t="s">
        <v>228</v>
      </c>
      <c r="G418" s="11"/>
      <c r="H418" s="11"/>
      <c r="I418" s="11"/>
      <c r="J418" s="11"/>
      <c r="L418" s="11" t="s">
        <v>226</v>
      </c>
      <c r="M418" s="495">
        <f>SUM(M411:M413)</f>
        <v>28862.780000000002</v>
      </c>
      <c r="N418" s="497">
        <f>M414/$M$439</f>
        <v>0.3951349688556578</v>
      </c>
      <c r="O418" s="497">
        <f>J407</f>
        <v>0.38829449871245808</v>
      </c>
      <c r="P418" s="499">
        <f>O418*$M$439</f>
        <v>28363.115327416028</v>
      </c>
      <c r="Q418" s="315">
        <f>P418-M414</f>
        <v>-499.66467258397461</v>
      </c>
      <c r="R418" s="257"/>
      <c r="S418" s="498"/>
      <c r="T418" s="257"/>
      <c r="U418" s="257"/>
      <c r="V418" s="307" t="s">
        <v>39</v>
      </c>
      <c r="W418" s="308"/>
      <c r="X418" s="309">
        <f>Z418/Z406</f>
        <v>0.24497185269000951</v>
      </c>
      <c r="Y418" s="308"/>
      <c r="Z418" s="310">
        <f>SUM(Z408:Z417)</f>
        <v>156938.83038881037</v>
      </c>
      <c r="AA418" s="309">
        <f>AC418/AC406</f>
        <v>0.23278040702568878</v>
      </c>
      <c r="AB418" s="308"/>
      <c r="AC418" s="310">
        <f>SUM(AC408:AC417)</f>
        <v>157766.51130006142</v>
      </c>
      <c r="AD418" s="311">
        <f>AF418/AF406</f>
        <v>0.23073027698924781</v>
      </c>
      <c r="AE418" s="308"/>
      <c r="AF418" s="310">
        <f>SUM(AF408:AF417)</f>
        <v>158240.04999999999</v>
      </c>
      <c r="AG418" s="312"/>
      <c r="AH418" s="313">
        <f>AF418-AC418</f>
        <v>473.53869993856642</v>
      </c>
      <c r="AI418" s="309">
        <f>AH418/AC418</f>
        <v>3.0015159493381157E-3</v>
      </c>
      <c r="AJ418" s="311">
        <f>IF($AL$406=0,0,AL418/$AL$406)</f>
        <v>0.25846438659766713</v>
      </c>
      <c r="AK418" s="308"/>
      <c r="AL418" s="310">
        <f>SUM(AL408:AL417)</f>
        <v>143285.06999999998</v>
      </c>
      <c r="AM418" s="314"/>
      <c r="AN418" s="313">
        <f t="shared" si="138"/>
        <v>14954.98000000001</v>
      </c>
      <c r="AO418" s="288">
        <f>IF(AL418=0,0,AN418/AL418)</f>
        <v>0.10437221407645621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25"/>
        <v>Salaires propriétaire</v>
      </c>
      <c r="B419" s="7"/>
      <c r="C419" s="11"/>
      <c r="D419" s="11"/>
      <c r="E419" s="11"/>
      <c r="F419" s="11" t="s">
        <v>223</v>
      </c>
      <c r="G419" s="11"/>
      <c r="H419" s="11"/>
      <c r="I419" s="11"/>
      <c r="J419" s="11"/>
      <c r="L419" s="11" t="s">
        <v>221</v>
      </c>
      <c r="M419" s="315">
        <f>L261</f>
        <v>764.14</v>
      </c>
      <c r="N419" s="497">
        <f>$N$406</f>
        <v>0.53097345132743357</v>
      </c>
      <c r="O419" s="315">
        <f>($J$408*$M$439)*N419</f>
        <v>748.1006498465274</v>
      </c>
      <c r="P419" s="499"/>
      <c r="Q419" s="495">
        <f>O419-M419</f>
        <v>-16.039350153472583</v>
      </c>
      <c r="R419" s="257">
        <v>6532</v>
      </c>
      <c r="S419" s="498">
        <f>Q419</f>
        <v>-16.039350153472583</v>
      </c>
      <c r="T419" s="257"/>
      <c r="U419" s="257"/>
      <c r="V419" s="108" t="s">
        <v>142</v>
      </c>
      <c r="W419" s="297" t="s">
        <v>143</v>
      </c>
      <c r="X419" s="290"/>
      <c r="Y419" s="290"/>
      <c r="Z419" s="291">
        <f>+INDEX('[6]Budget original'!$A$2:$AO$496,MATCH($A419,'[6]Budget original'!$A$2:$A$496,0),MATCH(F$2,'[6]Budget original'!$A$2:$AO$2,0))</f>
        <v>0</v>
      </c>
      <c r="AA419" s="290"/>
      <c r="AB419" s="290"/>
      <c r="AC419" s="291">
        <f>+INDEX('[6]Budget révisé'!$A$2:$AO$496,MATCH($A419,'[6]Budget révisé'!$A$2:$A$496,0),MATCH(I$2,'[6]Budget révisé'!$A$2:$AO$2,0))</f>
        <v>0</v>
      </c>
      <c r="AD419" s="299"/>
      <c r="AE419" s="298"/>
      <c r="AF419" s="291">
        <f>SUMIFS([6]BV_Data_An_Cour!$O:$O,[6]BV_Data_An_Cour!$V:$V,$V419)</f>
        <v>2336.25</v>
      </c>
      <c r="AG419" s="292"/>
      <c r="AH419" s="293">
        <f t="shared" ref="AH419:AH430" si="146">AF419-AC419</f>
        <v>2336.25</v>
      </c>
      <c r="AI419" s="294">
        <f>IF(AC419=0,0,AH419/AC419)</f>
        <v>0</v>
      </c>
      <c r="AJ419" s="299"/>
      <c r="AK419" s="290"/>
      <c r="AL419" s="291">
        <f>SUMIFS([6]BV_Data_An_Prec!$O:$O,[6]BV_Data_An_Prec!$V:$V,$V419)</f>
        <v>9542.18</v>
      </c>
      <c r="AM419" s="295"/>
      <c r="AN419" s="293">
        <f t="shared" si="138"/>
        <v>-7205.93</v>
      </c>
      <c r="AO419" s="300">
        <f t="shared" ref="AO419:AO430" si="147">IF(AL419=0,0,AN419/AL419)</f>
        <v>-0.75516601028276553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2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222</v>
      </c>
      <c r="M420" s="315">
        <f>L262</f>
        <v>547.63</v>
      </c>
      <c r="N420" s="497">
        <f>$N$407</f>
        <v>0.38053097345132741</v>
      </c>
      <c r="O420" s="315">
        <f>($J$408*$M$439)*N420</f>
        <v>536.13879905667807</v>
      </c>
      <c r="P420" s="499"/>
      <c r="Q420" s="495">
        <f t="shared" ref="Q420:Q421" si="148">O420-M420</f>
        <v>-11.491200943321928</v>
      </c>
      <c r="R420" s="257">
        <v>6539</v>
      </c>
      <c r="S420" s="498">
        <f>Q420</f>
        <v>-11.491200943321928</v>
      </c>
      <c r="T420" s="257"/>
      <c r="U420" s="257"/>
      <c r="V420" s="108" t="s">
        <v>42</v>
      </c>
      <c r="W420" s="297" t="s">
        <v>144</v>
      </c>
      <c r="X420" s="290"/>
      <c r="Y420" s="290"/>
      <c r="Z420" s="291">
        <f t="shared" ref="Z420:Z431" si="149">+SUMIF($C:$C,$V420,F:F)</f>
        <v>53818.620880569077</v>
      </c>
      <c r="AA420" s="290"/>
      <c r="AB420" s="290"/>
      <c r="AC420" s="291">
        <f t="shared" ref="AC420:AC431" si="150">+SUMIF($C:$C,$V420,I:I)</f>
        <v>53818.620880569077</v>
      </c>
      <c r="AD420" s="299"/>
      <c r="AE420" s="298"/>
      <c r="AF420" s="291">
        <f t="shared" ref="AF420:AF431" si="151">+SUMIF($C:$C,$V420,L:L)</f>
        <v>45947.850000000006</v>
      </c>
      <c r="AG420" s="292"/>
      <c r="AH420" s="293">
        <f t="shared" si="146"/>
        <v>-7870.7708805690709</v>
      </c>
      <c r="AI420" s="294">
        <f t="shared" ref="AI420:AI430" si="152">IF(AC420=0,0,AH420/AC420)</f>
        <v>-0.14624623878852999</v>
      </c>
      <c r="AJ420" s="299"/>
      <c r="AK420" s="290"/>
      <c r="AL420" s="291">
        <f t="shared" ref="AL420:AL431" si="153">+SUMIF($C:$C,$V420,Q:Q)</f>
        <v>52294.77</v>
      </c>
      <c r="AM420" s="295"/>
      <c r="AN420" s="293">
        <f t="shared" si="138"/>
        <v>-6346.919999999991</v>
      </c>
      <c r="AO420" s="300">
        <f t="shared" si="147"/>
        <v>-0.12136815976052656</v>
      </c>
      <c r="AP420" s="257"/>
      <c r="AQ420" s="257" t="s">
        <v>248</v>
      </c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2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11" t="s">
        <v>223</v>
      </c>
      <c r="M421" s="315">
        <f>L263</f>
        <v>127.36</v>
      </c>
      <c r="N421" s="497">
        <f>$N$408</f>
        <v>8.8495575221238937E-2</v>
      </c>
      <c r="O421" s="315">
        <f>($J$408*$M$439)*N421</f>
        <v>124.68344164108792</v>
      </c>
      <c r="P421" s="504"/>
      <c r="Q421" s="495">
        <f t="shared" si="148"/>
        <v>-2.6765583589120752</v>
      </c>
      <c r="R421" s="257">
        <v>6531</v>
      </c>
      <c r="S421" s="498">
        <f>Q421</f>
        <v>-2.6765583589120752</v>
      </c>
      <c r="T421" s="257"/>
      <c r="U421" s="257"/>
      <c r="V421" s="109" t="s">
        <v>43</v>
      </c>
      <c r="W421" s="301" t="s">
        <v>145</v>
      </c>
      <c r="X421" s="274"/>
      <c r="Y421" s="274"/>
      <c r="Z421" s="275">
        <f t="shared" si="149"/>
        <v>26435.301540536399</v>
      </c>
      <c r="AA421" s="274"/>
      <c r="AB421" s="274"/>
      <c r="AC421" s="275">
        <f t="shared" si="150"/>
        <v>26435.301540536399</v>
      </c>
      <c r="AD421" s="303"/>
      <c r="AE421" s="302"/>
      <c r="AF421" s="275">
        <f t="shared" si="151"/>
        <v>25571.14</v>
      </c>
      <c r="AG421" s="276"/>
      <c r="AH421" s="277">
        <f t="shared" si="146"/>
        <v>-864.16154053639912</v>
      </c>
      <c r="AI421" s="304">
        <f t="shared" si="152"/>
        <v>-3.2689679715257922E-2</v>
      </c>
      <c r="AJ421" s="303"/>
      <c r="AK421" s="274"/>
      <c r="AL421" s="275">
        <f t="shared" si="153"/>
        <v>29776.150000000005</v>
      </c>
      <c r="AM421" s="279"/>
      <c r="AN421" s="277">
        <f t="shared" si="138"/>
        <v>-4205.0100000000057</v>
      </c>
      <c r="AO421" s="280">
        <f t="shared" si="147"/>
        <v>-0.14122074210399951</v>
      </c>
      <c r="AP421" s="257"/>
      <c r="AQ421" s="257" t="s">
        <v>249</v>
      </c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2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316">
        <f>SUM(M419:M421)</f>
        <v>1439.1299999999999</v>
      </c>
      <c r="N422" s="316"/>
      <c r="O422" s="316">
        <f t="shared" ref="O422" si="154">SUM(O419:O421)</f>
        <v>1408.9228905442933</v>
      </c>
      <c r="Q422" s="502">
        <f>SUM(Q419:Q421)</f>
        <v>-30.207109455706586</v>
      </c>
      <c r="R422" s="257"/>
      <c r="S422" s="498"/>
      <c r="T422" s="257"/>
      <c r="U422" s="257"/>
      <c r="V422" s="108" t="s">
        <v>44</v>
      </c>
      <c r="W422" s="297" t="s">
        <v>146</v>
      </c>
      <c r="X422" s="290"/>
      <c r="Y422" s="290"/>
      <c r="Z422" s="291">
        <f t="shared" si="149"/>
        <v>45745.692907402299</v>
      </c>
      <c r="AA422" s="290"/>
      <c r="AB422" s="290"/>
      <c r="AC422" s="291">
        <f t="shared" si="150"/>
        <v>45745.692907402299</v>
      </c>
      <c r="AD422" s="299"/>
      <c r="AE422" s="298"/>
      <c r="AF422" s="291">
        <f t="shared" si="151"/>
        <v>51344.81</v>
      </c>
      <c r="AG422" s="292"/>
      <c r="AH422" s="293">
        <f t="shared" si="146"/>
        <v>5599.1170925976985</v>
      </c>
      <c r="AI422" s="294">
        <f t="shared" si="152"/>
        <v>0.12239659597967707</v>
      </c>
      <c r="AJ422" s="299"/>
      <c r="AK422" s="290"/>
      <c r="AL422" s="291">
        <f t="shared" si="153"/>
        <v>54215.73</v>
      </c>
      <c r="AM422" s="295"/>
      <c r="AN422" s="293">
        <f t="shared" si="138"/>
        <v>-2870.9200000000055</v>
      </c>
      <c r="AO422" s="300">
        <f t="shared" si="147"/>
        <v>-5.295363541171548E-2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2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316">
        <f>SUM(M419:M421)</f>
        <v>1439.1299999999999</v>
      </c>
      <c r="N423" s="497">
        <f>M422/$M$439</f>
        <v>1.9701864745157695E-2</v>
      </c>
      <c r="O423" s="505">
        <f>J408</f>
        <v>1.9288325742539102E-2</v>
      </c>
      <c r="P423" s="499">
        <f>O423*$M$439</f>
        <v>1408.9228905442935</v>
      </c>
      <c r="Q423" s="315">
        <f>P423-M422</f>
        <v>-30.207109455706359</v>
      </c>
      <c r="R423" s="257"/>
      <c r="S423" s="498"/>
      <c r="T423" s="257"/>
      <c r="U423" s="257"/>
      <c r="V423" s="108" t="s">
        <v>45</v>
      </c>
      <c r="W423" s="297" t="s">
        <v>147</v>
      </c>
      <c r="X423" s="290"/>
      <c r="Y423" s="290"/>
      <c r="Z423" s="291">
        <f t="shared" si="149"/>
        <v>34709.818583908047</v>
      </c>
      <c r="AA423" s="290"/>
      <c r="AB423" s="290"/>
      <c r="AC423" s="291">
        <f t="shared" si="150"/>
        <v>34709.818583908047</v>
      </c>
      <c r="AD423" s="299"/>
      <c r="AE423" s="298"/>
      <c r="AF423" s="291">
        <f t="shared" si="151"/>
        <v>26515.010000000002</v>
      </c>
      <c r="AG423" s="292"/>
      <c r="AH423" s="293">
        <f t="shared" si="146"/>
        <v>-8194.808583908045</v>
      </c>
      <c r="AI423" s="294">
        <f t="shared" si="152"/>
        <v>-0.23609482613969271</v>
      </c>
      <c r="AJ423" s="299"/>
      <c r="AK423" s="290"/>
      <c r="AL423" s="291">
        <f t="shared" si="153"/>
        <v>31680.84</v>
      </c>
      <c r="AM423" s="295"/>
      <c r="AN423" s="293">
        <f t="shared" si="138"/>
        <v>-5165.8299999999981</v>
      </c>
      <c r="AO423" s="300">
        <f t="shared" si="147"/>
        <v>-0.16305849213594079</v>
      </c>
      <c r="AP423" s="257"/>
      <c r="AQ423" s="257" t="s">
        <v>250</v>
      </c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2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316"/>
      <c r="N424" s="162"/>
      <c r="O424" s="505"/>
      <c r="P424" s="504"/>
      <c r="Q424" s="257"/>
      <c r="R424" s="257"/>
      <c r="S424" s="498"/>
      <c r="T424" s="257"/>
      <c r="U424" s="257"/>
      <c r="V424" s="108" t="s">
        <v>21</v>
      </c>
      <c r="W424" s="297"/>
      <c r="X424" s="290"/>
      <c r="Y424" s="290"/>
      <c r="Z424" s="291">
        <f t="shared" si="149"/>
        <v>0</v>
      </c>
      <c r="AA424" s="290"/>
      <c r="AB424" s="290"/>
      <c r="AC424" s="291">
        <f t="shared" si="150"/>
        <v>0</v>
      </c>
      <c r="AD424" s="299"/>
      <c r="AE424" s="298"/>
      <c r="AF424" s="291">
        <f t="shared" si="151"/>
        <v>0</v>
      </c>
      <c r="AG424" s="292"/>
      <c r="AH424" s="293">
        <f t="shared" si="146"/>
        <v>0</v>
      </c>
      <c r="AI424" s="294">
        <f t="shared" si="152"/>
        <v>0</v>
      </c>
      <c r="AJ424" s="299"/>
      <c r="AK424" s="290"/>
      <c r="AL424" s="291">
        <f t="shared" si="153"/>
        <v>0</v>
      </c>
      <c r="AM424" s="295"/>
      <c r="AN424" s="293">
        <f t="shared" si="138"/>
        <v>0</v>
      </c>
      <c r="AO424" s="300">
        <f t="shared" si="147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2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316"/>
      <c r="N425" s="162"/>
      <c r="O425" s="505"/>
      <c r="P425" s="504"/>
      <c r="Q425" s="257"/>
      <c r="R425" s="257"/>
      <c r="S425" s="498"/>
      <c r="T425" s="257"/>
      <c r="U425" s="257"/>
      <c r="V425" s="108" t="s">
        <v>21</v>
      </c>
      <c r="W425" s="297"/>
      <c r="X425" s="290"/>
      <c r="Y425" s="290"/>
      <c r="Z425" s="291">
        <f t="shared" si="149"/>
        <v>0</v>
      </c>
      <c r="AA425" s="290"/>
      <c r="AB425" s="290"/>
      <c r="AC425" s="291">
        <f t="shared" si="150"/>
        <v>0</v>
      </c>
      <c r="AD425" s="299"/>
      <c r="AE425" s="298"/>
      <c r="AF425" s="291">
        <f t="shared" si="151"/>
        <v>0</v>
      </c>
      <c r="AG425" s="292"/>
      <c r="AH425" s="293">
        <f t="shared" si="146"/>
        <v>0</v>
      </c>
      <c r="AI425" s="294">
        <f t="shared" si="152"/>
        <v>0</v>
      </c>
      <c r="AJ425" s="299"/>
      <c r="AK425" s="290"/>
      <c r="AL425" s="291">
        <f t="shared" si="153"/>
        <v>0</v>
      </c>
      <c r="AM425" s="295"/>
      <c r="AN425" s="293">
        <f t="shared" si="138"/>
        <v>0</v>
      </c>
      <c r="AO425" s="300">
        <f t="shared" si="147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2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316"/>
      <c r="N426" s="162"/>
      <c r="O426" s="505"/>
      <c r="P426" s="504"/>
      <c r="Q426" s="257"/>
      <c r="R426" s="257"/>
      <c r="S426" s="498"/>
      <c r="T426" s="257"/>
      <c r="U426" s="257"/>
      <c r="V426" s="108" t="s">
        <v>21</v>
      </c>
      <c r="W426" s="297"/>
      <c r="X426" s="290"/>
      <c r="Y426" s="290"/>
      <c r="Z426" s="291">
        <f t="shared" si="149"/>
        <v>0</v>
      </c>
      <c r="AA426" s="290"/>
      <c r="AB426" s="290"/>
      <c r="AC426" s="291">
        <f t="shared" si="150"/>
        <v>0</v>
      </c>
      <c r="AD426" s="299"/>
      <c r="AE426" s="298"/>
      <c r="AF426" s="291">
        <f t="shared" si="151"/>
        <v>0</v>
      </c>
      <c r="AG426" s="292"/>
      <c r="AH426" s="293">
        <f t="shared" si="146"/>
        <v>0</v>
      </c>
      <c r="AI426" s="294">
        <f t="shared" si="152"/>
        <v>0</v>
      </c>
      <c r="AJ426" s="299"/>
      <c r="AK426" s="290"/>
      <c r="AL426" s="291">
        <f t="shared" si="153"/>
        <v>0</v>
      </c>
      <c r="AM426" s="295"/>
      <c r="AN426" s="293">
        <f t="shared" si="138"/>
        <v>0</v>
      </c>
      <c r="AO426" s="300">
        <f t="shared" si="147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2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11" t="s">
        <v>227</v>
      </c>
      <c r="M427" s="316"/>
      <c r="N427" s="162"/>
      <c r="O427" s="505"/>
      <c r="P427" s="504"/>
      <c r="Q427" s="257"/>
      <c r="R427" s="257"/>
      <c r="S427" s="498"/>
      <c r="T427" s="257"/>
      <c r="U427" s="257"/>
      <c r="V427" s="109" t="s">
        <v>46</v>
      </c>
      <c r="W427" s="301" t="s">
        <v>148</v>
      </c>
      <c r="X427" s="274"/>
      <c r="Y427" s="274"/>
      <c r="Z427" s="275">
        <f t="shared" si="149"/>
        <v>38980.622451867996</v>
      </c>
      <c r="AA427" s="274"/>
      <c r="AB427" s="274"/>
      <c r="AC427" s="275">
        <f t="shared" si="150"/>
        <v>39062.686178500408</v>
      </c>
      <c r="AD427" s="303"/>
      <c r="AE427" s="302"/>
      <c r="AF427" s="275">
        <f t="shared" si="151"/>
        <v>36353.65</v>
      </c>
      <c r="AG427" s="276"/>
      <c r="AH427" s="277">
        <f t="shared" si="146"/>
        <v>-2709.0361785004061</v>
      </c>
      <c r="AI427" s="304">
        <f t="shared" si="152"/>
        <v>-6.9350995631002568E-2</v>
      </c>
      <c r="AJ427" s="303"/>
      <c r="AK427" s="274"/>
      <c r="AL427" s="275">
        <f t="shared" si="153"/>
        <v>43335.24</v>
      </c>
      <c r="AM427" s="279"/>
      <c r="AN427" s="277">
        <f t="shared" si="138"/>
        <v>-6981.5899999999965</v>
      </c>
      <c r="AO427" s="305">
        <f t="shared" si="147"/>
        <v>-0.16110652669744063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2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11" t="s">
        <v>221</v>
      </c>
      <c r="M428" s="316">
        <f>L325</f>
        <v>45.44</v>
      </c>
      <c r="N428" s="497">
        <f>$N$406</f>
        <v>0.53097345132743357</v>
      </c>
      <c r="O428" s="316">
        <f>($J$409*$M$439)*N428</f>
        <v>3623.9538882488678</v>
      </c>
      <c r="P428" s="504"/>
      <c r="Q428" s="495">
        <f>O428-M428</f>
        <v>3578.5138882488677</v>
      </c>
      <c r="R428" s="257">
        <v>6732</v>
      </c>
      <c r="S428" s="498">
        <f>Q428</f>
        <v>3578.5138882488677</v>
      </c>
      <c r="T428" s="257"/>
      <c r="U428" s="257"/>
      <c r="V428" s="108" t="s">
        <v>47</v>
      </c>
      <c r="W428" s="297" t="s">
        <v>149</v>
      </c>
      <c r="X428" s="290"/>
      <c r="Y428" s="290"/>
      <c r="Z428" s="291">
        <f t="shared" si="149"/>
        <v>38980.622451867996</v>
      </c>
      <c r="AA428" s="290"/>
      <c r="AB428" s="290"/>
      <c r="AC428" s="291">
        <f t="shared" si="150"/>
        <v>39062.686178500408</v>
      </c>
      <c r="AD428" s="299"/>
      <c r="AE428" s="298"/>
      <c r="AF428" s="291">
        <f t="shared" si="151"/>
        <v>35128.960000000006</v>
      </c>
      <c r="AG428" s="292"/>
      <c r="AH428" s="293">
        <f t="shared" si="146"/>
        <v>-3933.7261785004011</v>
      </c>
      <c r="AI428" s="294">
        <f t="shared" si="152"/>
        <v>-0.10070291020245999</v>
      </c>
      <c r="AJ428" s="299"/>
      <c r="AK428" s="290"/>
      <c r="AL428" s="291">
        <f t="shared" si="153"/>
        <v>34220.81</v>
      </c>
      <c r="AM428" s="295"/>
      <c r="AN428" s="293">
        <f t="shared" si="138"/>
        <v>908.15000000000873</v>
      </c>
      <c r="AO428" s="300">
        <f t="shared" si="147"/>
        <v>2.6537945770424745E-2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2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11" t="s">
        <v>222</v>
      </c>
      <c r="M429" s="316">
        <f>L326</f>
        <v>2652.84</v>
      </c>
      <c r="N429" s="497">
        <f>$N$407</f>
        <v>0.38053097345132741</v>
      </c>
      <c r="O429" s="316">
        <f>($J$409*$M$439)*N429</f>
        <v>2597.1669532450223</v>
      </c>
      <c r="P429" s="504"/>
      <c r="Q429" s="495">
        <f t="shared" ref="Q429:Q430" si="155">O429-M429</f>
        <v>-55.673046754977804</v>
      </c>
      <c r="R429" s="257">
        <v>6739</v>
      </c>
      <c r="S429" s="498">
        <f>Q429</f>
        <v>-55.673046754977804</v>
      </c>
      <c r="T429" s="257"/>
      <c r="U429" s="257"/>
      <c r="V429" s="108" t="s">
        <v>48</v>
      </c>
      <c r="W429" s="297" t="s">
        <v>150</v>
      </c>
      <c r="X429" s="290"/>
      <c r="Y429" s="290"/>
      <c r="Z429" s="291">
        <f t="shared" si="149"/>
        <v>27936.112757172064</v>
      </c>
      <c r="AA429" s="290"/>
      <c r="AB429" s="290"/>
      <c r="AC429" s="291">
        <f t="shared" si="150"/>
        <v>27994.925094591956</v>
      </c>
      <c r="AD429" s="299"/>
      <c r="AE429" s="298"/>
      <c r="AF429" s="291">
        <f t="shared" si="151"/>
        <v>27796.020000000004</v>
      </c>
      <c r="AG429" s="292"/>
      <c r="AH429" s="293">
        <f t="shared" si="146"/>
        <v>-198.90509459195164</v>
      </c>
      <c r="AI429" s="294">
        <f t="shared" si="152"/>
        <v>-7.1050411429883055E-3</v>
      </c>
      <c r="AJ429" s="299"/>
      <c r="AK429" s="290"/>
      <c r="AL429" s="291">
        <f t="shared" si="153"/>
        <v>26571.49</v>
      </c>
      <c r="AM429" s="295"/>
      <c r="AN429" s="293">
        <f t="shared" si="138"/>
        <v>1224.5300000000025</v>
      </c>
      <c r="AO429" s="300">
        <f t="shared" si="147"/>
        <v>4.6084355826489308E-2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2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11" t="s">
        <v>223</v>
      </c>
      <c r="M430" s="316">
        <f>L327</f>
        <v>4273.130000000001</v>
      </c>
      <c r="N430" s="497">
        <f>$N$408</f>
        <v>8.8495575221238937E-2</v>
      </c>
      <c r="O430" s="316">
        <f>($J$409*$M$439)*N430</f>
        <v>603.9923147081447</v>
      </c>
      <c r="P430" s="504"/>
      <c r="Q430" s="495">
        <f t="shared" si="155"/>
        <v>-3669.1376852918565</v>
      </c>
      <c r="R430" s="257">
        <v>6731</v>
      </c>
      <c r="S430" s="498">
        <f>Q430</f>
        <v>-3669.1376852918565</v>
      </c>
      <c r="T430" s="257"/>
      <c r="U430" s="257"/>
      <c r="V430" s="108" t="s">
        <v>49</v>
      </c>
      <c r="W430" s="297"/>
      <c r="X430" s="290"/>
      <c r="Y430" s="290"/>
      <c r="Z430" s="291">
        <f t="shared" si="149"/>
        <v>6496.7704086446665</v>
      </c>
      <c r="AA430" s="290"/>
      <c r="AB430" s="290"/>
      <c r="AC430" s="291">
        <f t="shared" si="150"/>
        <v>6510.4476964167343</v>
      </c>
      <c r="AD430" s="299"/>
      <c r="AE430" s="298"/>
      <c r="AF430" s="291">
        <f t="shared" si="151"/>
        <v>10120.39</v>
      </c>
      <c r="AG430" s="292"/>
      <c r="AH430" s="293">
        <f t="shared" si="146"/>
        <v>3609.9423035832651</v>
      </c>
      <c r="AI430" s="317">
        <f t="shared" si="152"/>
        <v>0.55448449506323971</v>
      </c>
      <c r="AJ430" s="299"/>
      <c r="AK430" s="290"/>
      <c r="AL430" s="291">
        <f t="shared" si="153"/>
        <v>12715.619999999999</v>
      </c>
      <c r="AM430" s="295"/>
      <c r="AN430" s="293">
        <f t="shared" si="138"/>
        <v>-2595.2299999999996</v>
      </c>
      <c r="AO430" s="300">
        <f t="shared" si="147"/>
        <v>-0.2040977946808728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2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499"/>
      <c r="Q431" s="502">
        <f>SUM(Q428:Q430)</f>
        <v>-146.29684379796663</v>
      </c>
      <c r="R431" s="257"/>
      <c r="T431" s="257"/>
      <c r="U431" s="257"/>
      <c r="V431" s="30" t="s">
        <v>21</v>
      </c>
      <c r="W431" s="297"/>
      <c r="X431" s="290"/>
      <c r="Y431" s="298"/>
      <c r="Z431" s="291">
        <f t="shared" si="149"/>
        <v>0</v>
      </c>
      <c r="AA431" s="290"/>
      <c r="AB431" s="298"/>
      <c r="AC431" s="291">
        <f t="shared" si="150"/>
        <v>0</v>
      </c>
      <c r="AD431" s="299"/>
      <c r="AE431" s="298"/>
      <c r="AF431" s="291">
        <f t="shared" si="151"/>
        <v>0</v>
      </c>
      <c r="AG431" s="292"/>
      <c r="AH431" s="293"/>
      <c r="AI431" s="294"/>
      <c r="AJ431" s="299"/>
      <c r="AK431" s="293"/>
      <c r="AL431" s="291">
        <f t="shared" si="153"/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2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O432" s="506">
        <f>SUM(O428:O431)</f>
        <v>6825.1131562020346</v>
      </c>
      <c r="Q432" s="500">
        <f>SUM(Q428:Q430)</f>
        <v>-146.29684379796663</v>
      </c>
      <c r="R432" s="257"/>
      <c r="T432" s="257"/>
      <c r="U432" s="257"/>
      <c r="V432" s="307" t="s">
        <v>50</v>
      </c>
      <c r="W432" s="308"/>
      <c r="X432" s="309">
        <f>Z432/Z406</f>
        <v>0.42629784731550929</v>
      </c>
      <c r="Y432" s="308"/>
      <c r="Z432" s="310">
        <f>SUM(Z419:Z431)</f>
        <v>273103.56198196858</v>
      </c>
      <c r="AA432" s="309">
        <f>AC432/AC406</f>
        <v>0.40330636466406861</v>
      </c>
      <c r="AB432" s="308"/>
      <c r="AC432" s="310">
        <f>SUM(AC419:AC431)</f>
        <v>273340.17906042538</v>
      </c>
      <c r="AD432" s="311">
        <f>AF432/AF406</f>
        <v>0.38073119923933685</v>
      </c>
      <c r="AE432" s="318"/>
      <c r="AF432" s="310">
        <f>SUM(AF419:AF431)</f>
        <v>261114.08000000002</v>
      </c>
      <c r="AG432" s="319"/>
      <c r="AH432" s="313">
        <f t="shared" ref="AH432:AH450" si="156">AF432-AC432</f>
        <v>-12226.09906042536</v>
      </c>
      <c r="AI432" s="309">
        <f>AH432/AC432</f>
        <v>-4.4728510467985837E-2</v>
      </c>
      <c r="AJ432" s="311">
        <f>IF($AL$406=0,0,AL432/$AL$406)</f>
        <v>0.5309675575357391</v>
      </c>
      <c r="AK432" s="308"/>
      <c r="AL432" s="310">
        <f>SUM(AL419:AL431)</f>
        <v>294352.83</v>
      </c>
      <c r="AM432" s="320"/>
      <c r="AN432" s="313">
        <f t="shared" ref="AN432:AN450" si="157">AF432-AL432</f>
        <v>-33238.75</v>
      </c>
      <c r="AO432" s="288">
        <f>IF(AL432=0,0,AN432/AL432)</f>
        <v>-0.11292145551989427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2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506">
        <f>SUM(M428:M431)</f>
        <v>6971.4100000000017</v>
      </c>
      <c r="N433" s="497">
        <f>M433/$M$439</f>
        <v>9.5439450850888979E-2</v>
      </c>
      <c r="O433" s="507">
        <f>J409</f>
        <v>9.3436629264825877E-2</v>
      </c>
      <c r="P433" s="499">
        <f>O433*$M$439</f>
        <v>6825.1131562020355</v>
      </c>
      <c r="Q433" s="315">
        <f>P433-M433</f>
        <v>-146.29684379796618</v>
      </c>
      <c r="R433" s="257"/>
      <c r="T433" s="257"/>
      <c r="U433" s="257"/>
      <c r="V433" s="221" t="s">
        <v>51</v>
      </c>
      <c r="W433" s="322" t="s">
        <v>140</v>
      </c>
      <c r="X433" s="323"/>
      <c r="Y433" s="323"/>
      <c r="Z433" s="324">
        <f t="shared" ref="Z433:Z450" si="158">+SUMIF($C:$C,$V433,F:F)</f>
        <v>10881.833333333332</v>
      </c>
      <c r="AA433" s="323"/>
      <c r="AB433" s="323"/>
      <c r="AC433" s="324">
        <f t="shared" ref="AC433:AC450" si="159">+SUMIF($C:$C,$V433,I:I)</f>
        <v>10881.833333333332</v>
      </c>
      <c r="AD433" s="325"/>
      <c r="AE433" s="326"/>
      <c r="AF433" s="324">
        <f t="shared" ref="AF433:AF450" si="160">+SUMIF($C:$C,$V433,L:L)</f>
        <v>10809.64</v>
      </c>
      <c r="AG433" s="325"/>
      <c r="AH433" s="327">
        <f t="shared" si="156"/>
        <v>-72.193333333332703</v>
      </c>
      <c r="AI433" s="328">
        <f>IF(AC433=0,0,AH433/AC433)</f>
        <v>-6.6342987548053522E-3</v>
      </c>
      <c r="AJ433" s="325"/>
      <c r="AK433" s="323"/>
      <c r="AL433" s="324">
        <f t="shared" ref="AL433:AL450" si="161">+SUMIF($C:$C,$V433,Q:Q)</f>
        <v>21975.4</v>
      </c>
      <c r="AM433" s="329"/>
      <c r="AN433" s="327">
        <f t="shared" si="157"/>
        <v>-11165.760000000002</v>
      </c>
      <c r="AO433" s="296">
        <f t="shared" ref="AO433:AO450" si="162">IF(AL433=0,0,AN433/AL433)</f>
        <v>-0.50810269665171059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2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 t="s">
        <v>206</v>
      </c>
      <c r="M434" s="257"/>
      <c r="O434" s="505"/>
      <c r="P434" s="508"/>
      <c r="Q434" s="257"/>
      <c r="R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 t="shared" si="158"/>
        <v>7325.5878886441906</v>
      </c>
      <c r="AA434" s="290"/>
      <c r="AB434" s="290"/>
      <c r="AC434" s="291">
        <f t="shared" si="159"/>
        <v>7325.5878886441906</v>
      </c>
      <c r="AD434" s="299"/>
      <c r="AE434" s="298"/>
      <c r="AF434" s="291">
        <f t="shared" si="160"/>
        <v>5057.96</v>
      </c>
      <c r="AG434" s="292"/>
      <c r="AH434" s="293">
        <f t="shared" si="156"/>
        <v>-2267.6278886441905</v>
      </c>
      <c r="AI434" s="294">
        <f t="shared" ref="AI434:AI450" si="163">IF(AC434=0,0,AH434/AC434)</f>
        <v>-0.30954892946672158</v>
      </c>
      <c r="AJ434" s="299"/>
      <c r="AK434" s="290"/>
      <c r="AL434" s="291">
        <f t="shared" si="161"/>
        <v>3137.72</v>
      </c>
      <c r="AM434" s="295"/>
      <c r="AN434" s="293">
        <f t="shared" si="157"/>
        <v>1920.2400000000002</v>
      </c>
      <c r="AO434" s="300">
        <f t="shared" si="162"/>
        <v>0.61198577310913671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2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11" t="s">
        <v>221</v>
      </c>
      <c r="M435" s="316">
        <f>M401+M406+M411+M419+M428</f>
        <v>35128.960000000006</v>
      </c>
      <c r="N435" s="497">
        <f>$N$406</f>
        <v>0.53097345132743357</v>
      </c>
      <c r="O435" s="316">
        <f t="shared" ref="O435:O437" si="164">O401+O406+O411+O419+O428</f>
        <v>38785.152212389381</v>
      </c>
      <c r="P435" s="508"/>
      <c r="Q435" s="316">
        <f>Q401+Q406+Q411+Q419+Q428</f>
        <v>3656.192212389376</v>
      </c>
      <c r="R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 t="shared" si="158"/>
        <v>30952.437500000004</v>
      </c>
      <c r="AA435" s="274"/>
      <c r="AB435" s="274"/>
      <c r="AC435" s="275">
        <f t="shared" si="159"/>
        <v>30952.437500000004</v>
      </c>
      <c r="AD435" s="303"/>
      <c r="AE435" s="302"/>
      <c r="AF435" s="275">
        <f t="shared" si="160"/>
        <v>24875.559999999998</v>
      </c>
      <c r="AG435" s="276"/>
      <c r="AH435" s="277">
        <f t="shared" si="156"/>
        <v>-6076.877500000006</v>
      </c>
      <c r="AI435" s="304">
        <f t="shared" si="163"/>
        <v>-0.19632952978259</v>
      </c>
      <c r="AJ435" s="303"/>
      <c r="AK435" s="274"/>
      <c r="AL435" s="275">
        <f t="shared" si="161"/>
        <v>39044.530000000006</v>
      </c>
      <c r="AM435" s="279"/>
      <c r="AN435" s="277">
        <f t="shared" si="157"/>
        <v>-14168.970000000008</v>
      </c>
      <c r="AO435" s="280">
        <f t="shared" si="162"/>
        <v>-0.36289257419669302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2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11" t="s">
        <v>222</v>
      </c>
      <c r="M436" s="316">
        <f>M402+M407+M412+M420+M429</f>
        <v>27796.020000000004</v>
      </c>
      <c r="N436" s="497">
        <f>$N$407</f>
        <v>0.38053097345132741</v>
      </c>
      <c r="O436" s="316">
        <f t="shared" si="164"/>
        <v>27796.025752212387</v>
      </c>
      <c r="P436" s="508"/>
      <c r="Q436" s="316">
        <f>Q402+Q407+Q412+Q420+Q429</f>
        <v>5.7522123879607534E-3</v>
      </c>
      <c r="R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 t="shared" si="158"/>
        <v>19483.113333333335</v>
      </c>
      <c r="AA436" s="290"/>
      <c r="AB436" s="290"/>
      <c r="AC436" s="291">
        <f t="shared" si="159"/>
        <v>19483.113333333335</v>
      </c>
      <c r="AD436" s="299"/>
      <c r="AE436" s="298"/>
      <c r="AF436" s="291">
        <f t="shared" si="160"/>
        <v>17024.350000000002</v>
      </c>
      <c r="AG436" s="292"/>
      <c r="AH436" s="293">
        <f t="shared" si="156"/>
        <v>-2458.7633333333324</v>
      </c>
      <c r="AI436" s="294">
        <f t="shared" si="163"/>
        <v>-0.12619971414561734</v>
      </c>
      <c r="AJ436" s="299"/>
      <c r="AK436" s="290"/>
      <c r="AL436" s="291">
        <f t="shared" si="161"/>
        <v>17423.199999999997</v>
      </c>
      <c r="AM436" s="295"/>
      <c r="AN436" s="293">
        <f t="shared" si="157"/>
        <v>-398.84999999999491</v>
      </c>
      <c r="AO436" s="300">
        <f t="shared" si="162"/>
        <v>-2.2891891271407949E-2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2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11" t="s">
        <v>223</v>
      </c>
      <c r="M437" s="316">
        <f>M403+M408+M413+M421+M430</f>
        <v>10120.39</v>
      </c>
      <c r="N437" s="497">
        <f>$N$408</f>
        <v>8.8495575221238937E-2</v>
      </c>
      <c r="O437" s="316">
        <f t="shared" si="164"/>
        <v>6464.1920353982296</v>
      </c>
      <c r="P437" s="508"/>
      <c r="Q437" s="316">
        <f t="shared" ref="Q437" si="165">Q403+Q408+Q413+Q421+Q430</f>
        <v>-3656.1979646017708</v>
      </c>
      <c r="R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 t="shared" si="158"/>
        <v>4989.0524999999998</v>
      </c>
      <c r="AA437" s="290"/>
      <c r="AB437" s="290"/>
      <c r="AC437" s="291">
        <f t="shared" si="159"/>
        <v>4989.0524999999998</v>
      </c>
      <c r="AD437" s="299"/>
      <c r="AE437" s="298"/>
      <c r="AF437" s="291">
        <f t="shared" si="160"/>
        <v>2142.3500000000004</v>
      </c>
      <c r="AG437" s="292"/>
      <c r="AH437" s="293">
        <f t="shared" si="156"/>
        <v>-2846.7024999999994</v>
      </c>
      <c r="AI437" s="294">
        <f t="shared" si="163"/>
        <v>-0.57058980638107126</v>
      </c>
      <c r="AJ437" s="299"/>
      <c r="AK437" s="290"/>
      <c r="AL437" s="291">
        <f t="shared" si="161"/>
        <v>6077.0000000000009</v>
      </c>
      <c r="AM437" s="295"/>
      <c r="AN437" s="293">
        <f t="shared" si="157"/>
        <v>-3934.6500000000005</v>
      </c>
      <c r="AO437" s="300">
        <f t="shared" si="162"/>
        <v>-0.64746585486259667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2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11"/>
      <c r="M438" s="11"/>
      <c r="N438" s="11"/>
      <c r="O438" s="315">
        <f>SUM(O435:O437)</f>
        <v>73045.37</v>
      </c>
      <c r="P438" s="508"/>
      <c r="Q438" s="315">
        <f>SUM(Q435:Q437)</f>
        <v>-6.8212102632969618E-12</v>
      </c>
      <c r="R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 t="shared" si="158"/>
        <v>26963.616633333331</v>
      </c>
      <c r="AA438" s="290"/>
      <c r="AB438" s="290"/>
      <c r="AC438" s="291">
        <f t="shared" si="159"/>
        <v>26963.616633333331</v>
      </c>
      <c r="AD438" s="299"/>
      <c r="AE438" s="298"/>
      <c r="AF438" s="291">
        <f t="shared" si="160"/>
        <v>17483.2</v>
      </c>
      <c r="AG438" s="292"/>
      <c r="AH438" s="293">
        <f t="shared" si="156"/>
        <v>-9480.4166333333305</v>
      </c>
      <c r="AI438" s="294">
        <f t="shared" si="163"/>
        <v>-0.35160033471227004</v>
      </c>
      <c r="AJ438" s="299"/>
      <c r="AK438" s="290"/>
      <c r="AL438" s="291">
        <f t="shared" si="161"/>
        <v>35378.75</v>
      </c>
      <c r="AM438" s="295"/>
      <c r="AN438" s="293">
        <f t="shared" si="157"/>
        <v>-17895.55</v>
      </c>
      <c r="AO438" s="300">
        <f t="shared" si="162"/>
        <v>-0.50582765077906933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M439" s="506">
        <f>SUM(M435:M438)</f>
        <v>73045.37000000001</v>
      </c>
      <c r="N439" s="497">
        <f>M439/$M$439</f>
        <v>1</v>
      </c>
      <c r="O439" s="505"/>
      <c r="P439" s="508"/>
      <c r="Q439" s="257"/>
      <c r="R439" s="257"/>
      <c r="T439" s="257"/>
      <c r="U439" s="257"/>
      <c r="V439" s="222" t="s">
        <v>99</v>
      </c>
      <c r="W439" s="330"/>
      <c r="X439" s="331"/>
      <c r="Y439" s="331"/>
      <c r="Z439" s="332">
        <f t="shared" si="158"/>
        <v>0</v>
      </c>
      <c r="AA439" s="331"/>
      <c r="AB439" s="331"/>
      <c r="AC439" s="332">
        <f t="shared" si="159"/>
        <v>0</v>
      </c>
      <c r="AD439" s="333"/>
      <c r="AE439" s="334"/>
      <c r="AF439" s="332">
        <f t="shared" si="160"/>
        <v>0</v>
      </c>
      <c r="AG439" s="335"/>
      <c r="AH439" s="336">
        <f t="shared" si="156"/>
        <v>0</v>
      </c>
      <c r="AI439" s="337">
        <f t="shared" si="163"/>
        <v>0</v>
      </c>
      <c r="AJ439" s="333"/>
      <c r="AK439" s="331"/>
      <c r="AL439" s="332">
        <f t="shared" si="161"/>
        <v>0</v>
      </c>
      <c r="AM439" s="338"/>
      <c r="AN439" s="336">
        <f t="shared" si="157"/>
        <v>0</v>
      </c>
      <c r="AO439" s="339">
        <f t="shared" si="162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2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 t="shared" si="158"/>
        <v>1167.5250043170377</v>
      </c>
      <c r="AA440" s="290"/>
      <c r="AB440" s="298"/>
      <c r="AC440" s="291">
        <f t="shared" si="159"/>
        <v>1167.5250043170377</v>
      </c>
      <c r="AD440" s="299"/>
      <c r="AE440" s="298"/>
      <c r="AF440" s="291">
        <f t="shared" si="160"/>
        <v>1555.18</v>
      </c>
      <c r="AG440" s="292"/>
      <c r="AH440" s="293">
        <f t="shared" si="156"/>
        <v>387.65499568296241</v>
      </c>
      <c r="AI440" s="294">
        <f t="shared" si="163"/>
        <v>0.33203142909108602</v>
      </c>
      <c r="AJ440" s="299"/>
      <c r="AK440" s="290"/>
      <c r="AL440" s="291">
        <f t="shared" si="161"/>
        <v>985</v>
      </c>
      <c r="AM440" s="295"/>
      <c r="AN440" s="293">
        <f t="shared" si="157"/>
        <v>570.18000000000006</v>
      </c>
      <c r="AO440" s="300">
        <f t="shared" si="162"/>
        <v>0.57886294416243667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2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 t="shared" si="158"/>
        <v>1515</v>
      </c>
      <c r="AA441" s="290"/>
      <c r="AB441" s="290"/>
      <c r="AC441" s="291">
        <f t="shared" si="159"/>
        <v>1515</v>
      </c>
      <c r="AD441" s="299"/>
      <c r="AE441" s="298"/>
      <c r="AF441" s="291">
        <f t="shared" si="160"/>
        <v>423.83</v>
      </c>
      <c r="AG441" s="292"/>
      <c r="AH441" s="293">
        <f t="shared" si="156"/>
        <v>-1091.17</v>
      </c>
      <c r="AI441" s="317">
        <f t="shared" si="163"/>
        <v>-0.72024422442244229</v>
      </c>
      <c r="AJ441" s="299"/>
      <c r="AK441" s="290"/>
      <c r="AL441" s="291">
        <f t="shared" si="161"/>
        <v>1515</v>
      </c>
      <c r="AM441" s="295"/>
      <c r="AN441" s="293">
        <f t="shared" si="157"/>
        <v>-1091.17</v>
      </c>
      <c r="AO441" s="300">
        <f t="shared" si="162"/>
        <v>-0.72024422442244229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2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 t="shared" si="158"/>
        <v>2180</v>
      </c>
      <c r="AA442" s="290"/>
      <c r="AB442" s="290"/>
      <c r="AC442" s="291">
        <f t="shared" si="159"/>
        <v>2180</v>
      </c>
      <c r="AD442" s="299"/>
      <c r="AE442" s="298"/>
      <c r="AF442" s="291">
        <f t="shared" si="160"/>
        <v>2648.2200000000003</v>
      </c>
      <c r="AG442" s="292"/>
      <c r="AH442" s="293">
        <f t="shared" si="156"/>
        <v>468.22000000000025</v>
      </c>
      <c r="AI442" s="294">
        <f t="shared" si="163"/>
        <v>0.21477981651376157</v>
      </c>
      <c r="AJ442" s="299"/>
      <c r="AK442" s="290"/>
      <c r="AL442" s="291">
        <f t="shared" si="161"/>
        <v>1850</v>
      </c>
      <c r="AM442" s="295"/>
      <c r="AN442" s="293">
        <f t="shared" si="157"/>
        <v>798.22000000000025</v>
      </c>
      <c r="AO442" s="300">
        <f t="shared" si="162"/>
        <v>0.43147027027027041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2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 t="shared" si="158"/>
        <v>1949.1</v>
      </c>
      <c r="AA443" s="290"/>
      <c r="AB443" s="290"/>
      <c r="AC443" s="291">
        <f t="shared" si="159"/>
        <v>1949.1</v>
      </c>
      <c r="AD443" s="299"/>
      <c r="AE443" s="298"/>
      <c r="AF443" s="291">
        <f t="shared" si="160"/>
        <v>673.23</v>
      </c>
      <c r="AG443" s="292"/>
      <c r="AH443" s="293">
        <f t="shared" si="156"/>
        <v>-1275.8699999999999</v>
      </c>
      <c r="AI443" s="317">
        <f t="shared" si="163"/>
        <v>-0.6545944281976297</v>
      </c>
      <c r="AJ443" s="299"/>
      <c r="AK443" s="290"/>
      <c r="AL443" s="291">
        <f t="shared" si="161"/>
        <v>1656.2400000000002</v>
      </c>
      <c r="AM443" s="295"/>
      <c r="AN443" s="293">
        <f t="shared" si="157"/>
        <v>-983.01000000000022</v>
      </c>
      <c r="AO443" s="300">
        <f t="shared" si="162"/>
        <v>-0.59351905520938997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2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 t="shared" si="158"/>
        <v>865</v>
      </c>
      <c r="AA444" s="290"/>
      <c r="AB444" s="290"/>
      <c r="AC444" s="291">
        <f t="shared" si="159"/>
        <v>865</v>
      </c>
      <c r="AD444" s="299"/>
      <c r="AE444" s="298"/>
      <c r="AF444" s="291">
        <f t="shared" si="160"/>
        <v>320.27</v>
      </c>
      <c r="AG444" s="292"/>
      <c r="AH444" s="293">
        <f t="shared" si="156"/>
        <v>-544.73</v>
      </c>
      <c r="AI444" s="294">
        <f t="shared" si="163"/>
        <v>-0.62974566473988436</v>
      </c>
      <c r="AJ444" s="299"/>
      <c r="AK444" s="290"/>
      <c r="AL444" s="291">
        <f t="shared" si="161"/>
        <v>222.26</v>
      </c>
      <c r="AM444" s="295"/>
      <c r="AN444" s="293">
        <f t="shared" si="157"/>
        <v>98.009999999999991</v>
      </c>
      <c r="AO444" s="300">
        <f t="shared" si="162"/>
        <v>0.44097003509403399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2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 t="shared" si="158"/>
        <v>3891</v>
      </c>
      <c r="AA445" s="290"/>
      <c r="AB445" s="298"/>
      <c r="AC445" s="291">
        <f t="shared" si="159"/>
        <v>3891</v>
      </c>
      <c r="AD445" s="299"/>
      <c r="AE445" s="298"/>
      <c r="AF445" s="291">
        <f t="shared" si="160"/>
        <v>3745.05</v>
      </c>
      <c r="AG445" s="292"/>
      <c r="AH445" s="293">
        <f t="shared" si="156"/>
        <v>-145.94999999999982</v>
      </c>
      <c r="AI445" s="317">
        <f t="shared" si="163"/>
        <v>-3.7509637625289083E-2</v>
      </c>
      <c r="AJ445" s="299"/>
      <c r="AK445" s="290"/>
      <c r="AL445" s="291">
        <f t="shared" si="161"/>
        <v>5378.66</v>
      </c>
      <c r="AM445" s="295"/>
      <c r="AN445" s="293">
        <f t="shared" si="157"/>
        <v>-1633.6099999999997</v>
      </c>
      <c r="AO445" s="300">
        <f t="shared" si="162"/>
        <v>-0.30372062930172194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2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 t="shared" si="158"/>
        <v>3188.5833333333335</v>
      </c>
      <c r="AA446" s="290"/>
      <c r="AB446" s="298"/>
      <c r="AC446" s="291">
        <f t="shared" si="159"/>
        <v>3188.5833333333335</v>
      </c>
      <c r="AD446" s="299"/>
      <c r="AE446" s="298"/>
      <c r="AF446" s="291">
        <f t="shared" si="160"/>
        <v>3621.0399999999995</v>
      </c>
      <c r="AG446" s="292"/>
      <c r="AH446" s="293">
        <f t="shared" si="156"/>
        <v>432.45666666666602</v>
      </c>
      <c r="AI446" s="294">
        <f t="shared" si="163"/>
        <v>0.13562658442882136</v>
      </c>
      <c r="AJ446" s="299"/>
      <c r="AK446" s="290"/>
      <c r="AL446" s="291">
        <f t="shared" si="161"/>
        <v>7762.5</v>
      </c>
      <c r="AM446" s="295"/>
      <c r="AN446" s="293">
        <f t="shared" si="157"/>
        <v>-4141.4600000000009</v>
      </c>
      <c r="AO446" s="300">
        <f t="shared" si="162"/>
        <v>-0.53352141706924328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2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 t="shared" si="158"/>
        <v>11470.804376211276</v>
      </c>
      <c r="AA447" s="290"/>
      <c r="AB447" s="298"/>
      <c r="AC447" s="291">
        <f t="shared" si="159"/>
        <v>11470.804376211276</v>
      </c>
      <c r="AD447" s="299"/>
      <c r="AE447" s="298"/>
      <c r="AF447" s="275">
        <f>SUMIFS([6]BV_Data_An_Cour!$O:$O,[6]BV_Data_An_Cour!$V:$V,$V447)</f>
        <v>6895.21</v>
      </c>
      <c r="AG447" s="292"/>
      <c r="AH447" s="293">
        <f t="shared" si="156"/>
        <v>-4575.5943762112756</v>
      </c>
      <c r="AI447" s="294">
        <f t="shared" si="163"/>
        <v>-0.39889045494493575</v>
      </c>
      <c r="AJ447" s="299"/>
      <c r="AK447" s="290"/>
      <c r="AL447" s="291">
        <f>SUMIFS([6]BV_Data_An_Prec!$O:$O,[6]BV_Data_An_Prec!$V:$V,$V447)</f>
        <v>8180.25</v>
      </c>
      <c r="AM447" s="295"/>
      <c r="AN447" s="293">
        <f t="shared" si="157"/>
        <v>-1285.04</v>
      </c>
      <c r="AO447" s="300">
        <f t="shared" si="162"/>
        <v>-0.15709055346719231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hidden="1" customHeight="1">
      <c r="A448" t="str">
        <f t="shared" si="125"/>
        <v>[...]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</v>
      </c>
      <c r="W448" s="297"/>
      <c r="X448" s="290"/>
      <c r="Y448" s="298"/>
      <c r="Z448" s="291">
        <f t="shared" si="158"/>
        <v>0</v>
      </c>
      <c r="AA448" s="290"/>
      <c r="AB448" s="298"/>
      <c r="AC448" s="291">
        <f t="shared" si="159"/>
        <v>0</v>
      </c>
      <c r="AD448" s="299"/>
      <c r="AE448" s="298"/>
      <c r="AF448" s="291">
        <f t="shared" si="160"/>
        <v>0</v>
      </c>
      <c r="AG448" s="292"/>
      <c r="AH448" s="293">
        <f t="shared" si="156"/>
        <v>0</v>
      </c>
      <c r="AI448" s="294">
        <f t="shared" si="163"/>
        <v>0</v>
      </c>
      <c r="AJ448" s="299"/>
      <c r="AK448" s="290"/>
      <c r="AL448" s="291">
        <f t="shared" si="161"/>
        <v>0</v>
      </c>
      <c r="AM448" s="295"/>
      <c r="AN448" s="293">
        <f t="shared" si="157"/>
        <v>0</v>
      </c>
      <c r="AO448" s="300">
        <f t="shared" si="162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hidden="1" customHeight="1">
      <c r="A449" t="str">
        <f t="shared" si="12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 t="shared" si="158"/>
        <v>0</v>
      </c>
      <c r="AA449" s="290"/>
      <c r="AB449" s="298"/>
      <c r="AC449" s="291">
        <f t="shared" si="159"/>
        <v>0</v>
      </c>
      <c r="AD449" s="299"/>
      <c r="AE449" s="298"/>
      <c r="AF449" s="291">
        <f t="shared" si="160"/>
        <v>0</v>
      </c>
      <c r="AG449" s="292"/>
      <c r="AH449" s="293">
        <f t="shared" si="156"/>
        <v>0</v>
      </c>
      <c r="AI449" s="294">
        <f t="shared" si="163"/>
        <v>0</v>
      </c>
      <c r="AJ449" s="299"/>
      <c r="AK449" s="290"/>
      <c r="AL449" s="291">
        <f t="shared" si="161"/>
        <v>0</v>
      </c>
      <c r="AM449" s="295"/>
      <c r="AN449" s="293">
        <f t="shared" si="157"/>
        <v>0</v>
      </c>
      <c r="AO449" s="300">
        <f t="shared" si="162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hidden="1" customHeight="1">
      <c r="A450" t="str">
        <f t="shared" si="12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 t="shared" si="158"/>
        <v>0</v>
      </c>
      <c r="AA450" s="290"/>
      <c r="AB450" s="298"/>
      <c r="AC450" s="291">
        <f t="shared" si="159"/>
        <v>0</v>
      </c>
      <c r="AD450" s="299"/>
      <c r="AE450" s="298"/>
      <c r="AF450" s="291">
        <f t="shared" si="160"/>
        <v>0</v>
      </c>
      <c r="AG450" s="292"/>
      <c r="AH450" s="293">
        <f t="shared" si="156"/>
        <v>0</v>
      </c>
      <c r="AI450" s="294">
        <f t="shared" si="163"/>
        <v>0</v>
      </c>
      <c r="AJ450" s="299"/>
      <c r="AK450" s="290"/>
      <c r="AL450" s="291">
        <f t="shared" si="161"/>
        <v>0</v>
      </c>
      <c r="AM450" s="295"/>
      <c r="AN450" s="293">
        <f t="shared" si="157"/>
        <v>0</v>
      </c>
      <c r="AO450" s="300">
        <f t="shared" si="162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2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0.1979623552220372</v>
      </c>
      <c r="Y451" s="308"/>
      <c r="Z451" s="310">
        <f>+SUM(Z433:Z450)</f>
        <v>126822.65390250584</v>
      </c>
      <c r="AA451" s="309">
        <f>AC451/+AC406</f>
        <v>0.18712354575271561</v>
      </c>
      <c r="AB451" s="308"/>
      <c r="AC451" s="310">
        <f>+SUM(AC433:AC450)</f>
        <v>126822.65390250584</v>
      </c>
      <c r="AD451" s="311">
        <f>AF451/AF406</f>
        <v>0.14183709155712482</v>
      </c>
      <c r="AE451" s="308"/>
      <c r="AF451" s="310">
        <f>+SUM(AF433:AF450)</f>
        <v>97275.09</v>
      </c>
      <c r="AG451" s="319"/>
      <c r="AH451" s="342">
        <f>+SUM(AH433:AH450)</f>
        <v>-29547.563902505841</v>
      </c>
      <c r="AI451" s="309">
        <f>AH451/AC451</f>
        <v>-0.23298332745205247</v>
      </c>
      <c r="AJ451" s="311">
        <f>IF($AL$406=0,0,AL451/$AL$406)</f>
        <v>0.27163506942512206</v>
      </c>
      <c r="AK451" s="309"/>
      <c r="AL451" s="310">
        <f>+SUM(AL433:AL450)</f>
        <v>150586.51</v>
      </c>
      <c r="AM451" s="320"/>
      <c r="AN451" s="313">
        <f>+SUM(AN433:AN450)</f>
        <v>-53311.420000000006</v>
      </c>
      <c r="AO451" s="343">
        <f>IF(AL451=0,0,AN451/AL451)</f>
        <v>-0.35402520451533143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2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+INDEX('[6]Budget original'!$A$2:$AO$496,MATCH($A452,'[6]Budget original'!$A$2:$A$496,0),MATCH(F$2,'[6]Budget original'!$A$2:$AO$2,0))</f>
        <v>26000</v>
      </c>
      <c r="AA452" s="290"/>
      <c r="AB452" s="298"/>
      <c r="AC452" s="291">
        <f>+INDEX('[6]Budget révisé'!$A$2:$AO$496,MATCH($A452,'[6]Budget révisé'!$A$2:$A$496,0),MATCH(I$2,'[6]Budget révisé'!$A$2:$AO$2,0))</f>
        <v>26000</v>
      </c>
      <c r="AD452" s="299"/>
      <c r="AE452" s="298"/>
      <c r="AF452" s="291">
        <f>SUMIFS([6]BV_Data_An_Cour!$O:$O,[6]BV_Data_An_Cour!$V:$V,$V452)</f>
        <v>26000</v>
      </c>
      <c r="AG452" s="292"/>
      <c r="AH452" s="293">
        <f t="shared" ref="AH452:AH460" si="166">AF452-AC452</f>
        <v>0</v>
      </c>
      <c r="AI452" s="294">
        <f>IF(AC452=0,0,AH452/AC452)</f>
        <v>0</v>
      </c>
      <c r="AJ452" s="299"/>
      <c r="AK452" s="290"/>
      <c r="AL452" s="291">
        <f>SUMIFS([6]BV_Data_An_Prec!$O:$O,[6]BV_Data_An_Prec!$V:$V,$V452)</f>
        <v>26000.07</v>
      </c>
      <c r="AM452" s="295"/>
      <c r="AN452" s="293">
        <f t="shared" ref="AN452:AN460" si="167">AF452-AL452</f>
        <v>-6.9999999999708962E-2</v>
      </c>
      <c r="AO452" s="300">
        <f t="shared" ref="AO452:AO460" si="168">IF(AL452=0,0,AN452/AL452)</f>
        <v>-2.6923004437953039E-6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2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+INDEX('[6]Budget original'!$A$2:$AO$496,MATCH($A453,'[6]Budget original'!$A$2:$A$496,0),MATCH(F$2,'[6]Budget original'!$A$2:$AO$2,0))</f>
        <v>4810</v>
      </c>
      <c r="AA453" s="290"/>
      <c r="AB453" s="298"/>
      <c r="AC453" s="291">
        <f>+INDEX('[6]Budget révisé'!$A$2:$AO$496,MATCH($A453,'[6]Budget révisé'!$A$2:$A$496,0),MATCH(I$2,'[6]Budget révisé'!$A$2:$AO$2,0))</f>
        <v>4810</v>
      </c>
      <c r="AD453" s="299"/>
      <c r="AE453" s="298"/>
      <c r="AF453" s="291">
        <f>SUMIFS([6]BV_Data_An_Cour!$O:$O,[6]BV_Data_An_Cour!$V:$V,$V453)</f>
        <v>4810</v>
      </c>
      <c r="AG453" s="292"/>
      <c r="AH453" s="293">
        <f t="shared" si="166"/>
        <v>0</v>
      </c>
      <c r="AI453" s="294">
        <f t="shared" ref="AI453:AI460" si="169">IF(AC453=0,0,AH453/AC453)</f>
        <v>0</v>
      </c>
      <c r="AJ453" s="299"/>
      <c r="AK453" s="290"/>
      <c r="AL453" s="291">
        <f>SUMIFS([6]BV_Data_An_Prec!$O:$O,[6]BV_Data_An_Prec!$V:$V,$V453)</f>
        <v>4700</v>
      </c>
      <c r="AM453" s="295"/>
      <c r="AN453" s="293">
        <f t="shared" si="167"/>
        <v>110</v>
      </c>
      <c r="AO453" s="300">
        <f t="shared" si="168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2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+INDEX('[6]Budget original'!$A$2:$AO$496,MATCH($A454,'[6]Budget original'!$A$2:$A$496,0),MATCH(F$2,'[6]Budget original'!$A$2:$AO$2,0))</f>
        <v>3200</v>
      </c>
      <c r="AA454" s="274"/>
      <c r="AB454" s="302"/>
      <c r="AC454" s="275">
        <f>+INDEX('[6]Budget révisé'!$A$2:$AO$496,MATCH($A454,'[6]Budget révisé'!$A$2:$A$496,0),MATCH(I$2,'[6]Budget révisé'!$A$2:$AO$2,0))</f>
        <v>3200</v>
      </c>
      <c r="AD454" s="303"/>
      <c r="AE454" s="302"/>
      <c r="AF454" s="275">
        <f>SUMIFS([6]BV_Data_An_Cour!$O:$O,[6]BV_Data_An_Cour!$V:$V,$V454)</f>
        <v>3200</v>
      </c>
      <c r="AG454" s="276"/>
      <c r="AH454" s="277">
        <f t="shared" si="166"/>
        <v>0</v>
      </c>
      <c r="AI454" s="304">
        <f t="shared" si="169"/>
        <v>0</v>
      </c>
      <c r="AJ454" s="303"/>
      <c r="AK454" s="274"/>
      <c r="AL454" s="275">
        <f>SUMIFS([6]BV_Data_An_Prec!$O:$O,[6]BV_Data_An_Prec!$V:$V,$V454)</f>
        <v>3150</v>
      </c>
      <c r="AM454" s="279"/>
      <c r="AN454" s="277">
        <f t="shared" si="167"/>
        <v>50</v>
      </c>
      <c r="AO454" s="280">
        <f t="shared" si="168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2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+INDEX('[6]Budget original'!$A$2:$AO$496,MATCH($A455,'[6]Budget original'!$A$2:$A$496,0),MATCH(F$2,'[6]Budget original'!$A$2:$AO$2,0))</f>
        <v>0</v>
      </c>
      <c r="AA455" s="290"/>
      <c r="AB455" s="298"/>
      <c r="AC455" s="291">
        <f>+INDEX('[6]Budget révisé'!$A$2:$AO$496,MATCH($A455,'[6]Budget révisé'!$A$2:$A$496,0),MATCH(I$2,'[6]Budget révisé'!$A$2:$AO$2,0))</f>
        <v>0</v>
      </c>
      <c r="AD455" s="299"/>
      <c r="AE455" s="298"/>
      <c r="AF455" s="291">
        <f>SUMIFS([6]BV_Data_An_Cour!$O:$O,[6]BV_Data_An_Cour!$V:$V,$V455)</f>
        <v>0</v>
      </c>
      <c r="AG455" s="292"/>
      <c r="AH455" s="293">
        <f t="shared" si="166"/>
        <v>0</v>
      </c>
      <c r="AI455" s="294">
        <f t="shared" si="169"/>
        <v>0</v>
      </c>
      <c r="AJ455" s="299"/>
      <c r="AK455" s="290"/>
      <c r="AL455" s="291">
        <f>SUMIFS([6]BV_Data_An_Prec!$O:$O,[6]BV_Data_An_Prec!$V:$V,$V455)</f>
        <v>0</v>
      </c>
      <c r="AM455" s="295"/>
      <c r="AN455" s="293">
        <f t="shared" si="167"/>
        <v>0</v>
      </c>
      <c r="AO455" s="300">
        <f t="shared" si="168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2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+INDEX('[6]Budget original'!$A$2:$AO$496,MATCH($A456,'[6]Budget original'!$A$2:$A$496,0),MATCH(F$2,'[6]Budget original'!$A$2:$AO$2,0))</f>
        <v>3708.0833333333339</v>
      </c>
      <c r="AA456" s="274"/>
      <c r="AB456" s="302"/>
      <c r="AC456" s="275">
        <f>+INDEX('[6]Budget révisé'!$A$2:$AO$496,MATCH($A456,'[6]Budget révisé'!$A$2:$A$496,0),MATCH(I$2,'[6]Budget révisé'!$A$2:$AO$2,0))</f>
        <v>3708.0833333333339</v>
      </c>
      <c r="AD456" s="303"/>
      <c r="AE456" s="302"/>
      <c r="AF456" s="275">
        <f>SUMIF([6]BV_Data_An_Cour!$V:$V,[6]Print_Mois!$V456,[6]BV_Data_An_Cour!$O:$O)</f>
        <v>3708.11</v>
      </c>
      <c r="AG456" s="276"/>
      <c r="AH456" s="277">
        <f t="shared" si="166"/>
        <v>2.6666666666187666E-2</v>
      </c>
      <c r="AI456" s="304">
        <f t="shared" si="169"/>
        <v>7.1914960557847035E-6</v>
      </c>
      <c r="AJ456" s="303"/>
      <c r="AK456" s="274"/>
      <c r="AL456" s="275">
        <f>SUMIF([6]BV_Data_An_Prec!$V:$V,[6]Print_Mois!$V456,[6]BV_Data_An_Prec!$O:$O)</f>
        <v>1500</v>
      </c>
      <c r="AM456" s="279"/>
      <c r="AN456" s="277">
        <f t="shared" si="167"/>
        <v>2208.11</v>
      </c>
      <c r="AO456" s="280">
        <f t="shared" si="168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2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+INDEX('[6]Budget original'!$A$2:$AO$496,MATCH($A457,'[6]Budget original'!$A$2:$A$496,0),MATCH(F$2,'[6]Budget original'!$A$2:$AO$2,0))</f>
        <v>3810</v>
      </c>
      <c r="AA457" s="344"/>
      <c r="AB457" s="345"/>
      <c r="AC457" s="291">
        <f>+INDEX('[6]Budget révisé'!$A$2:$AO$496,MATCH($A457,'[6]Budget révisé'!$A$2:$A$496,0),MATCH(I$2,'[6]Budget révisé'!$A$2:$AO$2,0))</f>
        <v>3810</v>
      </c>
      <c r="AD457" s="299"/>
      <c r="AE457" s="298"/>
      <c r="AF457" s="534">
        <f>SUMIFS([6]BV_Data_An_Cour!$O:$O,[6]BV_Data_An_Cour!$V:$V,$V457)</f>
        <v>3411.05</v>
      </c>
      <c r="AG457" s="292"/>
      <c r="AH457" s="293">
        <f t="shared" si="166"/>
        <v>-398.94999999999982</v>
      </c>
      <c r="AI457" s="294">
        <f t="shared" si="169"/>
        <v>-0.1047112860892388</v>
      </c>
      <c r="AJ457" s="299"/>
      <c r="AK457" s="290"/>
      <c r="AL457" s="291">
        <f>SUMIFS([6]BV_Data_An_Prec!$O:$O,[6]BV_Data_An_Prec!$V:$V,$V457)</f>
        <v>3670.0000000000005</v>
      </c>
      <c r="AM457" s="295"/>
      <c r="AN457" s="293">
        <f t="shared" si="167"/>
        <v>-258.95000000000027</v>
      </c>
      <c r="AO457" s="300">
        <f t="shared" si="168"/>
        <v>-7.05585831062671E-2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2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+INDEX('[6]Budget original'!$A$2:$AO$496,MATCH($A458,'[6]Budget original'!$A$2:$A$496,0),MATCH(F$2,'[6]Budget original'!$A$2:$AO$2,0))</f>
        <v>6217.1666666666679</v>
      </c>
      <c r="AA458" s="290"/>
      <c r="AB458" s="298"/>
      <c r="AC458" s="291">
        <f>+INDEX('[6]Budget révisé'!$A$2:$AO$496,MATCH($A458,'[6]Budget révisé'!$A$2:$A$496,0),MATCH(I$2,'[6]Budget révisé'!$A$2:$AO$2,0))</f>
        <v>6217.1666666666679</v>
      </c>
      <c r="AD458" s="299"/>
      <c r="AE458" s="298"/>
      <c r="AF458" s="291">
        <f>SUMIFS([6]BV_Data_An_Cour!$O:$O,[6]BV_Data_An_Cour!$V:$V,$V458)</f>
        <v>7136.19</v>
      </c>
      <c r="AG458" s="292"/>
      <c r="AH458" s="293">
        <f t="shared" si="166"/>
        <v>919.02333333333172</v>
      </c>
      <c r="AI458" s="294">
        <f t="shared" si="169"/>
        <v>0.14782028255100096</v>
      </c>
      <c r="AJ458" s="299"/>
      <c r="AK458" s="290"/>
      <c r="AL458" s="291">
        <f>SUMIFS([6]BV_Data_An_Prec!$O:$O,[6]BV_Data_An_Prec!$V:$V,$V458)</f>
        <v>8025</v>
      </c>
      <c r="AM458" s="295"/>
      <c r="AN458" s="293">
        <f t="shared" si="167"/>
        <v>-888.8100000000004</v>
      </c>
      <c r="AO458" s="300">
        <f t="shared" si="168"/>
        <v>-0.11075514018691594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2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+INDEX('[6]Budget original'!$A$2:$AO$496,MATCH($A459,'[6]Budget original'!$A$2:$A$496,0),MATCH(F$2,'[6]Budget original'!$A$2:$AO$2,0))</f>
        <v>1000</v>
      </c>
      <c r="AA459" s="274"/>
      <c r="AB459" s="302"/>
      <c r="AC459" s="275">
        <f>+INDEX('[6]Budget révisé'!$A$2:$AO$496,MATCH($A459,'[6]Budget révisé'!$A$2:$A$496,0),MATCH(I$2,'[6]Budget révisé'!$A$2:$AO$2,0))</f>
        <v>1000</v>
      </c>
      <c r="AD459" s="303"/>
      <c r="AE459" s="302"/>
      <c r="AF459" s="275">
        <f>SUMIFS([6]BV_Data_An_Cour!$O:$O,[6]BV_Data_An_Cour!$V:$V,$V459)</f>
        <v>856.63</v>
      </c>
      <c r="AG459" s="276"/>
      <c r="AH459" s="277">
        <f t="shared" si="166"/>
        <v>-143.37</v>
      </c>
      <c r="AI459" s="304">
        <f t="shared" si="169"/>
        <v>-0.14337</v>
      </c>
      <c r="AJ459" s="303"/>
      <c r="AK459" s="274"/>
      <c r="AL459" s="275">
        <f>SUMIFS([6]BV_Data_An_Prec!$O:$O,[6]BV_Data_An_Prec!$V:$V,$V459)</f>
        <v>884</v>
      </c>
      <c r="AM459" s="279"/>
      <c r="AN459" s="277">
        <f t="shared" si="167"/>
        <v>-27.370000000000005</v>
      </c>
      <c r="AO459" s="280">
        <f t="shared" si="168"/>
        <v>-3.0961538461538467E-2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2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+INDEX('[6]Budget original'!$A$2:$AO$496,MATCH($A460,'[6]Budget original'!$A$2:$A$496,0),MATCH(F$2,'[6]Budget original'!$A$2:$AO$2,0))</f>
        <v>900</v>
      </c>
      <c r="AA460" s="290"/>
      <c r="AB460" s="298"/>
      <c r="AC460" s="291">
        <f>+INDEX('[6]Budget révisé'!$A$2:$AO$496,MATCH($A460,'[6]Budget révisé'!$A$2:$A$496,0),MATCH(I$2,'[6]Budget révisé'!$A$2:$AO$2,0))</f>
        <v>900</v>
      </c>
      <c r="AD460" s="299"/>
      <c r="AE460" s="298"/>
      <c r="AF460" s="291">
        <f>SUMIFS([6]BV_Data_An_Cour!$O:$O,[6]BV_Data_An_Cour!$V:$V,$V460)</f>
        <v>0</v>
      </c>
      <c r="AG460" s="292"/>
      <c r="AH460" s="293">
        <f t="shared" si="166"/>
        <v>-900</v>
      </c>
      <c r="AI460" s="348">
        <f t="shared" si="169"/>
        <v>-1</v>
      </c>
      <c r="AJ460" s="290"/>
      <c r="AK460" s="290"/>
      <c r="AL460" s="291">
        <f>SUMIFS([6]BV_Data_An_Prec!$O:$O,[6]BV_Data_An_Prec!$V:$V,$V460)</f>
        <v>900</v>
      </c>
      <c r="AM460" s="295"/>
      <c r="AN460" s="293">
        <f t="shared" si="167"/>
        <v>-900</v>
      </c>
      <c r="AO460" s="300">
        <f t="shared" si="168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2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v>0</v>
      </c>
      <c r="AA461" s="290"/>
      <c r="AB461" s="298"/>
      <c r="AC461" s="291">
        <v>0</v>
      </c>
      <c r="AD461" s="299"/>
      <c r="AE461" s="298"/>
      <c r="AF461" s="291">
        <v>0</v>
      </c>
      <c r="AG461" s="292"/>
      <c r="AH461" s="293">
        <v>0</v>
      </c>
      <c r="AI461" s="317">
        <v>0</v>
      </c>
      <c r="AJ461" s="290"/>
      <c r="AK461" s="290"/>
      <c r="AL461" s="291"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2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v>0</v>
      </c>
      <c r="AA462" s="290"/>
      <c r="AB462" s="298"/>
      <c r="AC462" s="291">
        <v>0</v>
      </c>
      <c r="AD462" s="299"/>
      <c r="AE462" s="298"/>
      <c r="AF462" s="291">
        <v>0</v>
      </c>
      <c r="AG462" s="292"/>
      <c r="AH462" s="293">
        <v>0</v>
      </c>
      <c r="AI462" s="317">
        <v>1</v>
      </c>
      <c r="AJ462" s="290"/>
      <c r="AK462" s="290"/>
      <c r="AL462" s="291"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2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v>0</v>
      </c>
      <c r="AA463" s="290"/>
      <c r="AB463" s="298"/>
      <c r="AC463" s="291">
        <v>0</v>
      </c>
      <c r="AD463" s="299"/>
      <c r="AE463" s="298"/>
      <c r="AF463" s="291">
        <v>0</v>
      </c>
      <c r="AG463" s="292"/>
      <c r="AH463" s="293">
        <v>0</v>
      </c>
      <c r="AI463" s="317">
        <v>2</v>
      </c>
      <c r="AJ463" s="290"/>
      <c r="AK463" s="290"/>
      <c r="AL463" s="291"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2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v>0</v>
      </c>
      <c r="AA464" s="290"/>
      <c r="AB464" s="298"/>
      <c r="AC464" s="291">
        <v>0</v>
      </c>
      <c r="AD464" s="299"/>
      <c r="AE464" s="298"/>
      <c r="AF464" s="291">
        <v>0</v>
      </c>
      <c r="AG464" s="292"/>
      <c r="AH464" s="293">
        <v>0</v>
      </c>
      <c r="AI464" s="317">
        <v>3</v>
      </c>
      <c r="AJ464" s="290"/>
      <c r="AK464" s="290"/>
      <c r="AL464" s="291"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2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7.7493178964240683E-2</v>
      </c>
      <c r="Y465" s="308"/>
      <c r="Z465" s="310">
        <f>SUM(Z452:Z464)</f>
        <v>49645.25</v>
      </c>
      <c r="AA465" s="309">
        <f>AC465/+AC406</f>
        <v>7.3250282374010864E-2</v>
      </c>
      <c r="AB465" s="308"/>
      <c r="AC465" s="310">
        <f>SUM(AC452:AC464)</f>
        <v>49645.25</v>
      </c>
      <c r="AD465" s="311">
        <f>AF465/AF406</f>
        <v>7.1624901860561169E-2</v>
      </c>
      <c r="AE465" s="308"/>
      <c r="AF465" s="310">
        <f>SUM(AF452:AF464)</f>
        <v>49121.98</v>
      </c>
      <c r="AG465" s="319"/>
      <c r="AH465" s="349">
        <f>SUM(AH452:AH464)</f>
        <v>-523.27000000000191</v>
      </c>
      <c r="AI465" s="309">
        <f>IF(AC465=0,0,AH465/AC465)</f>
        <v>-1.0540182595515219E-2</v>
      </c>
      <c r="AJ465" s="311">
        <f>IF($AL$406=0,0,AL465/$AL$406)</f>
        <v>8.8080186063241278E-2</v>
      </c>
      <c r="AK465" s="309"/>
      <c r="AL465" s="310">
        <f>SUM(AL452:AL464)</f>
        <v>48829.07</v>
      </c>
      <c r="AM465" s="320"/>
      <c r="AN465" s="313">
        <f>SUM(AN452:AN464)</f>
        <v>292.90999999999985</v>
      </c>
      <c r="AO465" s="343">
        <f>IF(AL465=0,0,AN465/AL465)</f>
        <v>5.9986807039331255E-3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2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70">AF466-AC466</f>
        <v>0</v>
      </c>
      <c r="AI466" s="294"/>
      <c r="AJ466" s="299"/>
      <c r="AK466" s="290"/>
      <c r="AL466" s="350"/>
      <c r="AM466" s="351"/>
      <c r="AN466" s="293">
        <f t="shared" ref="AN466:AN482" si="171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2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0.94672523419179677</v>
      </c>
      <c r="Y467" s="308"/>
      <c r="Z467" s="310">
        <f>Z418+Z432+Z451+Z465</f>
        <v>606510.29627328482</v>
      </c>
      <c r="AA467" s="309">
        <f>AC467/+AC406</f>
        <v>0.89646059981648374</v>
      </c>
      <c r="AB467" s="308"/>
      <c r="AC467" s="310">
        <f>AC418+AC432+AC451+AC465</f>
        <v>607574.59426299261</v>
      </c>
      <c r="AD467" s="311">
        <f>AF467/AF406</f>
        <v>0.82492346964627061</v>
      </c>
      <c r="AE467" s="308"/>
      <c r="AF467" s="310">
        <f>AF418+AF432+AF451+AF465</f>
        <v>565751.19999999995</v>
      </c>
      <c r="AG467" s="319"/>
      <c r="AH467" s="313">
        <f t="shared" si="170"/>
        <v>-41823.394262992661</v>
      </c>
      <c r="AI467" s="309">
        <f>AH467/AC467</f>
        <v>-6.8836641060882039E-2</v>
      </c>
      <c r="AJ467" s="311">
        <f>IF($AL$406=0,0,AL467/$AL$406)</f>
        <v>1.1491471996217695</v>
      </c>
      <c r="AK467" s="309"/>
      <c r="AL467" s="310">
        <f>AL418+AL432+AL451+AL465</f>
        <v>637053.48</v>
      </c>
      <c r="AM467" s="320"/>
      <c r="AN467" s="313">
        <f t="shared" si="171"/>
        <v>-71302.280000000028</v>
      </c>
      <c r="AO467" s="288">
        <f>IF(AL467=0,0,AN467/AL467)</f>
        <v>-0.1119251087051593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2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+INDEX('[6]Budget original'!$A$2:$AO$496,MATCH($A468,'[6]Budget original'!$A$2:$A$496,0),MATCH(F$2,'[6]Budget original'!$A$2:$AO$2,0))</f>
        <v>0</v>
      </c>
      <c r="AA468" s="353"/>
      <c r="AB468" s="354"/>
      <c r="AC468" s="324">
        <f>+INDEX('[6]Budget révisé'!$A$2:$AO$496,MATCH($A468,'[6]Budget révisé'!$A$2:$A$496,0),MATCH(I$2,'[6]Budget révisé'!$A$2:$AO$2,0))</f>
        <v>0</v>
      </c>
      <c r="AD468" s="355"/>
      <c r="AE468" s="354"/>
      <c r="AF468" s="291">
        <f>-SUMIFS([6]BV_Data_An_Cour!$O:$O,[6]BV_Data_An_Cour!$V:$V,$V468)</f>
        <v>6192.67</v>
      </c>
      <c r="AG468" s="356"/>
      <c r="AH468" s="293">
        <f t="shared" si="170"/>
        <v>6192.67</v>
      </c>
      <c r="AI468" s="348" t="e">
        <f t="shared" ref="AI468:AI478" si="172">IF(AH468=0,0,AH468/AC468)</f>
        <v>#DIV/0!</v>
      </c>
      <c r="AJ468" s="355"/>
      <c r="AK468" s="353"/>
      <c r="AL468" s="357">
        <f>-SUMIFS([6]BV_Data_An_Prec!$O:$O,[6]BV_Data_An_Prec!$V:$V,$V468)</f>
        <v>19268.11</v>
      </c>
      <c r="AM468" s="358"/>
      <c r="AN468" s="293">
        <f t="shared" si="171"/>
        <v>-13075.44</v>
      </c>
      <c r="AO468" s="300">
        <f>IF(AL468=0,0,AN468/AL468)</f>
        <v>-0.67860521867479473</v>
      </c>
      <c r="AP468" s="257"/>
      <c r="AQ468" s="257" t="s">
        <v>254</v>
      </c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2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 t="shared" ref="Z469:Z479" si="173">+SUMIF($C:$C,$V469,F:F)</f>
        <v>80053.124249999993</v>
      </c>
      <c r="AA469" s="344"/>
      <c r="AB469" s="345"/>
      <c r="AC469" s="291">
        <f t="shared" ref="AC469:AC479" si="174">+SUMIF($C:$C,$V469,I:I)</f>
        <v>81318.786293478261</v>
      </c>
      <c r="AD469" s="359"/>
      <c r="AE469" s="345"/>
      <c r="AF469" s="291">
        <f t="shared" ref="AF469:AF479" si="175">+SUMIF($C:$C,$V469,L:L)</f>
        <v>102678</v>
      </c>
      <c r="AG469" s="360"/>
      <c r="AH469" s="293">
        <f t="shared" si="170"/>
        <v>21359.213706521739</v>
      </c>
      <c r="AI469" s="317">
        <f>IF(AC469=0,0,AH469/AC469)</f>
        <v>0.26266026191582181</v>
      </c>
      <c r="AJ469" s="359"/>
      <c r="AK469" s="344"/>
      <c r="AL469" s="361">
        <f t="shared" ref="AL469:AL479" si="176">+SUMIF($C:$C,$V469,Q:Q)</f>
        <v>72454</v>
      </c>
      <c r="AM469" s="362"/>
      <c r="AN469" s="293">
        <f t="shared" si="171"/>
        <v>30224</v>
      </c>
      <c r="AO469" s="300">
        <f>IF(AL469=0,0,AN469/AL469)</f>
        <v>0.41714743147376265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25"/>
        <v>Programme neuf 1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200</v>
      </c>
      <c r="W470" s="290"/>
      <c r="X470" s="290"/>
      <c r="Y470" s="290"/>
      <c r="Z470" s="291">
        <f t="shared" si="173"/>
        <v>49893.40125000001</v>
      </c>
      <c r="AA470" s="344"/>
      <c r="AB470" s="345"/>
      <c r="AC470" s="291">
        <f t="shared" si="174"/>
        <v>9354.2258593001643</v>
      </c>
      <c r="AD470" s="359"/>
      <c r="AE470" s="345"/>
      <c r="AF470" s="291">
        <f t="shared" si="175"/>
        <v>0</v>
      </c>
      <c r="AG470" s="360"/>
      <c r="AH470" s="293">
        <f t="shared" si="170"/>
        <v>-9354.2258593001643</v>
      </c>
      <c r="AI470" s="317">
        <f t="shared" si="172"/>
        <v>-1</v>
      </c>
      <c r="AJ470" s="359"/>
      <c r="AK470" s="344"/>
      <c r="AL470" s="361">
        <f t="shared" si="176"/>
        <v>45750</v>
      </c>
      <c r="AM470" s="362"/>
      <c r="AN470" s="293">
        <f t="shared" si="171"/>
        <v>-45750</v>
      </c>
      <c r="AO470" s="300">
        <f t="shared" ref="AO470:AO479" si="177">IF(AL470=0,0,AN470/AL470)</f>
        <v>-1</v>
      </c>
      <c r="AP470" s="257"/>
      <c r="AQ470" s="257" t="s">
        <v>251</v>
      </c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25"/>
        <v>Programme neuf 2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197</v>
      </c>
      <c r="W471" s="290"/>
      <c r="X471" s="290"/>
      <c r="Y471" s="290"/>
      <c r="Z471" s="291">
        <f t="shared" si="173"/>
        <v>0</v>
      </c>
      <c r="AA471" s="344"/>
      <c r="AB471" s="345"/>
      <c r="AC471" s="291">
        <f t="shared" si="174"/>
        <v>0</v>
      </c>
      <c r="AD471" s="359"/>
      <c r="AE471" s="345"/>
      <c r="AF471" s="291">
        <f t="shared" si="175"/>
        <v>0</v>
      </c>
      <c r="AG471" s="360"/>
      <c r="AH471" s="293">
        <f t="shared" si="170"/>
        <v>0</v>
      </c>
      <c r="AI471" s="317">
        <f t="shared" si="172"/>
        <v>0</v>
      </c>
      <c r="AJ471" s="359"/>
      <c r="AK471" s="344"/>
      <c r="AL471" s="361">
        <f t="shared" si="176"/>
        <v>0</v>
      </c>
      <c r="AM471" s="362"/>
      <c r="AN471" s="293">
        <f t="shared" si="171"/>
        <v>0</v>
      </c>
      <c r="AO471" s="300">
        <f t="shared" si="177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2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 t="shared" si="173"/>
        <v>0</v>
      </c>
      <c r="AA472" s="344"/>
      <c r="AB472" s="345"/>
      <c r="AC472" s="291">
        <f t="shared" si="174"/>
        <v>0</v>
      </c>
      <c r="AD472" s="359"/>
      <c r="AE472" s="345"/>
      <c r="AF472" s="291">
        <f t="shared" si="175"/>
        <v>0</v>
      </c>
      <c r="AG472" s="360"/>
      <c r="AH472" s="293">
        <f t="shared" si="170"/>
        <v>0</v>
      </c>
      <c r="AI472" s="317">
        <f t="shared" si="172"/>
        <v>0</v>
      </c>
      <c r="AJ472" s="359"/>
      <c r="AK472" s="344"/>
      <c r="AL472" s="361">
        <f t="shared" si="176"/>
        <v>0</v>
      </c>
      <c r="AM472" s="362"/>
      <c r="AN472" s="293">
        <f t="shared" si="171"/>
        <v>0</v>
      </c>
      <c r="AO472" s="300">
        <f t="shared" si="177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25"/>
        <v>Programme used 1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216</v>
      </c>
      <c r="W473" s="290"/>
      <c r="X473" s="290"/>
      <c r="Y473" s="290"/>
      <c r="Z473" s="291">
        <f t="shared" si="173"/>
        <v>0</v>
      </c>
      <c r="AA473" s="344"/>
      <c r="AB473" s="345"/>
      <c r="AC473" s="291">
        <f t="shared" si="174"/>
        <v>0</v>
      </c>
      <c r="AD473" s="359"/>
      <c r="AE473" s="345"/>
      <c r="AF473" s="291">
        <f t="shared" si="175"/>
        <v>0</v>
      </c>
      <c r="AG473" s="360"/>
      <c r="AH473" s="293">
        <f t="shared" si="170"/>
        <v>0</v>
      </c>
      <c r="AI473" s="317">
        <f t="shared" si="172"/>
        <v>0</v>
      </c>
      <c r="AJ473" s="359"/>
      <c r="AK473" s="344"/>
      <c r="AL473" s="361">
        <f t="shared" si="176"/>
        <v>0</v>
      </c>
      <c r="AM473" s="362"/>
      <c r="AN473" s="293">
        <f t="shared" si="171"/>
        <v>0</v>
      </c>
      <c r="AO473" s="300">
        <f t="shared" si="177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2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 t="shared" si="173"/>
        <v>0</v>
      </c>
      <c r="AA474" s="344"/>
      <c r="AB474" s="345"/>
      <c r="AC474" s="291">
        <f t="shared" si="174"/>
        <v>0</v>
      </c>
      <c r="AD474" s="359"/>
      <c r="AE474" s="345"/>
      <c r="AF474" s="291">
        <f t="shared" si="175"/>
        <v>0</v>
      </c>
      <c r="AG474" s="360"/>
      <c r="AH474" s="293">
        <f t="shared" si="170"/>
        <v>0</v>
      </c>
      <c r="AI474" s="317">
        <f t="shared" si="172"/>
        <v>0</v>
      </c>
      <c r="AJ474" s="359"/>
      <c r="AK474" s="344"/>
      <c r="AL474" s="361">
        <f t="shared" si="176"/>
        <v>0</v>
      </c>
      <c r="AM474" s="362"/>
      <c r="AN474" s="293">
        <f t="shared" si="171"/>
        <v>0</v>
      </c>
      <c r="AO474" s="300">
        <f t="shared" si="177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2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 t="shared" si="173"/>
        <v>0</v>
      </c>
      <c r="AA475" s="344"/>
      <c r="AB475" s="345"/>
      <c r="AC475" s="291">
        <f t="shared" si="174"/>
        <v>0</v>
      </c>
      <c r="AD475" s="359"/>
      <c r="AE475" s="345"/>
      <c r="AF475" s="291">
        <f t="shared" si="175"/>
        <v>0</v>
      </c>
      <c r="AG475" s="360"/>
      <c r="AH475" s="293">
        <f t="shared" si="170"/>
        <v>0</v>
      </c>
      <c r="AI475" s="317">
        <f t="shared" si="172"/>
        <v>0</v>
      </c>
      <c r="AJ475" s="359"/>
      <c r="AK475" s="344"/>
      <c r="AL475" s="361">
        <f t="shared" si="176"/>
        <v>0</v>
      </c>
      <c r="AM475" s="362"/>
      <c r="AN475" s="293">
        <f t="shared" si="171"/>
        <v>0</v>
      </c>
      <c r="AO475" s="300">
        <f t="shared" si="177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hidden="1" customHeight="1">
      <c r="A476" t="str">
        <f t="shared" si="125"/>
        <v>[...]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21</v>
      </c>
      <c r="W476" s="290"/>
      <c r="X476" s="290"/>
      <c r="Y476" s="290"/>
      <c r="Z476" s="291">
        <f t="shared" si="173"/>
        <v>0</v>
      </c>
      <c r="AA476" s="344"/>
      <c r="AB476" s="345"/>
      <c r="AC476" s="291">
        <f t="shared" si="174"/>
        <v>0</v>
      </c>
      <c r="AD476" s="359"/>
      <c r="AE476" s="345"/>
      <c r="AF476" s="291">
        <f t="shared" si="175"/>
        <v>0</v>
      </c>
      <c r="AG476" s="360"/>
      <c r="AH476" s="293">
        <f t="shared" si="170"/>
        <v>0</v>
      </c>
      <c r="AI476" s="317">
        <f t="shared" si="172"/>
        <v>0</v>
      </c>
      <c r="AJ476" s="359"/>
      <c r="AK476" s="344"/>
      <c r="AL476" s="361">
        <f t="shared" si="176"/>
        <v>0</v>
      </c>
      <c r="AM476" s="362"/>
      <c r="AN476" s="293">
        <f t="shared" si="171"/>
        <v>0</v>
      </c>
      <c r="AO476" s="300">
        <f t="shared" si="177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2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 t="shared" si="173"/>
        <v>0</v>
      </c>
      <c r="AA477" s="344"/>
      <c r="AB477" s="345"/>
      <c r="AC477" s="291">
        <f t="shared" si="174"/>
        <v>0</v>
      </c>
      <c r="AD477" s="359"/>
      <c r="AE477" s="345"/>
      <c r="AF477" s="291">
        <f t="shared" si="175"/>
        <v>0</v>
      </c>
      <c r="AG477" s="360"/>
      <c r="AH477" s="293">
        <f t="shared" si="170"/>
        <v>0</v>
      </c>
      <c r="AI477" s="317">
        <f t="shared" si="172"/>
        <v>0</v>
      </c>
      <c r="AJ477" s="359"/>
      <c r="AK477" s="344"/>
      <c r="AL477" s="361">
        <f t="shared" si="176"/>
        <v>0</v>
      </c>
      <c r="AM477" s="362"/>
      <c r="AN477" s="293">
        <f t="shared" si="171"/>
        <v>0</v>
      </c>
      <c r="AO477" s="300">
        <f t="shared" si="177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2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 t="shared" si="173"/>
        <v>0</v>
      </c>
      <c r="AA478" s="344"/>
      <c r="AB478" s="345"/>
      <c r="AC478" s="291">
        <f t="shared" si="174"/>
        <v>0</v>
      </c>
      <c r="AD478" s="359"/>
      <c r="AE478" s="345"/>
      <c r="AF478" s="291">
        <f t="shared" si="175"/>
        <v>0</v>
      </c>
      <c r="AG478" s="360"/>
      <c r="AH478" s="293">
        <f t="shared" si="170"/>
        <v>0</v>
      </c>
      <c r="AI478" s="317">
        <f t="shared" si="172"/>
        <v>0</v>
      </c>
      <c r="AJ478" s="359"/>
      <c r="AK478" s="344"/>
      <c r="AL478" s="361">
        <f t="shared" si="176"/>
        <v>0</v>
      </c>
      <c r="AM478" s="362"/>
      <c r="AN478" s="293">
        <f t="shared" si="171"/>
        <v>0</v>
      </c>
      <c r="AO478" s="300">
        <f t="shared" si="177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2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 t="shared" si="173"/>
        <v>41423.900963995373</v>
      </c>
      <c r="AA479" s="344"/>
      <c r="AB479" s="345"/>
      <c r="AC479" s="291">
        <f t="shared" si="174"/>
        <v>41423.900963995366</v>
      </c>
      <c r="AD479" s="359"/>
      <c r="AE479" s="345"/>
      <c r="AF479" s="291">
        <f t="shared" si="175"/>
        <v>38988</v>
      </c>
      <c r="AG479" s="360"/>
      <c r="AH479" s="293">
        <f t="shared" si="170"/>
        <v>-2435.9009639953656</v>
      </c>
      <c r="AI479" s="317">
        <f>IF(AH479=0,0,AH479/AC479)</f>
        <v>-5.8804238792299901E-2</v>
      </c>
      <c r="AJ479" s="359"/>
      <c r="AK479" s="344"/>
      <c r="AL479" s="361">
        <f t="shared" si="176"/>
        <v>23127</v>
      </c>
      <c r="AM479" s="362"/>
      <c r="AN479" s="293">
        <f t="shared" si="171"/>
        <v>15861</v>
      </c>
      <c r="AO479" s="300">
        <f t="shared" si="177"/>
        <v>0.6858217667661175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2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0.26749868571822361</v>
      </c>
      <c r="Y480" s="341"/>
      <c r="Z480" s="310">
        <f>SUM(Z468:Z479)</f>
        <v>171370.42646399536</v>
      </c>
      <c r="AA480" s="309">
        <f>AC480/+AC406</f>
        <v>0.19490557881245155</v>
      </c>
      <c r="AB480" s="341"/>
      <c r="AC480" s="310">
        <f>SUM(AC468:AC479)</f>
        <v>132096.91311677379</v>
      </c>
      <c r="AD480" s="309">
        <f>AF480/+AF406</f>
        <v>0.2155931566273</v>
      </c>
      <c r="AE480" s="341"/>
      <c r="AF480" s="310">
        <f>SUM(AF468:AF479)</f>
        <v>147858.66999999998</v>
      </c>
      <c r="AG480" s="319"/>
      <c r="AH480" s="313">
        <f t="shared" si="170"/>
        <v>15761.75688322619</v>
      </c>
      <c r="AI480" s="309">
        <f>AH480/AC480</f>
        <v>0.11931964579136517</v>
      </c>
      <c r="AJ480" s="363"/>
      <c r="AK480" s="364"/>
      <c r="AL480" s="310">
        <f>SUM(AL468:AL479)</f>
        <v>160599.10999999999</v>
      </c>
      <c r="AM480" s="365"/>
      <c r="AN480" s="313">
        <f t="shared" si="171"/>
        <v>-12740.440000000002</v>
      </c>
      <c r="AO480" s="343">
        <f>IF(AL480=0,0,AN480/AL480)</f>
        <v>-7.93307011477212E-2</v>
      </c>
      <c r="AP480" s="257"/>
      <c r="AQ480" s="257"/>
      <c r="AR480" s="257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2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/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71"/>
        <v>0</v>
      </c>
      <c r="AO481" s="379">
        <f t="shared" ref="AO481" si="178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2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6.6925627107895805E-2</v>
      </c>
      <c r="Z482" s="384">
        <f>Z406-Z467+Z480</f>
        <v>205500.38606289332</v>
      </c>
      <c r="AA482" s="382" t="s">
        <v>187</v>
      </c>
      <c r="AB482" s="383">
        <f>AC482/AC405</f>
        <v>6.5873764492772033E-2</v>
      </c>
      <c r="AC482" s="384">
        <f>AC406-AC467+AC480</f>
        <v>202270.55942048362</v>
      </c>
      <c r="AD482" s="382" t="s">
        <v>187</v>
      </c>
      <c r="AE482" s="383">
        <f>AF482/AF405</f>
        <v>4.6599209299099144E-2</v>
      </c>
      <c r="AF482" s="385">
        <f>AF406-AF467+AF480</f>
        <v>267930.12000000017</v>
      </c>
      <c r="AG482" s="386"/>
      <c r="AH482" s="386">
        <f>AF482-AC482</f>
        <v>65659.560579516547</v>
      </c>
      <c r="AI482" s="387">
        <f>AH482/AC482</f>
        <v>0.32461254256494287</v>
      </c>
      <c r="AJ482" s="388" t="s">
        <v>187</v>
      </c>
      <c r="AK482" s="383">
        <f>IF($AL$405=0,0,AL482/$AL$405)</f>
        <v>1.5037619408345394E-2</v>
      </c>
      <c r="AL482" s="385">
        <f>AL406-AL467+AL480</f>
        <v>77916.279999999912</v>
      </c>
      <c r="AM482" s="389"/>
      <c r="AN482" s="385">
        <f t="shared" si="171"/>
        <v>190013.84000000026</v>
      </c>
      <c r="AO482" s="390">
        <f>IF(AL482=0,0,AN482/AL482)</f>
        <v>2.4386924016393041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2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79">+U484&amp;V484</f>
        <v>Volks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>Réalisé, Mai 2021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79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79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79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79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6.6925627107895805E-2</v>
      </c>
      <c r="Z488" s="396">
        <f>Z482</f>
        <v>205500.38606289332</v>
      </c>
      <c r="AA488" s="394" t="s">
        <v>187</v>
      </c>
      <c r="AB488" s="395">
        <f>AC488/AC405</f>
        <v>6.5873764492772033E-2</v>
      </c>
      <c r="AC488" s="396">
        <f>AC482</f>
        <v>202270.55942048362</v>
      </c>
      <c r="AD488" s="394" t="s">
        <v>187</v>
      </c>
      <c r="AE488" s="395">
        <f>AF488/AF405</f>
        <v>4.6599209299099144E-2</v>
      </c>
      <c r="AF488" s="396">
        <f>AF482</f>
        <v>267930.12000000017</v>
      </c>
      <c r="AG488" s="397"/>
      <c r="AH488" s="386">
        <f>AF488-AC488</f>
        <v>65659.560579516547</v>
      </c>
      <c r="AI488" s="387">
        <f>AH488/AC488</f>
        <v>0.32461254256494287</v>
      </c>
      <c r="AJ488" s="394" t="s">
        <v>187</v>
      </c>
      <c r="AK488" s="395">
        <f>IF($AL$405=0,0,AL488/$AL$405)</f>
        <v>1.5037619408345394E-2</v>
      </c>
      <c r="AL488" s="398">
        <f>AL482</f>
        <v>77916.279999999912</v>
      </c>
      <c r="AM488" s="399"/>
      <c r="AN488" s="400">
        <f>AF488-AL488</f>
        <v>190013.84000000026</v>
      </c>
      <c r="AO488" s="401">
        <f>IF(AL488=0,0,AN488/AL488)</f>
        <v>2.4386924016393041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79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/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79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+INDEX('[6]Budget original'!$A$2:$AO$496,MATCH($A490,'[6]Budget original'!$A$2:$A$496,0),MATCH(F$2,'[6]Budget original'!$A$2:$AO$2,0))</f>
        <v>9167</v>
      </c>
      <c r="AA490" s="290"/>
      <c r="AB490" s="298"/>
      <c r="AC490" s="291">
        <f>+INDEX('[6]Budget révisé'!$A$2:$AO$496,MATCH($A490,'[6]Budget révisé'!$A$2:$A$496,0),MATCH(I$2,'[6]Budget révisé'!$A$2:$AO$2,0))</f>
        <v>9167</v>
      </c>
      <c r="AD490" s="290"/>
      <c r="AE490" s="298"/>
      <c r="AF490" s="291">
        <f>SUMIFS([6]BV_Data_An_Cour!$O:$O,[6]BV_Data_An_Cour!$V:$V,$V490)</f>
        <v>-14301</v>
      </c>
      <c r="AG490" s="290"/>
      <c r="AH490" s="293">
        <f t="shared" ref="AH490:AH496" si="180">AF490-AC490</f>
        <v>-23468</v>
      </c>
      <c r="AI490" s="317">
        <f>IF(AC490=0,0,AH490/AC490)</f>
        <v>-2.5600523617323008</v>
      </c>
      <c r="AJ490" s="290"/>
      <c r="AK490" s="290"/>
      <c r="AL490" s="291">
        <f>SUMIFS([6]BV_Data_An_Prec!$O:$O,[6]BV_Data_An_Prec!$V:$V,$V490)</f>
        <v>9000</v>
      </c>
      <c r="AM490" s="295"/>
      <c r="AN490" s="293">
        <f t="shared" ref="AN490:AN496" si="181">AF490-AL490</f>
        <v>-23301</v>
      </c>
      <c r="AO490" s="300">
        <f>IF(AL490=0,0,AN490/AL490)</f>
        <v>-2.589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79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+INDEX('[6]Budget original'!$A$2:$AO$496,MATCH($A491,'[6]Budget original'!$A$2:$A$496,0),MATCH(F$2,'[6]Budget original'!$A$2:$AO$2,0))</f>
        <v>456.25</v>
      </c>
      <c r="AA491" s="11"/>
      <c r="AB491" s="11"/>
      <c r="AC491" s="291">
        <f>+INDEX('[6]Budget révisé'!$A$2:$AO$496,MATCH($A491,'[6]Budget révisé'!$A$2:$A$496,0),MATCH(I$2,'[6]Budget révisé'!$A$2:$AO$2,0))</f>
        <v>456.25</v>
      </c>
      <c r="AD491" s="11"/>
      <c r="AE491" s="14"/>
      <c r="AF491" s="291">
        <f>SUMIFS([6]BV_Data_An_Cour!$O:$O,[6]BV_Data_An_Cour!$V:$V,$V491)</f>
        <v>268.04000000000002</v>
      </c>
      <c r="AG491" s="11"/>
      <c r="AH491" s="293">
        <f t="shared" si="180"/>
        <v>-188.20999999999998</v>
      </c>
      <c r="AI491" s="317">
        <f t="shared" ref="AI491:AI496" si="182">IF(AC491=0,0,AH491/AC491)</f>
        <v>-0.41251506849315062</v>
      </c>
      <c r="AJ491" s="11"/>
      <c r="AK491" s="11"/>
      <c r="AL491" s="291">
        <f>SUMIFS([6]BV_Data_An_Prec!$O:$O,[6]BV_Data_An_Prec!$V:$V,$V491)</f>
        <v>0</v>
      </c>
      <c r="AM491" s="408"/>
      <c r="AN491" s="293">
        <f t="shared" si="181"/>
        <v>268.04000000000002</v>
      </c>
      <c r="AO491" s="300">
        <f t="shared" ref="AO491:AO496" si="183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79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+INDEX('[6]Budget original'!$A$2:$AO$496,MATCH($A492,'[6]Budget original'!$A$2:$A$496,0),MATCH(F$2,'[6]Budget original'!$A$2:$AO$2,0))</f>
        <v>579.44137392557525</v>
      </c>
      <c r="AA492" s="11"/>
      <c r="AB492" s="11"/>
      <c r="AC492" s="291">
        <f>+INDEX('[6]Budget révisé'!$A$2:$AO$496,MATCH($A492,'[6]Budget révisé'!$A$2:$A$496,0),MATCH(I$2,'[6]Budget révisé'!$A$2:$AO$2,0))</f>
        <v>579.44137392557525</v>
      </c>
      <c r="AD492" s="11"/>
      <c r="AE492" s="14"/>
      <c r="AF492" s="291">
        <f>SUMIFS([6]BV_Data_An_Cour!$O:$O,[6]BV_Data_An_Cour!$V:$V,$V492)</f>
        <v>664.39</v>
      </c>
      <c r="AG492" s="11"/>
      <c r="AH492" s="293">
        <f t="shared" si="180"/>
        <v>84.948626074424737</v>
      </c>
      <c r="AI492" s="317">
        <f t="shared" si="182"/>
        <v>0.14660435015007356</v>
      </c>
      <c r="AJ492" s="11"/>
      <c r="AK492" s="11"/>
      <c r="AL492" s="291">
        <f>SUMIFS([6]BV_Data_An_Prec!$O:$O,[6]BV_Data_An_Prec!$V:$V,$V492)</f>
        <v>4607.6400000000003</v>
      </c>
      <c r="AM492" s="408"/>
      <c r="AN492" s="293">
        <f t="shared" si="181"/>
        <v>-3943.2500000000005</v>
      </c>
      <c r="AO492" s="300">
        <f t="shared" si="183"/>
        <v>-0.8558068772733981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 thickBot="1">
      <c r="A493" t="str">
        <f t="shared" si="179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+INDEX('[6]Budget original'!$A$2:$AO$496,MATCH($A493,'[6]Budget original'!$A$2:$A$496,0),MATCH(F$2,'[6]Budget original'!$A$2:$AO$2,0))</f>
        <v>0</v>
      </c>
      <c r="AA493" s="11"/>
      <c r="AB493" s="11"/>
      <c r="AC493" s="291">
        <f>+INDEX('[6]Budget révisé'!$A$2:$AO$496,MATCH($A493,'[6]Budget révisé'!$A$2:$A$496,0),MATCH(I$2,'[6]Budget révisé'!$A$2:$AO$2,0))</f>
        <v>0</v>
      </c>
      <c r="AD493" s="11"/>
      <c r="AE493" s="14"/>
      <c r="AF493" s="291">
        <f>SUMIFS([6]BV_Data_An_Cour!$O:$O,[6]BV_Data_An_Cour!$V:$V,$V493)</f>
        <v>0</v>
      </c>
      <c r="AG493" s="11"/>
      <c r="AH493" s="293">
        <f t="shared" si="180"/>
        <v>0</v>
      </c>
      <c r="AI493" s="317">
        <f t="shared" si="182"/>
        <v>0</v>
      </c>
      <c r="AJ493" s="11"/>
      <c r="AK493" s="11"/>
      <c r="AL493" s="291">
        <f>SUMIFS([6]BV_Data_An_Prec!$O:$O,[6]BV_Data_An_Prec!$V:$V,$V493)</f>
        <v>0</v>
      </c>
      <c r="AM493" s="408"/>
      <c r="AN493" s="293">
        <f t="shared" si="181"/>
        <v>0</v>
      </c>
      <c r="AO493" s="300">
        <f t="shared" si="183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hidden="1" customHeight="1">
      <c r="A494" t="str">
        <f t="shared" si="179"/>
        <v>[...]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21</v>
      </c>
      <c r="W494" s="14"/>
      <c r="X494" s="14"/>
      <c r="Y494" s="14"/>
      <c r="Z494" s="291">
        <f>+INDEX('[6]Budget original'!$A$2:$AO$496,MATCH($A494,'[6]Budget original'!$A$2:$A$496,0),MATCH(F$2,'[6]Budget original'!$A$2:$AO$2,0))</f>
        <v>0</v>
      </c>
      <c r="AA494" s="11"/>
      <c r="AB494" s="11"/>
      <c r="AC494" s="291">
        <f>+INDEX('[6]Budget révisé'!$A$2:$AO$496,MATCH($A494,'[6]Budget révisé'!$A$2:$A$496,0),MATCH(I$2,'[6]Budget révisé'!$A$2:$AO$2,0))</f>
        <v>0</v>
      </c>
      <c r="AD494" s="11"/>
      <c r="AE494" s="14"/>
      <c r="AF494" s="291">
        <f>SUMIFS([6]BV_Data_An_Cour!$O:$O,[6]BV_Data_An_Cour!$V:$V,$V494)</f>
        <v>0</v>
      </c>
      <c r="AG494" s="11"/>
      <c r="AH494" s="293">
        <f t="shared" si="180"/>
        <v>0</v>
      </c>
      <c r="AI494" s="317">
        <f t="shared" si="182"/>
        <v>0</v>
      </c>
      <c r="AJ494" s="11"/>
      <c r="AK494" s="11"/>
      <c r="AL494" s="291">
        <f>SUMIFS([6]BV_Data_An_Prec!$O:$O,[6]BV_Data_An_Prec!$V:$V,$V494)</f>
        <v>0</v>
      </c>
      <c r="AM494" s="408"/>
      <c r="AN494" s="293">
        <f t="shared" si="181"/>
        <v>0</v>
      </c>
      <c r="AO494" s="300">
        <f t="shared" si="183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>
      <c r="A495" t="str">
        <f t="shared" si="179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>+INDEX('[6]Budget original'!$A$2:$AO$496,MATCH($A495,'[6]Budget original'!$A$2:$A$496,0),MATCH(F$2,'[6]Budget original'!$A$2:$AO$2,0))</f>
        <v>0</v>
      </c>
      <c r="AA495" s="11"/>
      <c r="AB495" s="11"/>
      <c r="AC495" s="291">
        <f>+INDEX('[6]Budget révisé'!$A$2:$AO$496,MATCH($A495,'[6]Budget révisé'!$A$2:$A$496,0),MATCH(I$2,'[6]Budget révisé'!$A$2:$AO$2,0))</f>
        <v>0</v>
      </c>
      <c r="AD495" s="11"/>
      <c r="AE495" s="14"/>
      <c r="AF495" s="291">
        <f>SUMIFS([6]BV_Data_An_Cour!$O:$O,[6]BV_Data_An_Cour!$V:$V,$V495)</f>
        <v>0</v>
      </c>
      <c r="AG495" s="11"/>
      <c r="AH495" s="293">
        <f t="shared" si="180"/>
        <v>0</v>
      </c>
      <c r="AI495" s="317">
        <f t="shared" si="182"/>
        <v>0</v>
      </c>
      <c r="AJ495" s="11"/>
      <c r="AK495" s="11"/>
      <c r="AL495" s="291">
        <f>SUMIFS([6]BV_Data_An_Prec!$O:$O,[6]BV_Data_An_Prec!$V:$V,$V495)</f>
        <v>0</v>
      </c>
      <c r="AM495" s="408"/>
      <c r="AN495" s="293">
        <f t="shared" si="181"/>
        <v>0</v>
      </c>
      <c r="AO495" s="300">
        <f t="shared" si="183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>
      <c r="A496" t="str">
        <f t="shared" si="179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>+INDEX('[6]Budget original'!$A$2:$AO$496,MATCH($A496,'[6]Budget original'!$A$2:$A$496,0),MATCH(F$2,'[6]Budget original'!$A$2:$AO$2,0))</f>
        <v>0</v>
      </c>
      <c r="AA496" s="11"/>
      <c r="AB496" s="11"/>
      <c r="AC496" s="291">
        <f>+INDEX('[6]Budget révisé'!$A$2:$AO$496,MATCH($A496,'[6]Budget révisé'!$A$2:$A$496,0),MATCH(I$2,'[6]Budget révisé'!$A$2:$AO$2,0))</f>
        <v>0</v>
      </c>
      <c r="AD496" s="11"/>
      <c r="AE496" s="14"/>
      <c r="AF496" s="291">
        <f>SUMIFS([6]BV_Data_An_Cour!$O:$O,[6]BV_Data_An_Cour!$V:$V,$V496)</f>
        <v>0</v>
      </c>
      <c r="AG496" s="11"/>
      <c r="AH496" s="293">
        <f t="shared" si="180"/>
        <v>0</v>
      </c>
      <c r="AI496" s="317">
        <f t="shared" si="182"/>
        <v>0</v>
      </c>
      <c r="AJ496" s="11"/>
      <c r="AK496" s="11"/>
      <c r="AL496" s="291">
        <f>SUMIFS([6]BV_Data_An_Prec!$O:$O,[6]BV_Data_An_Prec!$V:$V,$V496)</f>
        <v>0</v>
      </c>
      <c r="AM496" s="408"/>
      <c r="AN496" s="293">
        <f t="shared" si="181"/>
        <v>0</v>
      </c>
      <c r="AO496" s="300">
        <f t="shared" si="183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79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6.360290090056249E-2</v>
      </c>
      <c r="Z497" s="384">
        <f>Z488-Z490-Z491-Z492-Z496</f>
        <v>195297.69468896775</v>
      </c>
      <c r="AA497" s="382" t="s">
        <v>187</v>
      </c>
      <c r="AB497" s="383">
        <f>AC497/AC405</f>
        <v>6.2551038285438731E-2</v>
      </c>
      <c r="AC497" s="384">
        <f>AC488-AC490-AC491-AC492-AC496</f>
        <v>192067.86804655805</v>
      </c>
      <c r="AD497" s="382" t="s">
        <v>187</v>
      </c>
      <c r="AE497" s="383">
        <f>AF497/AF405</f>
        <v>4.8924311051226368E-2</v>
      </c>
      <c r="AF497" s="385">
        <f>AF488-AF490-AF491-AF492-AF496</f>
        <v>281298.69000000018</v>
      </c>
      <c r="AG497" s="386"/>
      <c r="AH497" s="386">
        <f>AF497-AC497</f>
        <v>89230.821953442122</v>
      </c>
      <c r="AI497" s="387">
        <f>AH497/AC497</f>
        <v>0.46457964500242277</v>
      </c>
      <c r="AJ497" s="388" t="s">
        <v>187</v>
      </c>
      <c r="AK497" s="383">
        <f>IF($AL$405=0,0,AL497/$AL$405)</f>
        <v>1.2411383769711499E-2</v>
      </c>
      <c r="AL497" s="385">
        <f>AL488-AL490-AL491-AL492-AL496</f>
        <v>64308.639999999912</v>
      </c>
      <c r="AM497" s="389"/>
      <c r="AN497" s="385">
        <f>AF497-AL497</f>
        <v>216990.05000000028</v>
      </c>
      <c r="AO497" s="409">
        <f>IF(AL497=0,0,AN497/AL497)</f>
        <v>3.3741974639799657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79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>
        <v>195298</v>
      </c>
      <c r="AA500" s="257"/>
      <c r="AB500" s="257"/>
      <c r="AC500" s="257">
        <v>192068</v>
      </c>
      <c r="AD500" s="257"/>
      <c r="AE500" s="257"/>
      <c r="AF500" s="504">
        <v>281298.69</v>
      </c>
      <c r="AG500" s="257"/>
      <c r="AH500" s="257"/>
      <c r="AI500" s="257"/>
      <c r="AJ500" s="257"/>
      <c r="AK500" s="257"/>
      <c r="AL500" s="257">
        <v>64308.69</v>
      </c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>
        <f>Z497-Z500</f>
        <v>-0.3053110322507564</v>
      </c>
      <c r="AA501" s="257"/>
      <c r="AB501" s="257"/>
      <c r="AC501" s="321">
        <f>AC497-AC500</f>
        <v>-0.13195344194537029</v>
      </c>
      <c r="AD501" s="257"/>
      <c r="AE501" s="257"/>
      <c r="AF501" s="412">
        <f>AF497-AF500</f>
        <v>0</v>
      </c>
      <c r="AG501" s="257"/>
      <c r="AH501" s="257"/>
      <c r="AI501" s="257"/>
      <c r="AJ501" s="257"/>
      <c r="AK501" s="257"/>
      <c r="AL501" s="412">
        <f>AL497-AL500</f>
        <v>-5.0000000090221874E-2</v>
      </c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  <c r="AJ505" s="257"/>
      <c r="AK505" s="257"/>
      <c r="AL505" s="257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707" priority="319" stopIfTrue="1">
      <formula>"esterreur(reference)"</formula>
    </cfRule>
  </conditionalFormatting>
  <conditionalFormatting sqref="M95:M96">
    <cfRule type="expression" dxfId="706" priority="320" stopIfTrue="1">
      <formula>"esterreur(reference)"</formula>
    </cfRule>
  </conditionalFormatting>
  <conditionalFormatting sqref="H275:H280 J275:K280">
    <cfRule type="expression" dxfId="705" priority="321" stopIfTrue="1">
      <formula>"esterreur(reference)"</formula>
    </cfRule>
  </conditionalFormatting>
  <conditionalFormatting sqref="H219:H224 J219:K224">
    <cfRule type="expression" dxfId="704" priority="322" stopIfTrue="1">
      <formula>"esterreur(reference)"</formula>
    </cfRule>
  </conditionalFormatting>
  <conditionalFormatting sqref="H141:H147 J141:K147">
    <cfRule type="expression" dxfId="703" priority="323" stopIfTrue="1">
      <formula>"esterreur(reference)"</formula>
    </cfRule>
  </conditionalFormatting>
  <conditionalFormatting sqref="H137:H139 J137:K139">
    <cfRule type="expression" dxfId="702" priority="324" stopIfTrue="1">
      <formula>"esterreur(reference)"</formula>
    </cfRule>
  </conditionalFormatting>
  <conditionalFormatting sqref="H140 J140:K140">
    <cfRule type="expression" dxfId="701" priority="325" stopIfTrue="1">
      <formula>"esterreur(reference)"</formula>
    </cfRule>
  </conditionalFormatting>
  <conditionalFormatting sqref="L82">
    <cfRule type="expression" dxfId="700" priority="299" stopIfTrue="1">
      <formula>"esterreur(reference)"</formula>
    </cfRule>
  </conditionalFormatting>
  <conditionalFormatting sqref="M311">
    <cfRule type="expression" dxfId="699" priority="326" stopIfTrue="1">
      <formula>"esterreur(reference)"</formula>
    </cfRule>
  </conditionalFormatting>
  <conditionalFormatting sqref="R311">
    <cfRule type="expression" dxfId="698" priority="32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697" priority="328" operator="greaterThan">
      <formula>0</formula>
    </cfRule>
  </conditionalFormatting>
  <conditionalFormatting sqref="AH468:AI479">
    <cfRule type="cellIs" dxfId="696" priority="329" operator="lessThan">
      <formula>0</formula>
    </cfRule>
  </conditionalFormatting>
  <conditionalFormatting sqref="AH491:AH496">
    <cfRule type="cellIs" dxfId="695" priority="330" operator="greaterThan">
      <formula>0</formula>
    </cfRule>
  </conditionalFormatting>
  <conditionalFormatting sqref="J281:K283">
    <cfRule type="expression" dxfId="694" priority="331" stopIfTrue="1">
      <formula>"esterreur(reference)"</formula>
    </cfRule>
  </conditionalFormatting>
  <conditionalFormatting sqref="K356 J356:J357 H356:I356 L355:L356 H358:L358">
    <cfRule type="expression" dxfId="693" priority="332" stopIfTrue="1">
      <formula>"esterreur(reference)"</formula>
    </cfRule>
  </conditionalFormatting>
  <conditionalFormatting sqref="H396">
    <cfRule type="expression" dxfId="692" priority="333" stopIfTrue="1">
      <formula>"esterreur(reference)"</formula>
    </cfRule>
  </conditionalFormatting>
  <conditionalFormatting sqref="I376:L376 H377:H392 J377:K392">
    <cfRule type="expression" dxfId="691" priority="334" stopIfTrue="1">
      <formula>"esterreur(reference)"</formula>
    </cfRule>
  </conditionalFormatting>
  <conditionalFormatting sqref="H397:L398 I396:L396 H395:L395 H393:H394 J393:K393">
    <cfRule type="expression" dxfId="690" priority="335" stopIfTrue="1">
      <formula>"esterreur(reference)"</formula>
    </cfRule>
  </conditionalFormatting>
  <conditionalFormatting sqref="H360:L362 H359 K359">
    <cfRule type="expression" dxfId="689" priority="336" stopIfTrue="1">
      <formula>"esterreur(reference)"</formula>
    </cfRule>
  </conditionalFormatting>
  <conditionalFormatting sqref="K394">
    <cfRule type="expression" dxfId="688" priority="337" stopIfTrue="1">
      <formula>"esterreur(reference)"</formula>
    </cfRule>
  </conditionalFormatting>
  <conditionalFormatting sqref="H316:L316">
    <cfRule type="expression" dxfId="687" priority="338" stopIfTrue="1">
      <formula>"esterreur(reference)"</formula>
    </cfRule>
  </conditionalFormatting>
  <conditionalFormatting sqref="H196:L196">
    <cfRule type="expression" dxfId="686" priority="339" stopIfTrue="1">
      <formula>"esterreur(reference)"</formula>
    </cfRule>
  </conditionalFormatting>
  <conditionalFormatting sqref="H55:H56 J55:K56 H71 J71:K71">
    <cfRule type="expression" dxfId="685" priority="340" stopIfTrue="1">
      <formula>"esterreur(reference)"</formula>
    </cfRule>
  </conditionalFormatting>
  <conditionalFormatting sqref="J61:K70 H61:H70">
    <cfRule type="expression" dxfId="684" priority="341" stopIfTrue="1">
      <formula>"esterreur(reference)"</formula>
    </cfRule>
  </conditionalFormatting>
  <conditionalFormatting sqref="H57:H59 J57:K59">
    <cfRule type="expression" dxfId="683" priority="342" stopIfTrue="1">
      <formula>"esterreur(reference)"</formula>
    </cfRule>
  </conditionalFormatting>
  <conditionalFormatting sqref="H60 J60:K60">
    <cfRule type="expression" dxfId="682" priority="343" stopIfTrue="1">
      <formula>"esterreur(reference)"</formula>
    </cfRule>
  </conditionalFormatting>
  <conditionalFormatting sqref="L19 L21:L23">
    <cfRule type="expression" dxfId="681" priority="317" stopIfTrue="1">
      <formula>"esterreur(reference)"</formula>
    </cfRule>
  </conditionalFormatting>
  <conditionalFormatting sqref="K98">
    <cfRule type="expression" dxfId="680" priority="344" stopIfTrue="1">
      <formula>"esterreur(reference)"</formula>
    </cfRule>
  </conditionalFormatting>
  <conditionalFormatting sqref="L331:L347">
    <cfRule type="expression" dxfId="679" priority="213" stopIfTrue="1">
      <formula>"esterreur(reference)"</formula>
    </cfRule>
  </conditionalFormatting>
  <conditionalFormatting sqref="L16:L17">
    <cfRule type="expression" dxfId="678" priority="318" stopIfTrue="1">
      <formula>"esterreur(reference)"</formula>
    </cfRule>
  </conditionalFormatting>
  <conditionalFormatting sqref="L20">
    <cfRule type="expression" dxfId="677" priority="316" stopIfTrue="1">
      <formula>"esterreur(reference)"</formula>
    </cfRule>
  </conditionalFormatting>
  <conditionalFormatting sqref="L325">
    <cfRule type="expression" dxfId="676" priority="217" stopIfTrue="1">
      <formula>"esterreur(reference)"</formula>
    </cfRule>
  </conditionalFormatting>
  <conditionalFormatting sqref="L326">
    <cfRule type="expression" dxfId="675" priority="216" stopIfTrue="1">
      <formula>"esterreur(reference)"</formula>
    </cfRule>
  </conditionalFormatting>
  <conditionalFormatting sqref="L327">
    <cfRule type="expression" dxfId="674" priority="215" stopIfTrue="1">
      <formula>"esterreur(reference)"</formula>
    </cfRule>
  </conditionalFormatting>
  <conditionalFormatting sqref="L328">
    <cfRule type="expression" dxfId="673" priority="214" stopIfTrue="1">
      <formula>"esterreur(reference)"</formula>
    </cfRule>
  </conditionalFormatting>
  <conditionalFormatting sqref="L42">
    <cfRule type="expression" dxfId="672" priority="315" stopIfTrue="1">
      <formula>"esterreur(reference)"</formula>
    </cfRule>
  </conditionalFormatting>
  <conditionalFormatting sqref="L43">
    <cfRule type="expression" dxfId="671" priority="314" stopIfTrue="1">
      <formula>"esterreur(reference)"</formula>
    </cfRule>
  </conditionalFormatting>
  <conditionalFormatting sqref="L44">
    <cfRule type="expression" dxfId="670" priority="313" stopIfTrue="1">
      <formula>"esterreur(reference)"</formula>
    </cfRule>
  </conditionalFormatting>
  <conditionalFormatting sqref="L45:L48">
    <cfRule type="expression" dxfId="669" priority="312" stopIfTrue="1">
      <formula>"esterreur(reference)"</formula>
    </cfRule>
  </conditionalFormatting>
  <conditionalFormatting sqref="L55">
    <cfRule type="expression" dxfId="668" priority="311" stopIfTrue="1">
      <formula>"esterreur(reference)"</formula>
    </cfRule>
  </conditionalFormatting>
  <conditionalFormatting sqref="L56">
    <cfRule type="expression" dxfId="667" priority="310" stopIfTrue="1">
      <formula>"esterreur(reference)"</formula>
    </cfRule>
  </conditionalFormatting>
  <conditionalFormatting sqref="L271">
    <cfRule type="expression" dxfId="666" priority="228" stopIfTrue="1">
      <formula>"esterreur(reference)"</formula>
    </cfRule>
  </conditionalFormatting>
  <conditionalFormatting sqref="L58">
    <cfRule type="expression" dxfId="665" priority="309" stopIfTrue="1">
      <formula>"esterreur(reference)"</formula>
    </cfRule>
  </conditionalFormatting>
  <conditionalFormatting sqref="L61">
    <cfRule type="expression" dxfId="664" priority="308" stopIfTrue="1">
      <formula>"esterreur(reference)"</formula>
    </cfRule>
  </conditionalFormatting>
  <conditionalFormatting sqref="L274">
    <cfRule type="expression" dxfId="663" priority="226" stopIfTrue="1">
      <formula>"esterreur(reference)"</formula>
    </cfRule>
  </conditionalFormatting>
  <conditionalFormatting sqref="L63">
    <cfRule type="expression" dxfId="662" priority="307" stopIfTrue="1">
      <formula>"esterreur(reference)"</formula>
    </cfRule>
  </conditionalFormatting>
  <conditionalFormatting sqref="L62">
    <cfRule type="expression" dxfId="661" priority="306" stopIfTrue="1">
      <formula>"esterreur(reference)"</formula>
    </cfRule>
  </conditionalFormatting>
  <conditionalFormatting sqref="L64">
    <cfRule type="expression" dxfId="660" priority="305" stopIfTrue="1">
      <formula>"esterreur(reference)"</formula>
    </cfRule>
  </conditionalFormatting>
  <conditionalFormatting sqref="L65">
    <cfRule type="expression" dxfId="659" priority="304" stopIfTrue="1">
      <formula>"esterreur(reference)"</formula>
    </cfRule>
  </conditionalFormatting>
  <conditionalFormatting sqref="L69 L66:L67">
    <cfRule type="expression" dxfId="658" priority="303" stopIfTrue="1">
      <formula>"esterreur(reference)"</formula>
    </cfRule>
  </conditionalFormatting>
  <conditionalFormatting sqref="L70">
    <cfRule type="expression" dxfId="657" priority="302" stopIfTrue="1">
      <formula>"esterreur(reference)"</formula>
    </cfRule>
  </conditionalFormatting>
  <conditionalFormatting sqref="L76:L77">
    <cfRule type="expression" dxfId="656" priority="301" stopIfTrue="1">
      <formula>"esterreur(reference)"</formula>
    </cfRule>
  </conditionalFormatting>
  <conditionalFormatting sqref="L78:L81">
    <cfRule type="expression" dxfId="655" priority="300" stopIfTrue="1">
      <formula>"esterreur(reference)"</formula>
    </cfRule>
  </conditionalFormatting>
  <conditionalFormatting sqref="L57">
    <cfRule type="expression" dxfId="654" priority="298" stopIfTrue="1">
      <formula>"esterreur(reference)"</formula>
    </cfRule>
  </conditionalFormatting>
  <conditionalFormatting sqref="L94:L95">
    <cfRule type="expression" dxfId="653" priority="297" stopIfTrue="1">
      <formula>"esterreur(reference)"</formula>
    </cfRule>
  </conditionalFormatting>
  <conditionalFormatting sqref="L98">
    <cfRule type="expression" dxfId="652" priority="296" stopIfTrue="1">
      <formula>"esterreur(reference)"</formula>
    </cfRule>
  </conditionalFormatting>
  <conditionalFormatting sqref="L99">
    <cfRule type="expression" dxfId="651" priority="295" stopIfTrue="1">
      <formula>"esterreur(reference)"</formula>
    </cfRule>
  </conditionalFormatting>
  <conditionalFormatting sqref="L101">
    <cfRule type="expression" dxfId="650" priority="294" stopIfTrue="1">
      <formula>"esterreur(reference)"</formula>
    </cfRule>
  </conditionalFormatting>
  <conditionalFormatting sqref="L102">
    <cfRule type="expression" dxfId="649" priority="293" stopIfTrue="1">
      <formula>"esterreur(reference)"</formula>
    </cfRule>
  </conditionalFormatting>
  <conditionalFormatting sqref="L103">
    <cfRule type="expression" dxfId="648" priority="292" stopIfTrue="1">
      <formula>"esterreur(reference)"</formula>
    </cfRule>
  </conditionalFormatting>
  <conditionalFormatting sqref="L111">
    <cfRule type="expression" dxfId="647" priority="291" stopIfTrue="1">
      <formula>"esterreur(reference)"</formula>
    </cfRule>
  </conditionalFormatting>
  <conditionalFormatting sqref="L112">
    <cfRule type="expression" dxfId="646" priority="290" stopIfTrue="1">
      <formula>"esterreur(reference)"</formula>
    </cfRule>
  </conditionalFormatting>
  <conditionalFormatting sqref="L207">
    <cfRule type="expression" dxfId="645" priority="251" stopIfTrue="1">
      <formula>"esterreur(reference)"</formula>
    </cfRule>
  </conditionalFormatting>
  <conditionalFormatting sqref="L114">
    <cfRule type="expression" dxfId="644" priority="289" stopIfTrue="1">
      <formula>"esterreur(reference)"</formula>
    </cfRule>
  </conditionalFormatting>
  <conditionalFormatting sqref="L227">
    <cfRule type="expression" dxfId="643" priority="247" stopIfTrue="1">
      <formula>"esterreur(reference)"</formula>
    </cfRule>
  </conditionalFormatting>
  <conditionalFormatting sqref="L116:L119">
    <cfRule type="expression" dxfId="642" priority="288" stopIfTrue="1">
      <formula>"esterreur(reference)"</formula>
    </cfRule>
  </conditionalFormatting>
  <conditionalFormatting sqref="L120">
    <cfRule type="expression" dxfId="641" priority="287" stopIfTrue="1">
      <formula>"esterreur(reference)"</formula>
    </cfRule>
  </conditionalFormatting>
  <conditionalFormatting sqref="L130">
    <cfRule type="expression" dxfId="640" priority="284" stopIfTrue="1">
      <formula>"esterreur(reference)"</formula>
    </cfRule>
  </conditionalFormatting>
  <conditionalFormatting sqref="L124">
    <cfRule type="expression" dxfId="639" priority="286" stopIfTrue="1">
      <formula>"esterreur(reference)"</formula>
    </cfRule>
  </conditionalFormatting>
  <conditionalFormatting sqref="L123">
    <cfRule type="expression" dxfId="638" priority="285" stopIfTrue="1">
      <formula>"esterreur(reference)"</formula>
    </cfRule>
  </conditionalFormatting>
  <conditionalFormatting sqref="L138">
    <cfRule type="expression" dxfId="637" priority="278" stopIfTrue="1">
      <formula>"esterreur(reference)"</formula>
    </cfRule>
  </conditionalFormatting>
  <conditionalFormatting sqref="L131">
    <cfRule type="expression" dxfId="636" priority="283" stopIfTrue="1">
      <formula>"esterreur(reference)"</formula>
    </cfRule>
  </conditionalFormatting>
  <conditionalFormatting sqref="L132">
    <cfRule type="expression" dxfId="635" priority="282" stopIfTrue="1">
      <formula>"esterreur(reference)"</formula>
    </cfRule>
  </conditionalFormatting>
  <conditionalFormatting sqref="L133">
    <cfRule type="expression" dxfId="634" priority="281" stopIfTrue="1">
      <formula>"esterreur(reference)"</formula>
    </cfRule>
  </conditionalFormatting>
  <conditionalFormatting sqref="L139">
    <cfRule type="expression" dxfId="633" priority="277" stopIfTrue="1">
      <formula>"esterreur(reference)"</formula>
    </cfRule>
  </conditionalFormatting>
  <conditionalFormatting sqref="L136">
    <cfRule type="expression" dxfId="632" priority="280" stopIfTrue="1">
      <formula>"esterreur(reference)"</formula>
    </cfRule>
  </conditionalFormatting>
  <conditionalFormatting sqref="L137">
    <cfRule type="expression" dxfId="631" priority="279" stopIfTrue="1">
      <formula>"esterreur(reference)"</formula>
    </cfRule>
  </conditionalFormatting>
  <conditionalFormatting sqref="L140">
    <cfRule type="expression" dxfId="630" priority="276" stopIfTrue="1">
      <formula>"esterreur(reference)"</formula>
    </cfRule>
  </conditionalFormatting>
  <conditionalFormatting sqref="L141">
    <cfRule type="expression" dxfId="629" priority="275" stopIfTrue="1">
      <formula>"esterreur(reference)"</formula>
    </cfRule>
  </conditionalFormatting>
  <conditionalFormatting sqref="L142">
    <cfRule type="expression" dxfId="628" priority="274" stopIfTrue="1">
      <formula>"esterreur(reference)"</formula>
    </cfRule>
  </conditionalFormatting>
  <conditionalFormatting sqref="L143">
    <cfRule type="expression" dxfId="627" priority="273" stopIfTrue="1">
      <formula>"esterreur(reference)"</formula>
    </cfRule>
  </conditionalFormatting>
  <conditionalFormatting sqref="L144">
    <cfRule type="expression" dxfId="626" priority="272" stopIfTrue="1">
      <formula>"esterreur(reference)"</formula>
    </cfRule>
  </conditionalFormatting>
  <conditionalFormatting sqref="L145">
    <cfRule type="expression" dxfId="625" priority="271" stopIfTrue="1">
      <formula>"esterreur(reference)"</formula>
    </cfRule>
  </conditionalFormatting>
  <conditionalFormatting sqref="L146">
    <cfRule type="expression" dxfId="624" priority="270" stopIfTrue="1">
      <formula>"esterreur(reference)"</formula>
    </cfRule>
  </conditionalFormatting>
  <conditionalFormatting sqref="L147">
    <cfRule type="expression" dxfId="623" priority="269" stopIfTrue="1">
      <formula>"esterreur(reference)"</formula>
    </cfRule>
  </conditionalFormatting>
  <conditionalFormatting sqref="L155">
    <cfRule type="expression" dxfId="622" priority="268" stopIfTrue="1">
      <formula>"esterreur(reference)"</formula>
    </cfRule>
  </conditionalFormatting>
  <conditionalFormatting sqref="L157">
    <cfRule type="expression" dxfId="621" priority="266" stopIfTrue="1">
      <formula>"esterreur(reference)"</formula>
    </cfRule>
  </conditionalFormatting>
  <conditionalFormatting sqref="L156">
    <cfRule type="expression" dxfId="620" priority="267" stopIfTrue="1">
      <formula>"esterreur(reference)"</formula>
    </cfRule>
  </conditionalFormatting>
  <conditionalFormatting sqref="L115">
    <cfRule type="expression" dxfId="619" priority="265" stopIfTrue="1">
      <formula>"esterreur(reference)"</formula>
    </cfRule>
  </conditionalFormatting>
  <conditionalFormatting sqref="L113">
    <cfRule type="expression" dxfId="618" priority="264" stopIfTrue="1">
      <formula>"esterreur(reference)"</formula>
    </cfRule>
  </conditionalFormatting>
  <conditionalFormatting sqref="L171">
    <cfRule type="expression" dxfId="617" priority="263" stopIfTrue="1">
      <formula>"esterreur(reference)"</formula>
    </cfRule>
  </conditionalFormatting>
  <conditionalFormatting sqref="L174">
    <cfRule type="expression" dxfId="616" priority="262" stopIfTrue="1">
      <formula>"esterreur(reference)"</formula>
    </cfRule>
  </conditionalFormatting>
  <conditionalFormatting sqref="L177">
    <cfRule type="expression" dxfId="615" priority="261" stopIfTrue="1">
      <formula>"esterreur(reference)"</formula>
    </cfRule>
  </conditionalFormatting>
  <conditionalFormatting sqref="L187">
    <cfRule type="expression" dxfId="614" priority="260" stopIfTrue="1">
      <formula>"esterreur(reference)"</formula>
    </cfRule>
  </conditionalFormatting>
  <conditionalFormatting sqref="L197">
    <cfRule type="expression" dxfId="613" priority="259" stopIfTrue="1">
      <formula>"esterreur(reference)"</formula>
    </cfRule>
  </conditionalFormatting>
  <conditionalFormatting sqref="L199">
    <cfRule type="expression" dxfId="612" priority="258" stopIfTrue="1">
      <formula>"esterreur(reference)"</formula>
    </cfRule>
  </conditionalFormatting>
  <conditionalFormatting sqref="L198">
    <cfRule type="expression" dxfId="611" priority="257" stopIfTrue="1">
      <formula>"esterreur(reference)"</formula>
    </cfRule>
  </conditionalFormatting>
  <conditionalFormatting sqref="L200">
    <cfRule type="expression" dxfId="610" priority="256" stopIfTrue="1">
      <formula>"esterreur(reference)"</formula>
    </cfRule>
  </conditionalFormatting>
  <conditionalFormatting sqref="L201">
    <cfRule type="expression" dxfId="609" priority="255" stopIfTrue="1">
      <formula>"esterreur(reference)"</formula>
    </cfRule>
  </conditionalFormatting>
  <conditionalFormatting sqref="L202:L204">
    <cfRule type="expression" dxfId="608" priority="254" stopIfTrue="1">
      <formula>"esterreur(reference)"</formula>
    </cfRule>
  </conditionalFormatting>
  <conditionalFormatting sqref="L206">
    <cfRule type="expression" dxfId="607" priority="252" stopIfTrue="1">
      <formula>"esterreur(reference)"</formula>
    </cfRule>
  </conditionalFormatting>
  <conditionalFormatting sqref="L205">
    <cfRule type="expression" dxfId="606" priority="253" stopIfTrue="1">
      <formula>"esterreur(reference)"</formula>
    </cfRule>
  </conditionalFormatting>
  <conditionalFormatting sqref="L208">
    <cfRule type="expression" dxfId="605" priority="250" stopIfTrue="1">
      <formula>"esterreur(reference)"</formula>
    </cfRule>
  </conditionalFormatting>
  <conditionalFormatting sqref="L211:L224">
    <cfRule type="expression" dxfId="604" priority="249" stopIfTrue="1">
      <formula>"esterreur(reference)"</formula>
    </cfRule>
  </conditionalFormatting>
  <conditionalFormatting sqref="L225:L226">
    <cfRule type="expression" dxfId="603" priority="248" stopIfTrue="1">
      <formula>"esterreur(reference)"</formula>
    </cfRule>
  </conditionalFormatting>
  <conditionalFormatting sqref="L180">
    <cfRule type="expression" dxfId="602" priority="246" stopIfTrue="1">
      <formula>"esterreur(reference)"</formula>
    </cfRule>
  </conditionalFormatting>
  <conditionalFormatting sqref="L243">
    <cfRule type="expression" dxfId="601" priority="245" stopIfTrue="1">
      <formula>"esterreur(reference)"</formula>
    </cfRule>
  </conditionalFormatting>
  <conditionalFormatting sqref="L246">
    <cfRule type="expression" dxfId="600" priority="244" stopIfTrue="1">
      <formula>"esterreur(reference)"</formula>
    </cfRule>
  </conditionalFormatting>
  <conditionalFormatting sqref="L253">
    <cfRule type="expression" dxfId="599" priority="243" stopIfTrue="1">
      <formula>"esterreur(reference)"</formula>
    </cfRule>
  </conditionalFormatting>
  <conditionalFormatting sqref="L254">
    <cfRule type="expression" dxfId="598" priority="242" stopIfTrue="1">
      <formula>"esterreur(reference)"</formula>
    </cfRule>
  </conditionalFormatting>
  <conditionalFormatting sqref="L255">
    <cfRule type="expression" dxfId="597" priority="241" stopIfTrue="1">
      <formula>"esterreur(reference)"</formula>
    </cfRule>
  </conditionalFormatting>
  <conditionalFormatting sqref="L256">
    <cfRule type="expression" dxfId="596" priority="240" stopIfTrue="1">
      <formula>"esterreur(reference)"</formula>
    </cfRule>
  </conditionalFormatting>
  <conditionalFormatting sqref="L257">
    <cfRule type="expression" dxfId="595" priority="239" stopIfTrue="1">
      <formula>"esterreur(reference)"</formula>
    </cfRule>
  </conditionalFormatting>
  <conditionalFormatting sqref="L258">
    <cfRule type="expression" dxfId="594" priority="238" stopIfTrue="1">
      <formula>"esterreur(reference)"</formula>
    </cfRule>
  </conditionalFormatting>
  <conditionalFormatting sqref="L259">
    <cfRule type="expression" dxfId="593" priority="237" stopIfTrue="1">
      <formula>"esterreur(reference)"</formula>
    </cfRule>
  </conditionalFormatting>
  <conditionalFormatting sqref="L260">
    <cfRule type="expression" dxfId="592" priority="236" stopIfTrue="1">
      <formula>"esterreur(reference)"</formula>
    </cfRule>
  </conditionalFormatting>
  <conditionalFormatting sqref="L261">
    <cfRule type="expression" dxfId="591" priority="235" stopIfTrue="1">
      <formula>"esterreur(reference)"</formula>
    </cfRule>
  </conditionalFormatting>
  <conditionalFormatting sqref="L262">
    <cfRule type="expression" dxfId="590" priority="234" stopIfTrue="1">
      <formula>"esterreur(reference)"</formula>
    </cfRule>
  </conditionalFormatting>
  <conditionalFormatting sqref="L263:L264">
    <cfRule type="expression" dxfId="589" priority="233" stopIfTrue="1">
      <formula>"esterreur(reference)"</formula>
    </cfRule>
  </conditionalFormatting>
  <conditionalFormatting sqref="L268">
    <cfRule type="expression" dxfId="588" priority="231" stopIfTrue="1">
      <formula>"esterreur(reference)"</formula>
    </cfRule>
  </conditionalFormatting>
  <conditionalFormatting sqref="L267">
    <cfRule type="expression" dxfId="587" priority="232" stopIfTrue="1">
      <formula>"esterreur(reference)"</formula>
    </cfRule>
  </conditionalFormatting>
  <conditionalFormatting sqref="L269">
    <cfRule type="expression" dxfId="586" priority="230" stopIfTrue="1">
      <formula>"esterreur(reference)"</formula>
    </cfRule>
  </conditionalFormatting>
  <conditionalFormatting sqref="L270">
    <cfRule type="expression" dxfId="585" priority="229" stopIfTrue="1">
      <formula>"esterreur(reference)"</formula>
    </cfRule>
  </conditionalFormatting>
  <conditionalFormatting sqref="L272:L273">
    <cfRule type="expression" dxfId="584" priority="227" stopIfTrue="1">
      <formula>"esterreur(reference)"</formula>
    </cfRule>
  </conditionalFormatting>
  <conditionalFormatting sqref="L294:L300">
    <cfRule type="expression" dxfId="583" priority="225" stopIfTrue="1">
      <formula>"esterreur(reference)"</formula>
    </cfRule>
  </conditionalFormatting>
  <conditionalFormatting sqref="L301">
    <cfRule type="expression" dxfId="582" priority="224" stopIfTrue="1">
      <formula>"esterreur(reference)"</formula>
    </cfRule>
  </conditionalFormatting>
  <conditionalFormatting sqref="L302">
    <cfRule type="expression" dxfId="581" priority="223" stopIfTrue="1">
      <formula>"esterreur(reference)"</formula>
    </cfRule>
  </conditionalFormatting>
  <conditionalFormatting sqref="L306">
    <cfRule type="expression" dxfId="580" priority="222" stopIfTrue="1">
      <formula>"esterreur(reference)"</formula>
    </cfRule>
  </conditionalFormatting>
  <conditionalFormatting sqref="L307">
    <cfRule type="expression" dxfId="579" priority="221" stopIfTrue="1">
      <formula>"esterreur(reference)"</formula>
    </cfRule>
  </conditionalFormatting>
  <conditionalFormatting sqref="L311">
    <cfRule type="expression" dxfId="578" priority="220" stopIfTrue="1">
      <formula>"esterreur(reference)"</formula>
    </cfRule>
  </conditionalFormatting>
  <conditionalFormatting sqref="L317">
    <cfRule type="expression" dxfId="577" priority="219" stopIfTrue="1">
      <formula>"esterreur(reference)"</formula>
    </cfRule>
  </conditionalFormatting>
  <conditionalFormatting sqref="L318">
    <cfRule type="expression" dxfId="576" priority="218" stopIfTrue="1">
      <formula>"esterreur(reference)"</formula>
    </cfRule>
  </conditionalFormatting>
  <conditionalFormatting sqref="K5">
    <cfRule type="expression" dxfId="575" priority="212" stopIfTrue="1">
      <formula>"esterreur(reference)"</formula>
    </cfRule>
  </conditionalFormatting>
  <conditionalFormatting sqref="L5">
    <cfRule type="expression" dxfId="574" priority="211" stopIfTrue="1">
      <formula>"esterreur(reference)"</formula>
    </cfRule>
  </conditionalFormatting>
  <conditionalFormatting sqref="K182">
    <cfRule type="expression" dxfId="573" priority="210" stopIfTrue="1">
      <formula>"esterreur(reference)"</formula>
    </cfRule>
  </conditionalFormatting>
  <conditionalFormatting sqref="L93">
    <cfRule type="expression" dxfId="572" priority="209" stopIfTrue="1">
      <formula>"esterreur(reference)"</formula>
    </cfRule>
  </conditionalFormatting>
  <conditionalFormatting sqref="K171">
    <cfRule type="expression" dxfId="571" priority="208" stopIfTrue="1">
      <formula>"esterreur(reference)"</formula>
    </cfRule>
  </conditionalFormatting>
  <conditionalFormatting sqref="K174">
    <cfRule type="expression" dxfId="570" priority="207" stopIfTrue="1">
      <formula>"esterreur(reference)"</formula>
    </cfRule>
  </conditionalFormatting>
  <conditionalFormatting sqref="K177">
    <cfRule type="expression" dxfId="569" priority="206" stopIfTrue="1">
      <formula>"esterreur(reference)"</formula>
    </cfRule>
  </conditionalFormatting>
  <conditionalFormatting sqref="K180">
    <cfRule type="expression" dxfId="568" priority="205" stopIfTrue="1">
      <formula>"esterreur(reference)"</formula>
    </cfRule>
  </conditionalFormatting>
  <conditionalFormatting sqref="K240">
    <cfRule type="expression" dxfId="567" priority="204" stopIfTrue="1">
      <formula>"esterreur(reference)"</formula>
    </cfRule>
  </conditionalFormatting>
  <conditionalFormatting sqref="K243">
    <cfRule type="expression" dxfId="566" priority="203" stopIfTrue="1">
      <formula>"esterreur(reference)"</formula>
    </cfRule>
  </conditionalFormatting>
  <conditionalFormatting sqref="K246">
    <cfRule type="expression" dxfId="565" priority="202" stopIfTrue="1">
      <formula>"esterreur(reference)"</formula>
    </cfRule>
  </conditionalFormatting>
  <conditionalFormatting sqref="J306:J307">
    <cfRule type="expression" dxfId="564" priority="201" stopIfTrue="1">
      <formula>"esterreur(reference)"</formula>
    </cfRule>
  </conditionalFormatting>
  <conditionalFormatting sqref="K187">
    <cfRule type="expression" dxfId="563" priority="200" stopIfTrue="1">
      <formula>"esterreur(reference)"</formula>
    </cfRule>
  </conditionalFormatting>
  <conditionalFormatting sqref="K190">
    <cfRule type="expression" dxfId="562" priority="199" stopIfTrue="1">
      <formula>"esterreur(reference)"</formula>
    </cfRule>
  </conditionalFormatting>
  <conditionalFormatting sqref="J311">
    <cfRule type="expression" dxfId="561" priority="198" stopIfTrue="1">
      <formula>"esterreur(reference)"</formula>
    </cfRule>
  </conditionalFormatting>
  <conditionalFormatting sqref="L364:L375">
    <cfRule type="expression" dxfId="560" priority="197" stopIfTrue="1">
      <formula>"esterreur(reference)"</formula>
    </cfRule>
  </conditionalFormatting>
  <conditionalFormatting sqref="L377:L393">
    <cfRule type="expression" dxfId="559" priority="196" stopIfTrue="1">
      <formula>"esterreur(reference)"</formula>
    </cfRule>
  </conditionalFormatting>
  <conditionalFormatting sqref="K93">
    <cfRule type="expression" dxfId="558" priority="195" stopIfTrue="1">
      <formula>"esterreur(reference)"</formula>
    </cfRule>
  </conditionalFormatting>
  <conditionalFormatting sqref="L240">
    <cfRule type="expression" dxfId="557" priority="194" stopIfTrue="1">
      <formula>"esterreur(reference)"</formula>
    </cfRule>
  </conditionalFormatting>
  <conditionalFormatting sqref="K239">
    <cfRule type="expression" dxfId="556" priority="193" stopIfTrue="1">
      <formula>"esterreur(reference)"</formula>
    </cfRule>
  </conditionalFormatting>
  <conditionalFormatting sqref="L239">
    <cfRule type="expression" dxfId="555" priority="192" stopIfTrue="1">
      <formula>"esterreur(reference)"</formula>
    </cfRule>
  </conditionalFormatting>
  <conditionalFormatting sqref="F183">
    <cfRule type="expression" dxfId="554" priority="191" stopIfTrue="1">
      <formula>"esterreur(reference)"</formula>
    </cfRule>
  </conditionalFormatting>
  <conditionalFormatting sqref="J359">
    <cfRule type="expression" dxfId="553" priority="190" stopIfTrue="1">
      <formula>"esterreur(reference)"</formula>
    </cfRule>
  </conditionalFormatting>
  <conditionalFormatting sqref="L359">
    <cfRule type="expression" dxfId="552" priority="189" stopIfTrue="1">
      <formula>"esterreur(reference)"</formula>
    </cfRule>
  </conditionalFormatting>
  <conditionalFormatting sqref="S185">
    <cfRule type="expression" dxfId="551" priority="188" stopIfTrue="1">
      <formula>"esterreur(reference)"</formula>
    </cfRule>
  </conditionalFormatting>
  <conditionalFormatting sqref="K286">
    <cfRule type="expression" dxfId="550" priority="187" stopIfTrue="1">
      <formula>"esterreur(reference)"</formula>
    </cfRule>
  </conditionalFormatting>
  <conditionalFormatting sqref="AO408:AO413">
    <cfRule type="cellIs" dxfId="549" priority="186" operator="greaterThan">
      <formula>0</formula>
    </cfRule>
  </conditionalFormatting>
  <conditionalFormatting sqref="L71">
    <cfRule type="expression" dxfId="548" priority="185" stopIfTrue="1">
      <formula>"esterreur(reference)"</formula>
    </cfRule>
  </conditionalFormatting>
  <conditionalFormatting sqref="L210">
    <cfRule type="expression" dxfId="547" priority="182" stopIfTrue="1">
      <formula>"esterreur(reference)"</formula>
    </cfRule>
  </conditionalFormatting>
  <conditionalFormatting sqref="L122">
    <cfRule type="expression" dxfId="546" priority="184" stopIfTrue="1">
      <formula>"esterreur(reference)"</formula>
    </cfRule>
  </conditionalFormatting>
  <conditionalFormatting sqref="L266">
    <cfRule type="expression" dxfId="545" priority="181" stopIfTrue="1">
      <formula>"esterreur(reference)"</formula>
    </cfRule>
  </conditionalFormatting>
  <conditionalFormatting sqref="L135">
    <cfRule type="expression" dxfId="544" priority="183" stopIfTrue="1">
      <formula>"esterreur(reference)"</formula>
    </cfRule>
  </conditionalFormatting>
  <conditionalFormatting sqref="L330">
    <cfRule type="expression" dxfId="543" priority="180" stopIfTrue="1">
      <formula>"esterreur(reference)"</formula>
    </cfRule>
  </conditionalFormatting>
  <conditionalFormatting sqref="L75">
    <cfRule type="expression" dxfId="542" priority="179" stopIfTrue="1">
      <formula>"esterreur(reference)"</formula>
    </cfRule>
  </conditionalFormatting>
  <conditionalFormatting sqref="L60">
    <cfRule type="expression" dxfId="541" priority="177" stopIfTrue="1">
      <formula>"esterreur(reference)"</formula>
    </cfRule>
  </conditionalFormatting>
  <conditionalFormatting sqref="L59">
    <cfRule type="expression" dxfId="540" priority="178" stopIfTrue="1">
      <formula>"esterreur(reference)"</formula>
    </cfRule>
  </conditionalFormatting>
  <conditionalFormatting sqref="F5">
    <cfRule type="expression" dxfId="539" priority="176" stopIfTrue="1">
      <formula>"esterreur(reference)"</formula>
    </cfRule>
  </conditionalFormatting>
  <conditionalFormatting sqref="O25:Q30 Q18 O83:Q85 O41:Q41 O72:Q72 Q24 O13:O14 O16 O18:O24 O49:Q54 Q6:Q14 O31:P40 O42:P48">
    <cfRule type="expression" dxfId="538" priority="171" stopIfTrue="1">
      <formula>"esterreur(reference)"</formula>
    </cfRule>
  </conditionalFormatting>
  <conditionalFormatting sqref="P5">
    <cfRule type="expression" dxfId="537" priority="148" stopIfTrue="1">
      <formula>"esterreur(reference)"</formula>
    </cfRule>
  </conditionalFormatting>
  <conditionalFormatting sqref="Q32">
    <cfRule type="expression" dxfId="536" priority="166" stopIfTrue="1">
      <formula>"esterreur(reference)"</formula>
    </cfRule>
  </conditionalFormatting>
  <conditionalFormatting sqref="Q35">
    <cfRule type="expression" dxfId="535" priority="165" stopIfTrue="1">
      <formula>"esterreur(reference)"</formula>
    </cfRule>
  </conditionalFormatting>
  <conditionalFormatting sqref="O55:P56 O71:P71">
    <cfRule type="expression" dxfId="534" priority="172" stopIfTrue="1">
      <formula>"esterreur(reference)"</formula>
    </cfRule>
  </conditionalFormatting>
  <conditionalFormatting sqref="O61:P70">
    <cfRule type="expression" dxfId="533" priority="173" stopIfTrue="1">
      <formula>"esterreur(reference)"</formula>
    </cfRule>
  </conditionalFormatting>
  <conditionalFormatting sqref="O57:P59">
    <cfRule type="expression" dxfId="532" priority="174" stopIfTrue="1">
      <formula>"esterreur(reference)"</formula>
    </cfRule>
  </conditionalFormatting>
  <conditionalFormatting sqref="O60:P60">
    <cfRule type="expression" dxfId="531" priority="175" stopIfTrue="1">
      <formula>"esterreur(reference)"</formula>
    </cfRule>
  </conditionalFormatting>
  <conditionalFormatting sqref="Q19 Q21:Q23">
    <cfRule type="expression" dxfId="530" priority="169" stopIfTrue="1">
      <formula>"esterreur(reference)"</formula>
    </cfRule>
  </conditionalFormatting>
  <conditionalFormatting sqref="Q16:Q17">
    <cfRule type="expression" dxfId="529" priority="170" stopIfTrue="1">
      <formula>"esterreur(reference)"</formula>
    </cfRule>
  </conditionalFormatting>
  <conditionalFormatting sqref="Q20">
    <cfRule type="expression" dxfId="528" priority="168" stopIfTrue="1">
      <formula>"esterreur(reference)"</formula>
    </cfRule>
  </conditionalFormatting>
  <conditionalFormatting sqref="Q31 Q33:Q34">
    <cfRule type="expression" dxfId="527" priority="167" stopIfTrue="1">
      <formula>"esterreur(reference)"</formula>
    </cfRule>
  </conditionalFormatting>
  <conditionalFormatting sqref="Q42">
    <cfRule type="expression" dxfId="526" priority="164" stopIfTrue="1">
      <formula>"esterreur(reference)"</formula>
    </cfRule>
  </conditionalFormatting>
  <conditionalFormatting sqref="Q43">
    <cfRule type="expression" dxfId="525" priority="163" stopIfTrue="1">
      <formula>"esterreur(reference)"</formula>
    </cfRule>
  </conditionalFormatting>
  <conditionalFormatting sqref="Q44">
    <cfRule type="expression" dxfId="524" priority="162" stopIfTrue="1">
      <formula>"esterreur(reference)"</formula>
    </cfRule>
  </conditionalFormatting>
  <conditionalFormatting sqref="Q45:Q48">
    <cfRule type="expression" dxfId="523" priority="161" stopIfTrue="1">
      <formula>"esterreur(reference)"</formula>
    </cfRule>
  </conditionalFormatting>
  <conditionalFormatting sqref="Q55">
    <cfRule type="expression" dxfId="522" priority="160" stopIfTrue="1">
      <formula>"esterreur(reference)"</formula>
    </cfRule>
  </conditionalFormatting>
  <conditionalFormatting sqref="Q56">
    <cfRule type="expression" dxfId="521" priority="159" stopIfTrue="1">
      <formula>"esterreur(reference)"</formula>
    </cfRule>
  </conditionalFormatting>
  <conditionalFormatting sqref="Q58">
    <cfRule type="expression" dxfId="520" priority="158" stopIfTrue="1">
      <formula>"esterreur(reference)"</formula>
    </cfRule>
  </conditionalFormatting>
  <conditionalFormatting sqref="Q61">
    <cfRule type="expression" dxfId="519" priority="157" stopIfTrue="1">
      <formula>"esterreur(reference)"</formula>
    </cfRule>
  </conditionalFormatting>
  <conditionalFormatting sqref="Q63">
    <cfRule type="expression" dxfId="518" priority="156" stopIfTrue="1">
      <formula>"esterreur(reference)"</formula>
    </cfRule>
  </conditionalFormatting>
  <conditionalFormatting sqref="Q62">
    <cfRule type="expression" dxfId="517" priority="155" stopIfTrue="1">
      <formula>"esterreur(reference)"</formula>
    </cfRule>
  </conditionalFormatting>
  <conditionalFormatting sqref="Q64">
    <cfRule type="expression" dxfId="516" priority="154" stopIfTrue="1">
      <formula>"esterreur(reference)"</formula>
    </cfRule>
  </conditionalFormatting>
  <conditionalFormatting sqref="Q65">
    <cfRule type="expression" dxfId="515" priority="153" stopIfTrue="1">
      <formula>"esterreur(reference)"</formula>
    </cfRule>
  </conditionalFormatting>
  <conditionalFormatting sqref="Q66:Q69">
    <cfRule type="expression" dxfId="514" priority="152" stopIfTrue="1">
      <formula>"esterreur(reference)"</formula>
    </cfRule>
  </conditionalFormatting>
  <conditionalFormatting sqref="Q70">
    <cfRule type="expression" dxfId="513" priority="151" stopIfTrue="1">
      <formula>"esterreur(reference)"</formula>
    </cfRule>
  </conditionalFormatting>
  <conditionalFormatting sqref="Q75:Q82">
    <cfRule type="expression" dxfId="512" priority="150" stopIfTrue="1">
      <formula>"esterreur(reference)"</formula>
    </cfRule>
  </conditionalFormatting>
  <conditionalFormatting sqref="Q57">
    <cfRule type="expression" dxfId="511" priority="149" stopIfTrue="1">
      <formula>"esterreur(reference)"</formula>
    </cfRule>
  </conditionalFormatting>
  <conditionalFormatting sqref="Q5">
    <cfRule type="expression" dxfId="510" priority="147" stopIfTrue="1">
      <formula>"esterreur(reference)"</formula>
    </cfRule>
  </conditionalFormatting>
  <conditionalFormatting sqref="Q71">
    <cfRule type="expression" dxfId="509" priority="146" stopIfTrue="1">
      <formula>"esterreur(reference)"</formula>
    </cfRule>
  </conditionalFormatting>
  <conditionalFormatting sqref="Q60">
    <cfRule type="expression" dxfId="508" priority="144" stopIfTrue="1">
      <formula>"esterreur(reference)"</formula>
    </cfRule>
  </conditionalFormatting>
  <conditionalFormatting sqref="P98">
    <cfRule type="expression" dxfId="507" priority="143" stopIfTrue="1">
      <formula>"esterreur(reference)"</formula>
    </cfRule>
  </conditionalFormatting>
  <conditionalFormatting sqref="Q59">
    <cfRule type="expression" dxfId="506" priority="14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505" priority="139" stopIfTrue="1">
      <formula>"esterreur(reference)"</formula>
    </cfRule>
  </conditionalFormatting>
  <conditionalFormatting sqref="O141:P147">
    <cfRule type="expression" dxfId="504" priority="140" stopIfTrue="1">
      <formula>"esterreur(reference)"</formula>
    </cfRule>
  </conditionalFormatting>
  <conditionalFormatting sqref="O137:P139">
    <cfRule type="expression" dxfId="503" priority="141" stopIfTrue="1">
      <formula>"esterreur(reference)"</formula>
    </cfRule>
  </conditionalFormatting>
  <conditionalFormatting sqref="O140:P140">
    <cfRule type="expression" dxfId="502" priority="142" stopIfTrue="1">
      <formula>"esterreur(reference)"</formula>
    </cfRule>
  </conditionalFormatting>
  <conditionalFormatting sqref="Q94:Q95">
    <cfRule type="expression" dxfId="501" priority="138" stopIfTrue="1">
      <formula>"esterreur(reference)"</formula>
    </cfRule>
  </conditionalFormatting>
  <conditionalFormatting sqref="Q98">
    <cfRule type="expression" dxfId="500" priority="137" stopIfTrue="1">
      <formula>"esterreur(reference)"</formula>
    </cfRule>
  </conditionalFormatting>
  <conditionalFormatting sqref="Q99">
    <cfRule type="expression" dxfId="499" priority="136" stopIfTrue="1">
      <formula>"esterreur(reference)"</formula>
    </cfRule>
  </conditionalFormatting>
  <conditionalFormatting sqref="Q101">
    <cfRule type="expression" dxfId="498" priority="135" stopIfTrue="1">
      <formula>"esterreur(reference)"</formula>
    </cfRule>
  </conditionalFormatting>
  <conditionalFormatting sqref="Q102">
    <cfRule type="expression" dxfId="497" priority="134" stopIfTrue="1">
      <formula>"esterreur(reference)"</formula>
    </cfRule>
  </conditionalFormatting>
  <conditionalFormatting sqref="Q103">
    <cfRule type="expression" dxfId="496" priority="133" stopIfTrue="1">
      <formula>"esterreur(reference)"</formula>
    </cfRule>
  </conditionalFormatting>
  <conditionalFormatting sqref="Q111">
    <cfRule type="expression" dxfId="495" priority="132" stopIfTrue="1">
      <formula>"esterreur(reference)"</formula>
    </cfRule>
  </conditionalFormatting>
  <conditionalFormatting sqref="Q112">
    <cfRule type="expression" dxfId="494" priority="131" stopIfTrue="1">
      <formula>"esterreur(reference)"</formula>
    </cfRule>
  </conditionalFormatting>
  <conditionalFormatting sqref="Q114">
    <cfRule type="expression" dxfId="493" priority="130" stopIfTrue="1">
      <formula>"esterreur(reference)"</formula>
    </cfRule>
  </conditionalFormatting>
  <conditionalFormatting sqref="Q116:Q119">
    <cfRule type="expression" dxfId="492" priority="129" stopIfTrue="1">
      <formula>"esterreur(reference)"</formula>
    </cfRule>
  </conditionalFormatting>
  <conditionalFormatting sqref="Q120">
    <cfRule type="expression" dxfId="491" priority="128" stopIfTrue="1">
      <formula>"esterreur(reference)"</formula>
    </cfRule>
  </conditionalFormatting>
  <conditionalFormatting sqref="Q130">
    <cfRule type="expression" dxfId="490" priority="125" stopIfTrue="1">
      <formula>"esterreur(reference)"</formula>
    </cfRule>
  </conditionalFormatting>
  <conditionalFormatting sqref="Q124">
    <cfRule type="expression" dxfId="489" priority="127" stopIfTrue="1">
      <formula>"esterreur(reference)"</formula>
    </cfRule>
  </conditionalFormatting>
  <conditionalFormatting sqref="Q123">
    <cfRule type="expression" dxfId="488" priority="126" stopIfTrue="1">
      <formula>"esterreur(reference)"</formula>
    </cfRule>
  </conditionalFormatting>
  <conditionalFormatting sqref="Q139">
    <cfRule type="expression" dxfId="487" priority="118" stopIfTrue="1">
      <formula>"esterreur(reference)"</formula>
    </cfRule>
  </conditionalFormatting>
  <conditionalFormatting sqref="Q131">
    <cfRule type="expression" dxfId="486" priority="124" stopIfTrue="1">
      <formula>"esterreur(reference)"</formula>
    </cfRule>
  </conditionalFormatting>
  <conditionalFormatting sqref="Q132">
    <cfRule type="expression" dxfId="485" priority="123" stopIfTrue="1">
      <formula>"esterreur(reference)"</formula>
    </cfRule>
  </conditionalFormatting>
  <conditionalFormatting sqref="Q133">
    <cfRule type="expression" dxfId="484" priority="122" stopIfTrue="1">
      <formula>"esterreur(reference)"</formula>
    </cfRule>
  </conditionalFormatting>
  <conditionalFormatting sqref="Q141">
    <cfRule type="expression" dxfId="483" priority="116" stopIfTrue="1">
      <formula>"esterreur(reference)"</formula>
    </cfRule>
  </conditionalFormatting>
  <conditionalFormatting sqref="Q136">
    <cfRule type="expression" dxfId="482" priority="121" stopIfTrue="1">
      <formula>"esterreur(reference)"</formula>
    </cfRule>
  </conditionalFormatting>
  <conditionalFormatting sqref="Q137">
    <cfRule type="expression" dxfId="481" priority="120" stopIfTrue="1">
      <formula>"esterreur(reference)"</formula>
    </cfRule>
  </conditionalFormatting>
  <conditionalFormatting sqref="Q138">
    <cfRule type="expression" dxfId="480" priority="119" stopIfTrue="1">
      <formula>"esterreur(reference)"</formula>
    </cfRule>
  </conditionalFormatting>
  <conditionalFormatting sqref="Q143">
    <cfRule type="expression" dxfId="479" priority="114" stopIfTrue="1">
      <formula>"esterreur(reference)"</formula>
    </cfRule>
  </conditionalFormatting>
  <conditionalFormatting sqref="Q140">
    <cfRule type="expression" dxfId="478" priority="117" stopIfTrue="1">
      <formula>"esterreur(reference)"</formula>
    </cfRule>
  </conditionalFormatting>
  <conditionalFormatting sqref="Q142">
    <cfRule type="expression" dxfId="477" priority="115" stopIfTrue="1">
      <formula>"esterreur(reference)"</formula>
    </cfRule>
  </conditionalFormatting>
  <conditionalFormatting sqref="Q144">
    <cfRule type="expression" dxfId="476" priority="113" stopIfTrue="1">
      <formula>"esterreur(reference)"</formula>
    </cfRule>
  </conditionalFormatting>
  <conditionalFormatting sqref="Q145">
    <cfRule type="expression" dxfId="475" priority="112" stopIfTrue="1">
      <formula>"esterreur(reference)"</formula>
    </cfRule>
  </conditionalFormatting>
  <conditionalFormatting sqref="Q146">
    <cfRule type="expression" dxfId="474" priority="111" stopIfTrue="1">
      <formula>"esterreur(reference)"</formula>
    </cfRule>
  </conditionalFormatting>
  <conditionalFormatting sqref="Q147">
    <cfRule type="expression" dxfId="473" priority="110" stopIfTrue="1">
      <formula>"esterreur(reference)"</formula>
    </cfRule>
  </conditionalFormatting>
  <conditionalFormatting sqref="Q113">
    <cfRule type="expression" dxfId="472" priority="107" stopIfTrue="1">
      <formula>"esterreur(reference)"</formula>
    </cfRule>
  </conditionalFormatting>
  <conditionalFormatting sqref="Q155:Q161">
    <cfRule type="expression" dxfId="471" priority="109" stopIfTrue="1">
      <formula>"esterreur(reference)"</formula>
    </cfRule>
  </conditionalFormatting>
  <conditionalFormatting sqref="Q93">
    <cfRule type="expression" dxfId="470" priority="106" stopIfTrue="1">
      <formula>"esterreur(reference)"</formula>
    </cfRule>
  </conditionalFormatting>
  <conditionalFormatting sqref="Q115">
    <cfRule type="expression" dxfId="469" priority="108" stopIfTrue="1">
      <formula>"esterreur(reference)"</formula>
    </cfRule>
  </conditionalFormatting>
  <conditionalFormatting sqref="P93">
    <cfRule type="expression" dxfId="468" priority="105" stopIfTrue="1">
      <formula>"esterreur(reference)"</formula>
    </cfRule>
  </conditionalFormatting>
  <conditionalFormatting sqref="Q122">
    <cfRule type="expression" dxfId="467" priority="104" stopIfTrue="1">
      <formula>"esterreur(reference)"</formula>
    </cfRule>
  </conditionalFormatting>
  <conditionalFormatting sqref="Q135">
    <cfRule type="expression" dxfId="466" priority="10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65" priority="100" stopIfTrue="1">
      <formula>"esterreur(reference)"</formula>
    </cfRule>
  </conditionalFormatting>
  <conditionalFormatting sqref="O219:P224">
    <cfRule type="expression" dxfId="464" priority="101" stopIfTrue="1">
      <formula>"esterreur(reference)"</formula>
    </cfRule>
  </conditionalFormatting>
  <conditionalFormatting sqref="O196:Q196">
    <cfRule type="expression" dxfId="463" priority="102" stopIfTrue="1">
      <formula>"esterreur(reference)"</formula>
    </cfRule>
  </conditionalFormatting>
  <conditionalFormatting sqref="Q207">
    <cfRule type="expression" dxfId="462" priority="86" stopIfTrue="1">
      <formula>"esterreur(reference)"</formula>
    </cfRule>
  </conditionalFormatting>
  <conditionalFormatting sqref="Q227">
    <cfRule type="expression" dxfId="461" priority="82" stopIfTrue="1">
      <formula>"esterreur(reference)"</formula>
    </cfRule>
  </conditionalFormatting>
  <conditionalFormatting sqref="Q171">
    <cfRule type="expression" dxfId="460" priority="99" stopIfTrue="1">
      <formula>"esterreur(reference)"</formula>
    </cfRule>
  </conditionalFormatting>
  <conditionalFormatting sqref="Q174">
    <cfRule type="expression" dxfId="459" priority="98" stopIfTrue="1">
      <formula>"esterreur(reference)"</formula>
    </cfRule>
  </conditionalFormatting>
  <conditionalFormatting sqref="Q177">
    <cfRule type="expression" dxfId="458" priority="97" stopIfTrue="1">
      <formula>"esterreur(reference)"</formula>
    </cfRule>
  </conditionalFormatting>
  <conditionalFormatting sqref="Q183">
    <cfRule type="expression" dxfId="457" priority="96" stopIfTrue="1">
      <formula>"esterreur(reference)"</formula>
    </cfRule>
  </conditionalFormatting>
  <conditionalFormatting sqref="Q187">
    <cfRule type="expression" dxfId="456" priority="95" stopIfTrue="1">
      <formula>"esterreur(reference)"</formula>
    </cfRule>
  </conditionalFormatting>
  <conditionalFormatting sqref="Q197">
    <cfRule type="expression" dxfId="455" priority="94" stopIfTrue="1">
      <formula>"esterreur(reference)"</formula>
    </cfRule>
  </conditionalFormatting>
  <conditionalFormatting sqref="Q199">
    <cfRule type="expression" dxfId="454" priority="93" stopIfTrue="1">
      <formula>"esterreur(reference)"</formula>
    </cfRule>
  </conditionalFormatting>
  <conditionalFormatting sqref="Q198">
    <cfRule type="expression" dxfId="453" priority="92" stopIfTrue="1">
      <formula>"esterreur(reference)"</formula>
    </cfRule>
  </conditionalFormatting>
  <conditionalFormatting sqref="Q200">
    <cfRule type="expression" dxfId="452" priority="91" stopIfTrue="1">
      <formula>"esterreur(reference)"</formula>
    </cfRule>
  </conditionalFormatting>
  <conditionalFormatting sqref="Q201">
    <cfRule type="expression" dxfId="451" priority="90" stopIfTrue="1">
      <formula>"esterreur(reference)"</formula>
    </cfRule>
  </conditionalFormatting>
  <conditionalFormatting sqref="Q202:Q204">
    <cfRule type="expression" dxfId="450" priority="89" stopIfTrue="1">
      <formula>"esterreur(reference)"</formula>
    </cfRule>
  </conditionalFormatting>
  <conditionalFormatting sqref="Q206">
    <cfRule type="expression" dxfId="449" priority="87" stopIfTrue="1">
      <formula>"esterreur(reference)"</formula>
    </cfRule>
  </conditionalFormatting>
  <conditionalFormatting sqref="Q205">
    <cfRule type="expression" dxfId="448" priority="88" stopIfTrue="1">
      <formula>"esterreur(reference)"</formula>
    </cfRule>
  </conditionalFormatting>
  <conditionalFormatting sqref="Q208">
    <cfRule type="expression" dxfId="447" priority="85" stopIfTrue="1">
      <formula>"esterreur(reference)"</formula>
    </cfRule>
  </conditionalFormatting>
  <conditionalFormatting sqref="Q211:Q224">
    <cfRule type="expression" dxfId="446" priority="84" stopIfTrue="1">
      <formula>"esterreur(reference)"</formula>
    </cfRule>
  </conditionalFormatting>
  <conditionalFormatting sqref="Q225:Q226">
    <cfRule type="expression" dxfId="445" priority="83" stopIfTrue="1">
      <formula>"esterreur(reference)"</formula>
    </cfRule>
  </conditionalFormatting>
  <conditionalFormatting sqref="Q180">
    <cfRule type="expression" dxfId="444" priority="81" stopIfTrue="1">
      <formula>"esterreur(reference)"</formula>
    </cfRule>
  </conditionalFormatting>
  <conditionalFormatting sqref="P182">
    <cfRule type="expression" dxfId="443" priority="80" stopIfTrue="1">
      <formula>"esterreur(reference)"</formula>
    </cfRule>
  </conditionalFormatting>
  <conditionalFormatting sqref="P171">
    <cfRule type="expression" dxfId="442" priority="79" stopIfTrue="1">
      <formula>"esterreur(reference)"</formula>
    </cfRule>
  </conditionalFormatting>
  <conditionalFormatting sqref="P174">
    <cfRule type="expression" dxfId="441" priority="78" stopIfTrue="1">
      <formula>"esterreur(reference)"</formula>
    </cfRule>
  </conditionalFormatting>
  <conditionalFormatting sqref="P177">
    <cfRule type="expression" dxfId="440" priority="77" stopIfTrue="1">
      <formula>"esterreur(reference)"</formula>
    </cfRule>
  </conditionalFormatting>
  <conditionalFormatting sqref="P180">
    <cfRule type="expression" dxfId="439" priority="76" stopIfTrue="1">
      <formula>"esterreur(reference)"</formula>
    </cfRule>
  </conditionalFormatting>
  <conditionalFormatting sqref="P187">
    <cfRule type="expression" dxfId="438" priority="75" stopIfTrue="1">
      <formula>"esterreur(reference)"</formula>
    </cfRule>
  </conditionalFormatting>
  <conditionalFormatting sqref="P190">
    <cfRule type="expression" dxfId="437" priority="74" stopIfTrue="1">
      <formula>"esterreur(reference)"</formula>
    </cfRule>
  </conditionalFormatting>
  <conditionalFormatting sqref="Q210">
    <cfRule type="expression" dxfId="436" priority="73" stopIfTrue="1">
      <formula>"esterreur(reference)"</formula>
    </cfRule>
  </conditionalFormatting>
  <conditionalFormatting sqref="O287:Q287 O288:P288 O242:Q242 O251:Q252 O284:Q284 Q275:Q283 O253:P274">
    <cfRule type="expression" dxfId="435" priority="70" stopIfTrue="1">
      <formula>"esterreur(reference)"</formula>
    </cfRule>
  </conditionalFormatting>
  <conditionalFormatting sqref="O275:P280">
    <cfRule type="expression" dxfId="434" priority="71" stopIfTrue="1">
      <formula>"esterreur(reference)"</formula>
    </cfRule>
  </conditionalFormatting>
  <conditionalFormatting sqref="O281:P283">
    <cfRule type="expression" dxfId="433" priority="72" stopIfTrue="1">
      <formula>"esterreur(reference)"</formula>
    </cfRule>
  </conditionalFormatting>
  <conditionalFormatting sqref="Q271">
    <cfRule type="expression" dxfId="432" priority="52" stopIfTrue="1">
      <formula>"esterreur(reference)"</formula>
    </cfRule>
  </conditionalFormatting>
  <conditionalFormatting sqref="Q274">
    <cfRule type="expression" dxfId="431" priority="50" stopIfTrue="1">
      <formula>"esterreur(reference)"</formula>
    </cfRule>
  </conditionalFormatting>
  <conditionalFormatting sqref="Q243">
    <cfRule type="expression" dxfId="430" priority="69" stopIfTrue="1">
      <formula>"esterreur(reference)"</formula>
    </cfRule>
  </conditionalFormatting>
  <conditionalFormatting sqref="Q246">
    <cfRule type="expression" dxfId="429" priority="68" stopIfTrue="1">
      <formula>"esterreur(reference)"</formula>
    </cfRule>
  </conditionalFormatting>
  <conditionalFormatting sqref="Q253">
    <cfRule type="expression" dxfId="428" priority="67" stopIfTrue="1">
      <formula>"esterreur(reference)"</formula>
    </cfRule>
  </conditionalFormatting>
  <conditionalFormatting sqref="Q254">
    <cfRule type="expression" dxfId="427" priority="66" stopIfTrue="1">
      <formula>"esterreur(reference)"</formula>
    </cfRule>
  </conditionalFormatting>
  <conditionalFormatting sqref="Q255">
    <cfRule type="expression" dxfId="426" priority="65" stopIfTrue="1">
      <formula>"esterreur(reference)"</formula>
    </cfRule>
  </conditionalFormatting>
  <conditionalFormatting sqref="Q256">
    <cfRule type="expression" dxfId="425" priority="64" stopIfTrue="1">
      <formula>"esterreur(reference)"</formula>
    </cfRule>
  </conditionalFormatting>
  <conditionalFormatting sqref="Q257">
    <cfRule type="expression" dxfId="424" priority="63" stopIfTrue="1">
      <formula>"esterreur(reference)"</formula>
    </cfRule>
  </conditionalFormatting>
  <conditionalFormatting sqref="Q258">
    <cfRule type="expression" dxfId="423" priority="62" stopIfTrue="1">
      <formula>"esterreur(reference)"</formula>
    </cfRule>
  </conditionalFormatting>
  <conditionalFormatting sqref="Q259">
    <cfRule type="expression" dxfId="422" priority="61" stopIfTrue="1">
      <formula>"esterreur(reference)"</formula>
    </cfRule>
  </conditionalFormatting>
  <conditionalFormatting sqref="Q260">
    <cfRule type="expression" dxfId="421" priority="60" stopIfTrue="1">
      <formula>"esterreur(reference)"</formula>
    </cfRule>
  </conditionalFormatting>
  <conditionalFormatting sqref="Q261">
    <cfRule type="expression" dxfId="420" priority="59" stopIfTrue="1">
      <formula>"esterreur(reference)"</formula>
    </cfRule>
  </conditionalFormatting>
  <conditionalFormatting sqref="Q262">
    <cfRule type="expression" dxfId="419" priority="58" stopIfTrue="1">
      <formula>"esterreur(reference)"</formula>
    </cfRule>
  </conditionalFormatting>
  <conditionalFormatting sqref="Q263:Q264">
    <cfRule type="expression" dxfId="418" priority="57" stopIfTrue="1">
      <formula>"esterreur(reference)"</formula>
    </cfRule>
  </conditionalFormatting>
  <conditionalFormatting sqref="Q268">
    <cfRule type="expression" dxfId="417" priority="55" stopIfTrue="1">
      <formula>"esterreur(reference)"</formula>
    </cfRule>
  </conditionalFormatting>
  <conditionalFormatting sqref="Q267">
    <cfRule type="expression" dxfId="416" priority="56" stopIfTrue="1">
      <formula>"esterreur(reference)"</formula>
    </cfRule>
  </conditionalFormatting>
  <conditionalFormatting sqref="Q269">
    <cfRule type="expression" dxfId="415" priority="54" stopIfTrue="1">
      <formula>"esterreur(reference)"</formula>
    </cfRule>
  </conditionalFormatting>
  <conditionalFormatting sqref="Q270">
    <cfRule type="expression" dxfId="414" priority="53" stopIfTrue="1">
      <formula>"esterreur(reference)"</formula>
    </cfRule>
  </conditionalFormatting>
  <conditionalFormatting sqref="Q272:Q273">
    <cfRule type="expression" dxfId="413" priority="51" stopIfTrue="1">
      <formula>"esterreur(reference)"</formula>
    </cfRule>
  </conditionalFormatting>
  <conditionalFormatting sqref="P240">
    <cfRule type="expression" dxfId="412" priority="49" stopIfTrue="1">
      <formula>"esterreur(reference)"</formula>
    </cfRule>
  </conditionalFormatting>
  <conditionalFormatting sqref="P243">
    <cfRule type="expression" dxfId="411" priority="48" stopIfTrue="1">
      <formula>"esterreur(reference)"</formula>
    </cfRule>
  </conditionalFormatting>
  <conditionalFormatting sqref="P246">
    <cfRule type="expression" dxfId="410" priority="47" stopIfTrue="1">
      <formula>"esterreur(reference)"</formula>
    </cfRule>
  </conditionalFormatting>
  <conditionalFormatting sqref="Q240">
    <cfRule type="expression" dxfId="409" priority="46" stopIfTrue="1">
      <formula>"esterreur(reference)"</formula>
    </cfRule>
  </conditionalFormatting>
  <conditionalFormatting sqref="P286">
    <cfRule type="expression" dxfId="408" priority="45" stopIfTrue="1">
      <formula>"esterreur(reference)"</formula>
    </cfRule>
  </conditionalFormatting>
  <conditionalFormatting sqref="Q266">
    <cfRule type="expression" dxfId="407" priority="4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06" priority="42" stopIfTrue="1">
      <formula>"esterreur(reference)"</formula>
    </cfRule>
  </conditionalFormatting>
  <conditionalFormatting sqref="O316:Q316">
    <cfRule type="expression" dxfId="405" priority="43" stopIfTrue="1">
      <formula>"esterreur(reference)"</formula>
    </cfRule>
  </conditionalFormatting>
  <conditionalFormatting sqref="Q331:Q347">
    <cfRule type="expression" dxfId="404" priority="29" stopIfTrue="1">
      <formula>"esterreur(reference)"</formula>
    </cfRule>
  </conditionalFormatting>
  <conditionalFormatting sqref="Q325">
    <cfRule type="expression" dxfId="403" priority="33" stopIfTrue="1">
      <formula>"esterreur(reference)"</formula>
    </cfRule>
  </conditionalFormatting>
  <conditionalFormatting sqref="Q326">
    <cfRule type="expression" dxfId="402" priority="32" stopIfTrue="1">
      <formula>"esterreur(reference)"</formula>
    </cfRule>
  </conditionalFormatting>
  <conditionalFormatting sqref="Q327">
    <cfRule type="expression" dxfId="401" priority="31" stopIfTrue="1">
      <formula>"esterreur(reference)"</formula>
    </cfRule>
  </conditionalFormatting>
  <conditionalFormatting sqref="Q328">
    <cfRule type="expression" dxfId="400" priority="30" stopIfTrue="1">
      <formula>"esterreur(reference)"</formula>
    </cfRule>
  </conditionalFormatting>
  <conditionalFormatting sqref="Q294:Q300">
    <cfRule type="expression" dxfId="399" priority="41" stopIfTrue="1">
      <formula>"esterreur(reference)"</formula>
    </cfRule>
  </conditionalFormatting>
  <conditionalFormatting sqref="Q301">
    <cfRule type="expression" dxfId="398" priority="40" stopIfTrue="1">
      <formula>"esterreur(reference)"</formula>
    </cfRule>
  </conditionalFormatting>
  <conditionalFormatting sqref="Q302">
    <cfRule type="expression" dxfId="397" priority="39" stopIfTrue="1">
      <formula>"esterreur(reference)"</formula>
    </cfRule>
  </conditionalFormatting>
  <conditionalFormatting sqref="Q306">
    <cfRule type="expression" dxfId="396" priority="38" stopIfTrue="1">
      <formula>"esterreur(reference)"</formula>
    </cfRule>
  </conditionalFormatting>
  <conditionalFormatting sqref="Q307">
    <cfRule type="expression" dxfId="395" priority="37" stopIfTrue="1">
      <formula>"esterreur(reference)"</formula>
    </cfRule>
  </conditionalFormatting>
  <conditionalFormatting sqref="Q311">
    <cfRule type="expression" dxfId="394" priority="36" stopIfTrue="1">
      <formula>"esterreur(reference)"</formula>
    </cfRule>
  </conditionalFormatting>
  <conditionalFormatting sqref="Q317">
    <cfRule type="expression" dxfId="393" priority="35" stopIfTrue="1">
      <formula>"esterreur(reference)"</formula>
    </cfRule>
  </conditionalFormatting>
  <conditionalFormatting sqref="Q318">
    <cfRule type="expression" dxfId="392" priority="34" stopIfTrue="1">
      <formula>"esterreur(reference)"</formula>
    </cfRule>
  </conditionalFormatting>
  <conditionalFormatting sqref="O306:O307">
    <cfRule type="expression" dxfId="391" priority="28" stopIfTrue="1">
      <formula>"esterreur(reference)"</formula>
    </cfRule>
  </conditionalFormatting>
  <conditionalFormatting sqref="O311">
    <cfRule type="expression" dxfId="390" priority="27" stopIfTrue="1">
      <formula>"esterreur(reference)"</formula>
    </cfRule>
  </conditionalFormatting>
  <conditionalFormatting sqref="Q330">
    <cfRule type="expression" dxfId="389" priority="26" stopIfTrue="1">
      <formula>"esterreur(reference)"</formula>
    </cfRule>
  </conditionalFormatting>
  <conditionalFormatting sqref="O363:Q363 O364:P375">
    <cfRule type="expression" dxfId="388" priority="20" stopIfTrue="1">
      <formula>"esterreur(reference)"</formula>
    </cfRule>
  </conditionalFormatting>
  <conditionalFormatting sqref="O358:Q358">
    <cfRule type="expression" dxfId="387" priority="21" stopIfTrue="1">
      <formula>"esterreur(reference)"</formula>
    </cfRule>
  </conditionalFormatting>
  <conditionalFormatting sqref="O376:Q376 O377:P392">
    <cfRule type="expression" dxfId="386" priority="22" stopIfTrue="1">
      <formula>"esterreur(reference)"</formula>
    </cfRule>
  </conditionalFormatting>
  <conditionalFormatting sqref="O395:Q398 O393:P393">
    <cfRule type="expression" dxfId="385" priority="23" stopIfTrue="1">
      <formula>"esterreur(reference)"</formula>
    </cfRule>
  </conditionalFormatting>
  <conditionalFormatting sqref="O360:Q362 P359">
    <cfRule type="expression" dxfId="384" priority="24" stopIfTrue="1">
      <formula>"esterreur(reference)"</formula>
    </cfRule>
  </conditionalFormatting>
  <conditionalFormatting sqref="P394">
    <cfRule type="expression" dxfId="383" priority="25" stopIfTrue="1">
      <formula>"esterreur(reference)"</formula>
    </cfRule>
  </conditionalFormatting>
  <conditionalFormatting sqref="Q364:Q375">
    <cfRule type="expression" dxfId="382" priority="19" stopIfTrue="1">
      <formula>"esterreur(reference)"</formula>
    </cfRule>
  </conditionalFormatting>
  <conditionalFormatting sqref="Q377:Q393">
    <cfRule type="expression" dxfId="381" priority="18" stopIfTrue="1">
      <formula>"esterreur(reference)"</formula>
    </cfRule>
  </conditionalFormatting>
  <conditionalFormatting sqref="O359">
    <cfRule type="expression" dxfId="380" priority="17" stopIfTrue="1">
      <formula>"esterreur(reference)"</formula>
    </cfRule>
  </conditionalFormatting>
  <conditionalFormatting sqref="Q359">
    <cfRule type="expression" dxfId="379" priority="16" stopIfTrue="1">
      <formula>"esterreur(reference)"</formula>
    </cfRule>
  </conditionalFormatting>
  <conditionalFormatting sqref="Q36:Q40">
    <cfRule type="expression" dxfId="378" priority="15" stopIfTrue="1">
      <formula>"esterreur(reference)"</formula>
    </cfRule>
  </conditionalFormatting>
  <conditionalFormatting sqref="L68">
    <cfRule type="expression" dxfId="377" priority="14" stopIfTrue="1">
      <formula>"esterreur(reference)"</formula>
    </cfRule>
  </conditionalFormatting>
  <conditionalFormatting sqref="Q149:Q151">
    <cfRule type="expression" dxfId="376" priority="6" stopIfTrue="1">
      <formula>"esterreur(reference)"</formula>
    </cfRule>
  </conditionalFormatting>
  <conditionalFormatting sqref="H148 J148:K148">
    <cfRule type="expression" dxfId="375" priority="13" stopIfTrue="1">
      <formula>"esterreur(reference)"</formula>
    </cfRule>
  </conditionalFormatting>
  <conditionalFormatting sqref="L148">
    <cfRule type="expression" dxfId="374" priority="12" stopIfTrue="1">
      <formula>"esterreur(reference)"</formula>
    </cfRule>
  </conditionalFormatting>
  <conditionalFormatting sqref="O148:P148">
    <cfRule type="expression" dxfId="373" priority="11" stopIfTrue="1">
      <formula>"esterreur(reference)"</formula>
    </cfRule>
  </conditionalFormatting>
  <conditionalFormatting sqref="Q148">
    <cfRule type="expression" dxfId="372" priority="10" stopIfTrue="1">
      <formula>"esterreur(reference)"</formula>
    </cfRule>
  </conditionalFormatting>
  <conditionalFormatting sqref="H149:H151 J149:K151">
    <cfRule type="expression" dxfId="371" priority="9" stopIfTrue="1">
      <formula>"esterreur(reference)"</formula>
    </cfRule>
  </conditionalFormatting>
  <conditionalFormatting sqref="L149:L151">
    <cfRule type="expression" dxfId="370" priority="8" stopIfTrue="1">
      <formula>"esterreur(reference)"</formula>
    </cfRule>
  </conditionalFormatting>
  <conditionalFormatting sqref="O149:P151">
    <cfRule type="expression" dxfId="369" priority="7" stopIfTrue="1">
      <formula>"esterreur(reference)"</formula>
    </cfRule>
  </conditionalFormatting>
  <conditionalFormatting sqref="L158:L161">
    <cfRule type="expression" dxfId="368" priority="5" stopIfTrue="1">
      <formula>"esterreur(reference)"</formula>
    </cfRule>
  </conditionalFormatting>
  <conditionalFormatting sqref="AG414:AI417">
    <cfRule type="cellIs" dxfId="367" priority="4" operator="greaterThan">
      <formula>0</formula>
    </cfRule>
  </conditionalFormatting>
  <conditionalFormatting sqref="AO414:AO417">
    <cfRule type="cellIs" dxfId="366" priority="3" operator="greaterThan">
      <formula>0</formula>
    </cfRule>
  </conditionalFormatting>
  <conditionalFormatting sqref="G31:G32">
    <cfRule type="expression" dxfId="365" priority="2" stopIfTrue="1">
      <formula>"esterreur(reference)"</formula>
    </cfRule>
  </conditionalFormatting>
  <conditionalFormatting sqref="G111:G112">
    <cfRule type="expression" dxfId="364" priority="1" stopIfTrue="1">
      <formula>"esterreur(reference)"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697"/>
  <sheetViews>
    <sheetView topLeftCell="C1" zoomScale="70" zoomScaleNormal="70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3.625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tr">
        <f>[7]Parametres!B1</f>
        <v>Volks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CONCATENATE("Réalisé,"," ",[7]Parametres!B3," ",[7]Parametres!B4)</f>
        <v>Réalisé, Juin 2021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218</v>
      </c>
      <c r="K2" s="9"/>
      <c r="L2" s="9" t="s">
        <v>214</v>
      </c>
      <c r="M2" s="11"/>
      <c r="N2" s="11"/>
      <c r="O2" s="9" t="s">
        <v>218</v>
      </c>
      <c r="P2" s="9"/>
      <c r="Q2" s="9" t="s">
        <v>214</v>
      </c>
      <c r="R2" s="11"/>
      <c r="S2" s="11"/>
      <c r="T2" s="11"/>
      <c r="U2" s="11"/>
    </row>
    <row r="3" spans="1:40" ht="21" thickTop="1">
      <c r="B3" s="12"/>
      <c r="C3" s="13"/>
      <c r="D3" s="519" t="s">
        <v>5</v>
      </c>
      <c r="E3" s="520"/>
      <c r="F3" s="521"/>
      <c r="G3" s="522" t="s">
        <v>6</v>
      </c>
      <c r="H3" s="520"/>
      <c r="I3" s="521"/>
      <c r="J3" s="522" t="s">
        <v>7</v>
      </c>
      <c r="K3" s="520"/>
      <c r="L3" s="521"/>
      <c r="M3" s="522" t="s">
        <v>8</v>
      </c>
      <c r="N3" s="521"/>
      <c r="O3" s="519" t="s">
        <v>9</v>
      </c>
      <c r="P3" s="520"/>
      <c r="Q3" s="521"/>
      <c r="R3" s="522" t="s">
        <v>10</v>
      </c>
      <c r="S3" s="523"/>
      <c r="T3" s="14"/>
      <c r="U3" s="14"/>
      <c r="V3" t="s">
        <v>234</v>
      </c>
      <c r="W3" s="527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t="s">
        <v>235</v>
      </c>
      <c r="W4" s="527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0">+$K$1</f>
        <v>Véhicules neufs</v>
      </c>
      <c r="C5" s="21" t="s">
        <v>16</v>
      </c>
      <c r="D5" s="22"/>
      <c r="E5" s="22"/>
      <c r="F5" s="23">
        <f>+INDEX('[7]Budget original'!$A$2:$AO$496,MATCH($A5,'[7]Budget original'!$A$2:$A$496,0),MATCH(F$2,'[7]Budget original'!$A$2:$AO$2,0))</f>
        <v>691716.39517554897</v>
      </c>
      <c r="G5" s="22"/>
      <c r="H5" s="22"/>
      <c r="I5" s="25">
        <f>+INDEX('[7]Budget révisé'!$A$2:$AO$496,MATCH($A5,'[7]Budget révisé'!$A$2:$A$496,0),MATCH(I$2,'[7]Budget révisé'!$A$2:$AO$2,0))</f>
        <v>691716.39517554897</v>
      </c>
      <c r="J5" s="24"/>
      <c r="K5" s="26"/>
      <c r="L5" s="23">
        <f>-SUMIFS([7]BV_Data_An_Cour!$O:$O,[7]BV_Data_An_Cour!$X:$X,"Oui",[7]BV_Data_An_Cour!$U:$U,$B5)</f>
        <v>2741022.1500000004</v>
      </c>
      <c r="M5" s="27"/>
      <c r="N5" s="28"/>
      <c r="O5" s="24"/>
      <c r="P5" s="26"/>
      <c r="Q5" s="23">
        <f>-SUMIFS([7]BV_Data_An_Prec!$O:$O,[7]BV_Data_An_Prec!$X:$X,"Oui",[7]BV_Data_An_Prec!$U:$U,$B5)</f>
        <v>3203016.83</v>
      </c>
      <c r="R5" s="27"/>
      <c r="S5" s="29"/>
      <c r="T5" s="14"/>
      <c r="U5" s="14"/>
      <c r="V5" s="528" t="s">
        <v>229</v>
      </c>
      <c r="W5" s="529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1">+B6&amp;C6</f>
        <v>Véhicules neufsAutos détail</v>
      </c>
      <c r="B6" s="12" t="str">
        <f t="shared" si="0"/>
        <v>Véhicules neufs</v>
      </c>
      <c r="C6" s="30" t="s">
        <v>17</v>
      </c>
      <c r="D6" s="31">
        <v>35.760209540040471</v>
      </c>
      <c r="E6" s="31">
        <f>IF(D6=0,0,F6/D6)</f>
        <v>672.8767199980748</v>
      </c>
      <c r="F6" s="31">
        <f>+INDEX('[7]Budget original'!$A$2:$AO$496,MATCH($A6,'[7]Budget original'!$A$2:$A$496,0),MATCH(F$2,'[7]Budget original'!$A$2:$AO$2,0))</f>
        <v>24062.212501746297</v>
      </c>
      <c r="G6" s="32">
        <v>25</v>
      </c>
      <c r="H6" s="31">
        <f>IF(G6=0,0,I6/G6)</f>
        <v>962.48850006985185</v>
      </c>
      <c r="I6" s="31">
        <f>+INDEX('[7]Budget révisé'!$A$2:$AO$496,MATCH($A6,'[7]Budget révisé'!$A$2:$A$496,0),MATCH(I$2,'[7]Budget révisé'!$A$2:$AO$2,0))</f>
        <v>24062.212501746297</v>
      </c>
      <c r="J6" s="32">
        <f>-SUMIFS([7]BV_Data_An_Cour!$O:$O,[7]BV_Data_An_Cour!$U:$U,$B6,[7]BV_Data_An_Cour!$V:$V,$C6,[7]BV_Data_An_Cour!$W:$W,J$2)</f>
        <v>23</v>
      </c>
      <c r="K6" s="31">
        <f>IF(J6=0,0,L6/J6)</f>
        <v>1164.0582608695624</v>
      </c>
      <c r="L6" s="33">
        <f>-SUMIFS([7]BV_Data_An_Cour!$O:$O,[7]BV_Data_An_Cour!$U:$U,$B6,[7]BV_Data_An_Cour!$V:$V,$C6,[7]BV_Data_An_Cour!$W:$W,L$2)</f>
        <v>26773.339999999938</v>
      </c>
      <c r="M6" s="32">
        <f t="shared" ref="M6:M12" si="2">J6-G6</f>
        <v>-2</v>
      </c>
      <c r="N6" s="34">
        <f>L6-I6</f>
        <v>2711.1274982536415</v>
      </c>
      <c r="O6" s="32">
        <f>-SUMIFS([7]BV_Data_An_Prec!$O:$O,[7]BV_Data_An_Prec!$U:$U,$B6,[7]BV_Data_An_Prec!$V:$V,$C6,[7]BV_Data_An_Prec!$W:$W,O$2)</f>
        <v>54</v>
      </c>
      <c r="P6" s="31">
        <f>IF(O6=0,0,Q6/O6)</f>
        <v>571.80129629629687</v>
      </c>
      <c r="Q6" s="33">
        <f>-SUMIFS([7]BV_Data_An_Prec!$O:$O,[7]BV_Data_An_Prec!$U:$U,$B6,[7]BV_Data_An_Prec!$V:$V,$C6,[7]BV_Data_An_Prec!$W:$W,Q$2)</f>
        <v>30877.270000000033</v>
      </c>
      <c r="R6" s="32">
        <f t="shared" ref="R6:R12" si="3">J6-O6</f>
        <v>-31</v>
      </c>
      <c r="S6" s="35">
        <f t="shared" ref="S6:S12" si="4">L6-Q6</f>
        <v>-4103.9300000000949</v>
      </c>
      <c r="T6" s="14"/>
      <c r="U6" s="14"/>
      <c r="V6" s="528" t="s">
        <v>236</v>
      </c>
      <c r="W6" s="529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1"/>
        <v>Véhicules neufsCamions détail</v>
      </c>
      <c r="B7" s="12" t="str">
        <f t="shared" si="0"/>
        <v>Véhicules neufs</v>
      </c>
      <c r="C7" s="30" t="s">
        <v>18</v>
      </c>
      <c r="D7" s="31">
        <v>48.03434086731508</v>
      </c>
      <c r="E7" s="31">
        <f t="shared" ref="E7:E12" si="5">IF(D7=0,0,F7/D7)</f>
        <v>1199.5994426260143</v>
      </c>
      <c r="F7" s="31">
        <f>+INDEX('[7]Budget original'!$A$2:$AO$496,MATCH($A7,'[7]Budget original'!$A$2:$A$496,0),MATCH(F$2,'[7]Budget original'!$A$2:$AO$2,0))</f>
        <v>57621.968531339153</v>
      </c>
      <c r="G7" s="32">
        <v>34</v>
      </c>
      <c r="H7" s="31">
        <f t="shared" ref="H7:H12" si="6">IF(G7=0,0,I7/G7)</f>
        <v>1694.7637803335044</v>
      </c>
      <c r="I7" s="31">
        <f>+INDEX('[7]Budget révisé'!$A$2:$AO$496,MATCH($A7,'[7]Budget révisé'!$A$2:$A$496,0),MATCH(I$2,'[7]Budget révisé'!$A$2:$AO$2,0))</f>
        <v>57621.968531339153</v>
      </c>
      <c r="J7" s="32">
        <f>-SUMIFS([7]BV_Data_An_Cour!$O:$O,[7]BV_Data_An_Cour!$U:$U,$B7,[7]BV_Data_An_Cour!$V:$V,$C7,[7]BV_Data_An_Cour!$W:$W,J$2)</f>
        <v>32</v>
      </c>
      <c r="K7" s="31">
        <f t="shared" ref="K7:K12" si="7">IF(J7=0,0,L7/J7)</f>
        <v>2323.7590625000012</v>
      </c>
      <c r="L7" s="33">
        <f>-SUMIFS([7]BV_Data_An_Cour!$O:$O,[7]BV_Data_An_Cour!$U:$U,$B7,[7]BV_Data_An_Cour!$V:$V,$C7,[7]BV_Data_An_Cour!$W:$W,L$2)</f>
        <v>74360.290000000037</v>
      </c>
      <c r="M7" s="32">
        <f t="shared" si="2"/>
        <v>-2</v>
      </c>
      <c r="N7" s="34">
        <f t="shared" ref="N7:N12" si="8">L7-I7</f>
        <v>16738.321468660884</v>
      </c>
      <c r="O7" s="32">
        <f>-SUMIFS([7]BV_Data_An_Prec!$O:$O,[7]BV_Data_An_Prec!$U:$U,$B7,[7]BV_Data_An_Prec!$V:$V,$C7,[7]BV_Data_An_Prec!$W:$W,O$2)</f>
        <v>23</v>
      </c>
      <c r="P7" s="31">
        <f t="shared" ref="P7:P12" si="9">IF(O7=0,0,Q7/O7)</f>
        <v>995.91391304347405</v>
      </c>
      <c r="Q7" s="33">
        <f>-SUMIFS([7]BV_Data_An_Prec!$O:$O,[7]BV_Data_An_Prec!$U:$U,$B7,[7]BV_Data_An_Prec!$V:$V,$C7,[7]BV_Data_An_Prec!$W:$W,Q$2)</f>
        <v>22906.019999999902</v>
      </c>
      <c r="R7" s="32">
        <f t="shared" si="3"/>
        <v>9</v>
      </c>
      <c r="S7" s="35">
        <f t="shared" si="4"/>
        <v>51454.270000000135</v>
      </c>
      <c r="T7" s="14"/>
      <c r="U7" s="14"/>
      <c r="V7" t="s">
        <v>237</v>
      </c>
      <c r="W7" s="527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1"/>
        <v>Véhicules neufsSprinter</v>
      </c>
      <c r="B8" s="12" t="str">
        <f t="shared" si="0"/>
        <v>Véhicules neufs</v>
      </c>
      <c r="C8" s="30" t="s">
        <v>19</v>
      </c>
      <c r="D8" s="31">
        <v>0</v>
      </c>
      <c r="E8" s="31">
        <f t="shared" si="5"/>
        <v>0</v>
      </c>
      <c r="F8" s="31">
        <f>+INDEX('[7]Budget original'!$A$2:$AO$496,MATCH($A8,'[7]Budget original'!$A$2:$A$496,0),MATCH(F$2,'[7]Budget original'!$A$2:$AO$2,0))</f>
        <v>0</v>
      </c>
      <c r="G8" s="32">
        <v>0</v>
      </c>
      <c r="H8" s="31">
        <f t="shared" si="6"/>
        <v>0</v>
      </c>
      <c r="I8" s="31">
        <f>+INDEX('[7]Budget révisé'!$A$2:$AO$496,MATCH($A8,'[7]Budget révisé'!$A$2:$A$496,0),MATCH(I$2,'[7]Budget révisé'!$A$2:$AO$2,0))</f>
        <v>0</v>
      </c>
      <c r="J8" s="32">
        <f>-SUMIFS([7]BV_Data_An_Cour!$O:$O,[7]BV_Data_An_Cour!$U:$U,$B8,[7]BV_Data_An_Cour!$V:$V,$C8,[7]BV_Data_An_Cour!$W:$W,J$2)</f>
        <v>0</v>
      </c>
      <c r="K8" s="31">
        <f t="shared" si="7"/>
        <v>0</v>
      </c>
      <c r="L8" s="33">
        <f>-SUMIFS([7]BV_Data_An_Cour!$O:$O,[7]BV_Data_An_Cour!$U:$U,$B8,[7]BV_Data_An_Cour!$V:$V,$C8,[7]BV_Data_An_Cour!$W:$W,L$2)</f>
        <v>0</v>
      </c>
      <c r="M8" s="32">
        <f t="shared" si="2"/>
        <v>0</v>
      </c>
      <c r="N8" s="34">
        <f t="shared" si="8"/>
        <v>0</v>
      </c>
      <c r="O8" s="32">
        <f>-SUMIFS([7]BV_Data_An_Prec!$O:$O,[7]BV_Data_An_Prec!$U:$U,$B8,[7]BV_Data_An_Prec!$V:$V,$C8,[7]BV_Data_An_Prec!$W:$W,O$2)</f>
        <v>0</v>
      </c>
      <c r="P8" s="31">
        <f t="shared" si="9"/>
        <v>0</v>
      </c>
      <c r="Q8" s="33">
        <f>-SUMIFS([7]BV_Data_An_Prec!$O:$O,[7]BV_Data_An_Prec!$U:$U,$B8,[7]BV_Data_An_Prec!$V:$V,$C8,[7]BV_Data_An_Prec!$W:$W,Q$2)</f>
        <v>0</v>
      </c>
      <c r="R8" s="32">
        <f t="shared" si="3"/>
        <v>0</v>
      </c>
      <c r="S8" s="35">
        <f t="shared" si="4"/>
        <v>0</v>
      </c>
      <c r="T8" s="14"/>
      <c r="U8" s="14"/>
      <c r="W8" s="527">
        <f t="shared" ref="W8" si="10">SUM(W3:W7)</f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1"/>
        <v>Véhicules neufsMoto détail</v>
      </c>
      <c r="B9" s="12" t="str">
        <f t="shared" si="0"/>
        <v>Véhicules neufs</v>
      </c>
      <c r="C9" s="30" t="s">
        <v>20</v>
      </c>
      <c r="D9" s="31">
        <v>0</v>
      </c>
      <c r="E9" s="31">
        <f t="shared" si="5"/>
        <v>0</v>
      </c>
      <c r="F9" s="31">
        <f>+INDEX('[7]Budget original'!$A$2:$AO$496,MATCH($A9,'[7]Budget original'!$A$2:$A$496,0),MATCH(F$2,'[7]Budget original'!$A$2:$AO$2,0))</f>
        <v>0</v>
      </c>
      <c r="G9" s="32">
        <v>0</v>
      </c>
      <c r="H9" s="31">
        <f t="shared" si="6"/>
        <v>0</v>
      </c>
      <c r="I9" s="31">
        <f>+INDEX('[7]Budget révisé'!$A$2:$AO$496,MATCH($A9,'[7]Budget révisé'!$A$2:$A$496,0),MATCH(I$2,'[7]Budget révisé'!$A$2:$AO$2,0))</f>
        <v>0</v>
      </c>
      <c r="J9" s="32">
        <f>-SUMIFS([7]BV_Data_An_Cour!$O:$O,[7]BV_Data_An_Cour!$U:$U,$B9,[7]BV_Data_An_Cour!$V:$V,$C9,[7]BV_Data_An_Cour!$W:$W,J$2)</f>
        <v>0</v>
      </c>
      <c r="K9" s="31">
        <f t="shared" si="7"/>
        <v>0</v>
      </c>
      <c r="L9" s="33">
        <f>-SUMIFS([7]BV_Data_An_Cour!$O:$O,[7]BV_Data_An_Cour!$U:$U,$B9,[7]BV_Data_An_Cour!$V:$V,$C9,[7]BV_Data_An_Cour!$W:$W,L$2)</f>
        <v>0</v>
      </c>
      <c r="M9" s="32">
        <f t="shared" si="2"/>
        <v>0</v>
      </c>
      <c r="N9" s="34">
        <f t="shared" si="8"/>
        <v>0</v>
      </c>
      <c r="O9" s="32">
        <f>-SUMIFS([7]BV_Data_An_Prec!$O:$O,[7]BV_Data_An_Prec!$U:$U,$B9,[7]BV_Data_An_Prec!$V:$V,$C9,[7]BV_Data_An_Prec!$W:$W,O$2)</f>
        <v>0</v>
      </c>
      <c r="P9" s="31">
        <f t="shared" si="9"/>
        <v>0</v>
      </c>
      <c r="Q9" s="33">
        <f>-SUMIFS([7]BV_Data_An_Prec!$O:$O,[7]BV_Data_An_Prec!$U:$U,$B9,[7]BV_Data_An_Prec!$V:$V,$C9,[7]BV_Data_An_Prec!$W:$W,Q$2)</f>
        <v>0</v>
      </c>
      <c r="R9" s="32">
        <f t="shared" si="3"/>
        <v>0</v>
      </c>
      <c r="S9" s="35">
        <f t="shared" si="4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 thickBot="1">
      <c r="A10" t="str">
        <f t="shared" si="1"/>
        <v>Véhicules neufs[...]</v>
      </c>
      <c r="B10" s="12" t="str">
        <f t="shared" si="0"/>
        <v>Véhicules neufs</v>
      </c>
      <c r="C10" s="30" t="s">
        <v>21</v>
      </c>
      <c r="D10" s="31">
        <v>0</v>
      </c>
      <c r="E10" s="31">
        <f t="shared" si="5"/>
        <v>0</v>
      </c>
      <c r="F10" s="31">
        <f>+INDEX('[7]Budget original'!$A$2:$AO$496,MATCH($A10,'[7]Budget original'!$A$2:$A$496,0),MATCH(F$2,'[7]Budget original'!$A$2:$AO$2,0))</f>
        <v>0</v>
      </c>
      <c r="G10" s="32">
        <v>0</v>
      </c>
      <c r="H10" s="31">
        <f t="shared" si="6"/>
        <v>0</v>
      </c>
      <c r="I10" s="31">
        <f>+INDEX('[7]Budget révisé'!$A$2:$AO$496,MATCH($A10,'[7]Budget révisé'!$A$2:$A$496,0),MATCH(I$2,'[7]Budget révisé'!$A$2:$AO$2,0))</f>
        <v>0</v>
      </c>
      <c r="J10" s="32">
        <f>-SUMIFS([7]BV_Data_An_Cour!$O:$O,[7]BV_Data_An_Cour!$U:$U,$B10,[7]BV_Data_An_Cour!$V:$V,$C10,[7]BV_Data_An_Cour!$W:$W,J$2)</f>
        <v>0</v>
      </c>
      <c r="K10" s="31">
        <f t="shared" si="7"/>
        <v>0</v>
      </c>
      <c r="L10" s="33">
        <f>-SUMIFS([7]BV_Data_An_Cour!$O:$O,[7]BV_Data_An_Cour!$U:$U,$B10,[7]BV_Data_An_Cour!$V:$V,$C10,[7]BV_Data_An_Cour!$W:$W,L$2)</f>
        <v>0</v>
      </c>
      <c r="M10" s="32">
        <f t="shared" si="2"/>
        <v>0</v>
      </c>
      <c r="N10" s="34">
        <f t="shared" si="8"/>
        <v>0</v>
      </c>
      <c r="O10" s="32">
        <f>-SUMIFS([7]BV_Data_An_Prec!$O:$O,[7]BV_Data_An_Prec!$U:$U,$B10,[7]BV_Data_An_Prec!$V:$V,$C10,[7]BV_Data_An_Prec!$W:$W,O$2)</f>
        <v>0</v>
      </c>
      <c r="P10" s="31">
        <f t="shared" si="9"/>
        <v>0</v>
      </c>
      <c r="Q10" s="33">
        <f>-SUMIFS([7]BV_Data_An_Prec!$O:$O,[7]BV_Data_An_Prec!$U:$U,$B10,[7]BV_Data_An_Prec!$V:$V,$C10,[7]BV_Data_An_Prec!$W:$W,Q$2)</f>
        <v>0</v>
      </c>
      <c r="R10" s="32">
        <f t="shared" si="3"/>
        <v>0</v>
      </c>
      <c r="S10" s="35">
        <f t="shared" si="4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 thickBot="1">
      <c r="A11" t="str">
        <f t="shared" si="1"/>
        <v>Véhicules neufs[...]</v>
      </c>
      <c r="B11" s="12" t="str">
        <f t="shared" si="0"/>
        <v>Véhicules neufs</v>
      </c>
      <c r="C11" s="30" t="s">
        <v>21</v>
      </c>
      <c r="D11" s="31">
        <v>0</v>
      </c>
      <c r="E11" s="31">
        <f t="shared" si="5"/>
        <v>0</v>
      </c>
      <c r="F11" s="31">
        <f>+INDEX('[7]Budget original'!$A$2:$AO$496,MATCH($A11,'[7]Budget original'!$A$2:$A$496,0),MATCH(F$2,'[7]Budget original'!$A$2:$AO$2,0))</f>
        <v>0</v>
      </c>
      <c r="G11" s="32">
        <v>0</v>
      </c>
      <c r="H11" s="31">
        <f t="shared" si="6"/>
        <v>0</v>
      </c>
      <c r="I11" s="31">
        <f>+INDEX('[7]Budget révisé'!$A$2:$AO$496,MATCH($A11,'[7]Budget révisé'!$A$2:$A$496,0),MATCH(I$2,'[7]Budget révisé'!$A$2:$AO$2,0))</f>
        <v>0</v>
      </c>
      <c r="J11" s="32">
        <f>-SUMIFS([7]BV_Data_An_Cour!$O:$O,[7]BV_Data_An_Cour!$U:$U,$B11,[7]BV_Data_An_Cour!$V:$V,$C11,[7]BV_Data_An_Cour!$W:$W,J$2)</f>
        <v>0</v>
      </c>
      <c r="K11" s="31">
        <f t="shared" si="7"/>
        <v>0</v>
      </c>
      <c r="L11" s="33">
        <f>-SUMIFS([7]BV_Data_An_Cour!$O:$O,[7]BV_Data_An_Cour!$U:$U,$B11,[7]BV_Data_An_Cour!$V:$V,$C11,[7]BV_Data_An_Cour!$W:$W,L$2)</f>
        <v>0</v>
      </c>
      <c r="M11" s="32">
        <f t="shared" si="2"/>
        <v>0</v>
      </c>
      <c r="N11" s="34">
        <f t="shared" si="8"/>
        <v>0</v>
      </c>
      <c r="O11" s="32">
        <f>-SUMIFS([7]BV_Data_An_Prec!$O:$O,[7]BV_Data_An_Prec!$U:$U,$B11,[7]BV_Data_An_Prec!$V:$V,$C11,[7]BV_Data_An_Prec!$W:$W,O$2)</f>
        <v>0</v>
      </c>
      <c r="P11" s="31">
        <f t="shared" si="9"/>
        <v>0</v>
      </c>
      <c r="Q11" s="33">
        <f>-SUMIFS([7]BV_Data_An_Prec!$O:$O,[7]BV_Data_An_Prec!$U:$U,$B11,[7]BV_Data_An_Prec!$V:$V,$C11,[7]BV_Data_An_Prec!$W:$W,Q$2)</f>
        <v>0</v>
      </c>
      <c r="R11" s="32">
        <f t="shared" si="3"/>
        <v>0</v>
      </c>
      <c r="S11" s="35">
        <f t="shared" si="4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 thickBot="1">
      <c r="A12" t="str">
        <f t="shared" si="1"/>
        <v>Véhicules neufs[...]</v>
      </c>
      <c r="B12" s="12" t="str">
        <f t="shared" si="0"/>
        <v>Véhicules neufs</v>
      </c>
      <c r="C12" s="30" t="s">
        <v>21</v>
      </c>
      <c r="D12" s="31">
        <v>0</v>
      </c>
      <c r="E12" s="31">
        <f t="shared" si="5"/>
        <v>0</v>
      </c>
      <c r="F12" s="31">
        <f>+INDEX('[7]Budget original'!$A$2:$AO$496,MATCH($A12,'[7]Budget original'!$A$2:$A$496,0),MATCH(F$2,'[7]Budget original'!$A$2:$AO$2,0))</f>
        <v>0</v>
      </c>
      <c r="G12" s="32">
        <v>0</v>
      </c>
      <c r="H12" s="31">
        <f t="shared" si="6"/>
        <v>0</v>
      </c>
      <c r="I12" s="31">
        <f>+INDEX('[7]Budget révisé'!$A$2:$AO$496,MATCH($A12,'[7]Budget révisé'!$A$2:$A$496,0),MATCH(I$2,'[7]Budget révisé'!$A$2:$AO$2,0))</f>
        <v>0</v>
      </c>
      <c r="J12" s="32">
        <f>-SUMIFS([7]BV_Data_An_Cour!$O:$O,[7]BV_Data_An_Cour!$U:$U,$B12,[7]BV_Data_An_Cour!$V:$V,$C12,[7]BV_Data_An_Cour!$W:$W,J$2)</f>
        <v>0</v>
      </c>
      <c r="K12" s="31">
        <f t="shared" si="7"/>
        <v>0</v>
      </c>
      <c r="L12" s="33">
        <f>-SUMIFS([7]BV_Data_An_Cour!$O:$O,[7]BV_Data_An_Cour!$U:$U,$B12,[7]BV_Data_An_Cour!$V:$V,$C12,[7]BV_Data_An_Cour!$W:$W,L$2)</f>
        <v>0</v>
      </c>
      <c r="M12" s="32">
        <f t="shared" si="2"/>
        <v>0</v>
      </c>
      <c r="N12" s="34">
        <f t="shared" si="8"/>
        <v>0</v>
      </c>
      <c r="O12" s="32">
        <f>-SUMIFS([7]BV_Data_An_Prec!$O:$O,[7]BV_Data_An_Prec!$U:$U,$B12,[7]BV_Data_An_Prec!$V:$V,$C12,[7]BV_Data_An_Prec!$W:$W,O$2)</f>
        <v>0</v>
      </c>
      <c r="P12" s="31">
        <f t="shared" si="9"/>
        <v>0</v>
      </c>
      <c r="Q12" s="33">
        <f>-SUMIFS([7]BV_Data_An_Prec!$O:$O,[7]BV_Data_An_Prec!$U:$U,$B12,[7]BV_Data_An_Prec!$V:$V,$C12,[7]BV_Data_An_Prec!$W:$W,Q$2)</f>
        <v>0</v>
      </c>
      <c r="R12" s="32">
        <f t="shared" si="3"/>
        <v>0</v>
      </c>
      <c r="S12" s="35">
        <f t="shared" si="4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1"/>
        <v>Véhicules neufsTotal Neufs</v>
      </c>
      <c r="B13" s="12" t="str">
        <f t="shared" si="0"/>
        <v>Véhicules neufs</v>
      </c>
      <c r="C13" s="36" t="s">
        <v>22</v>
      </c>
      <c r="D13" s="37">
        <f>+SUM(D6:D12)</f>
        <v>83.794550407355558</v>
      </c>
      <c r="E13" s="37">
        <f>IF(D13&lt;=0,0,F13/D13)</f>
        <v>974.81495677211899</v>
      </c>
      <c r="F13" s="38">
        <f>+SUM(F6:F12)</f>
        <v>81684.18103308545</v>
      </c>
      <c r="G13" s="39">
        <f>+SUM(G6:G12)</f>
        <v>59</v>
      </c>
      <c r="H13" s="37">
        <f>IF(G13&lt;=0,0,I13/G13)</f>
        <v>1384.4776446285668</v>
      </c>
      <c r="I13" s="38">
        <f>+SUM(I6:I12)</f>
        <v>81684.18103308545</v>
      </c>
      <c r="J13" s="39">
        <f>+SUM(J6:J12)</f>
        <v>55</v>
      </c>
      <c r="K13" s="37">
        <f>IF(J13&lt;=0,0,L13/J13)</f>
        <v>1838.7932727272723</v>
      </c>
      <c r="L13" s="38">
        <f>+SUM(L6:L12)</f>
        <v>101133.62999999998</v>
      </c>
      <c r="M13" s="39">
        <f>+SUM(M6:M12)</f>
        <v>-4</v>
      </c>
      <c r="N13" s="38">
        <f>+SUM(N6:N12)</f>
        <v>19449.448966914526</v>
      </c>
      <c r="O13" s="39">
        <f>+SUM(O6:O12)</f>
        <v>77</v>
      </c>
      <c r="P13" s="37">
        <f>IF(O13&lt;=0,0,Q13/O13)</f>
        <v>698.48428571428485</v>
      </c>
      <c r="Q13" s="38">
        <f>+SUM(Q6:Q12)</f>
        <v>53783.289999999935</v>
      </c>
      <c r="R13" s="39">
        <f>+SUM(R6:R12)</f>
        <v>-22</v>
      </c>
      <c r="S13" s="40">
        <f>+SUM(S6:S12)</f>
        <v>47350.34000000004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1"/>
        <v>Véhicules neufs</v>
      </c>
      <c r="B14" s="12" t="str">
        <f t="shared" si="0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-6.7796610169491525E-2</v>
      </c>
      <c r="N14" s="44">
        <f>IF(I13=0,0,N13/I13)</f>
        <v>0.23810545347864479</v>
      </c>
      <c r="O14" s="42"/>
      <c r="P14" s="31"/>
      <c r="Q14" s="41"/>
      <c r="R14" s="43">
        <f>R13/O13</f>
        <v>-0.2857142857142857</v>
      </c>
      <c r="S14" s="45">
        <f>IF(Q13=0,0,(S13/Q13))</f>
        <v>0.88039128881851769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1"/>
        <v>Véhicules neufsEx-Démos et courtoisies</v>
      </c>
      <c r="B15" s="12" t="str">
        <f t="shared" si="0"/>
        <v>Véhicules neufs</v>
      </c>
      <c r="C15" s="46" t="s">
        <v>23</v>
      </c>
      <c r="D15" s="26">
        <v>8.7335165213300154</v>
      </c>
      <c r="E15" s="26">
        <f t="shared" ref="E15" si="11">IF(D15=0,0,F15/D15)</f>
        <v>556.61157011352213</v>
      </c>
      <c r="F15" s="23">
        <f>+INDEX('[7]Budget original'!$A$2:$AO$496,MATCH($A15,'[7]Budget original'!$A$2:$A$496,0),MATCH(F$2,'[7]Budget original'!$A$2:$AO$2,0))</f>
        <v>4861.176343549886</v>
      </c>
      <c r="G15" s="47">
        <v>6</v>
      </c>
      <c r="H15" s="48">
        <f t="shared" ref="H15" si="12">IF(G15=0,0,I15/G15)</f>
        <v>810.19605725831434</v>
      </c>
      <c r="I15" s="49">
        <f>+INDEX('[7]Budget révisé'!$A$2:$AO$496,MATCH($A15,'[7]Budget révisé'!$A$2:$A$496,0),MATCH(I$2,'[7]Budget révisé'!$A$2:$AO$2,0))</f>
        <v>4861.176343549886</v>
      </c>
      <c r="J15" s="50">
        <f>-SUMIFS([7]BV_Data_An_Cour!$O:$O,[7]BV_Data_An_Cour!$U:$U,$B15,[7]BV_Data_An_Cour!$V:$V,$C15,[7]BV_Data_An_Cour!$W:$W,J$2)</f>
        <v>9</v>
      </c>
      <c r="K15" s="51">
        <f>IF(J15=0,0,L15/J15)</f>
        <v>1229.3844444444467</v>
      </c>
      <c r="L15" s="51">
        <f>-SUMIFS([7]BV_Data_An_Cour!$O:$O,[7]BV_Data_An_Cour!$U:$U,$B15,[7]BV_Data_An_Cour!$V:$V,$C15,[7]BV_Data_An_Cour!$W:$W,L$2)</f>
        <v>11064.460000000021</v>
      </c>
      <c r="M15" s="52">
        <f>J15-G15</f>
        <v>3</v>
      </c>
      <c r="N15" s="49">
        <f>L15-I15</f>
        <v>6203.2836564501349</v>
      </c>
      <c r="O15" s="50">
        <f>-SUMIFS([7]BV_Data_An_Prec!$O:$O,[7]BV_Data_An_Prec!$U:$U,$B15,[7]BV_Data_An_Prec!$V:$V,$C15,[7]BV_Data_An_Prec!$W:$W,O$2)</f>
        <v>11</v>
      </c>
      <c r="P15" s="51">
        <f>IF(O15=0,0,Q15/O15)</f>
        <v>30.737272727271456</v>
      </c>
      <c r="Q15" s="51">
        <f>-SUMIFS([7]BV_Data_An_Prec!$O:$O,[7]BV_Data_An_Prec!$U:$U,$B15,[7]BV_Data_An_Prec!$V:$V,$C15,[7]BV_Data_An_Prec!$W:$W,Q$2)</f>
        <v>338.10999999998603</v>
      </c>
      <c r="R15" s="52">
        <f>J15-O15</f>
        <v>-2</v>
      </c>
      <c r="S15" s="53">
        <f>L15-Q15</f>
        <v>10726.350000000035</v>
      </c>
      <c r="T15" s="14"/>
      <c r="U15" s="14"/>
      <c r="V15" s="87">
        <f>3125-L15</f>
        <v>-7939.460000000021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1"/>
        <v>Véhicules neufs</v>
      </c>
      <c r="B16" s="12" t="str">
        <f t="shared" si="0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1"/>
        <v>Véhicules neufsFlottes</v>
      </c>
      <c r="B17" s="12" t="str">
        <f t="shared" si="0"/>
        <v>Véhicules neufs</v>
      </c>
      <c r="C17" s="54" t="s">
        <v>24</v>
      </c>
      <c r="D17" s="31">
        <v>3.1998136824649825</v>
      </c>
      <c r="E17" s="31">
        <f t="shared" ref="E17" si="13">IF(D17=0,0,F17/D17)</f>
        <v>563.63318295792487</v>
      </c>
      <c r="F17" s="31">
        <f>+INDEX('[7]Budget original'!$A$2:$AO$496,MATCH($A17,'[7]Budget original'!$A$2:$A$496,0),MATCH(F$2,'[7]Budget original'!$A$2:$AO$2,0))</f>
        <v>1803.5211707200569</v>
      </c>
      <c r="G17" s="32">
        <v>2</v>
      </c>
      <c r="H17" s="31">
        <f t="shared" ref="H17" si="14">IF(G17=0,0,I17/G17)</f>
        <v>901.76058536002847</v>
      </c>
      <c r="I17" s="31">
        <f>+INDEX('[7]Budget révisé'!$A$2:$AO$496,MATCH($A17,'[7]Budget révisé'!$A$2:$A$496,0),MATCH(I$2,'[7]Budget révisé'!$A$2:$AO$2,0))</f>
        <v>1803.5211707200569</v>
      </c>
      <c r="J17" s="52">
        <f>-SUMIFS([7]BV_Data_An_Cour!$O:$O,[7]BV_Data_An_Cour!$U:$U,$B17,[7]BV_Data_An_Cour!$V:$V,$C17,[7]BV_Data_An_Cour!$W:$W,J$2)</f>
        <v>1</v>
      </c>
      <c r="K17" s="31">
        <f>IF(J17=0,0,L17/J17)</f>
        <v>1036</v>
      </c>
      <c r="L17" s="34">
        <f>-SUMIFS([7]BV_Data_An_Cour!$O:$O,[7]BV_Data_An_Cour!$U:$U,$B17,[7]BV_Data_An_Cour!$V:$V,$C17,[7]BV_Data_An_Cour!$W:$W,L$2)</f>
        <v>1036</v>
      </c>
      <c r="M17" s="52">
        <f>J17-G17</f>
        <v>-1</v>
      </c>
      <c r="N17" s="34">
        <f>L17-I17</f>
        <v>-767.52117072005694</v>
      </c>
      <c r="O17" s="52">
        <f>-SUMIFS([7]BV_Data_An_Prec!$O:$O,[7]BV_Data_An_Prec!$U:$U,$B17,[7]BV_Data_An_Prec!$V:$V,$C17,[7]BV_Data_An_Prec!$W:$W,O$2)</f>
        <v>3</v>
      </c>
      <c r="P17" s="31">
        <f>IF(O17=0,0,Q17/O17)</f>
        <v>1624.1633333333302</v>
      </c>
      <c r="Q17" s="34">
        <f>-SUMIFS([7]BV_Data_An_Prec!$O:$O,[7]BV_Data_An_Prec!$U:$U,$B17,[7]BV_Data_An_Prec!$V:$V,$C17,[7]BV_Data_An_Prec!$W:$W,Q$2)</f>
        <v>4872.4899999999907</v>
      </c>
      <c r="R17" s="32">
        <f>J17-O17</f>
        <v>-2</v>
      </c>
      <c r="S17" s="35">
        <f>L17-Q17</f>
        <v>-3836.4899999999907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1"/>
        <v>Véhicules neufs</v>
      </c>
      <c r="B18" s="12" t="str">
        <f t="shared" si="0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1"/>
        <v>Véhicules neufsRachat bail</v>
      </c>
      <c r="B19" s="12" t="str">
        <f t="shared" si="0"/>
        <v>Véhicules neufs</v>
      </c>
      <c r="C19" s="46" t="s">
        <v>25</v>
      </c>
      <c r="D19" s="31">
        <v>0</v>
      </c>
      <c r="E19" s="31">
        <f t="shared" ref="E19" si="15">IF(D19=0,0,F19/D19)</f>
        <v>0</v>
      </c>
      <c r="F19" s="31">
        <f>+INDEX('[7]Budget original'!$A$2:$AO$496,MATCH($A19,'[7]Budget original'!$A$2:$A$496,0),MATCH(F$2,'[7]Budget original'!$A$2:$AO$2,0))</f>
        <v>5000</v>
      </c>
      <c r="G19" s="32">
        <v>0</v>
      </c>
      <c r="H19" s="31">
        <f t="shared" ref="H19" si="16">IF(G19=0,0,I19/G19)</f>
        <v>0</v>
      </c>
      <c r="I19" s="31">
        <f>+INDEX('[7]Budget révisé'!$A$2:$AO$496,MATCH($A19,'[7]Budget révisé'!$A$2:$A$496,0),MATCH(I$2,'[7]Budget révisé'!$A$2:$AO$2,0))</f>
        <v>5000</v>
      </c>
      <c r="J19" s="47"/>
      <c r="K19" s="31"/>
      <c r="L19" s="34">
        <f>-SUMIFS([7]BV_Data_An_Cour!$O:$O,[7]BV_Data_An_Cour!$U:$U,$B19,[7]BV_Data_An_Cour!$V:$V,$C19,[7]BV_Data_An_Cour!$W:$W,L$2)</f>
        <v>7884.9199999999837</v>
      </c>
      <c r="M19" s="32"/>
      <c r="N19" s="34">
        <f>L19-I19</f>
        <v>2884.9199999999837</v>
      </c>
      <c r="O19" s="47"/>
      <c r="P19" s="31"/>
      <c r="Q19" s="34">
        <f>-SUMIFS([7]BV_Data_An_Prec!$O:$O,[7]BV_Data_An_Prec!$U:$U,$B19,[7]BV_Data_An_Prec!$V:$V,$C19,[7]BV_Data_An_Prec!$W:$W,Q$2)</f>
        <v>4014.8500000000058</v>
      </c>
      <c r="R19" s="32">
        <f>O19-K19</f>
        <v>0</v>
      </c>
      <c r="S19" s="35">
        <f>L19-Q19</f>
        <v>3870.0699999999779</v>
      </c>
      <c r="T19" s="14"/>
      <c r="U19" s="14" t="s">
        <v>215</v>
      </c>
      <c r="V19" s="87">
        <f>G13+G15+G17</f>
        <v>67</v>
      </c>
      <c r="W19" s="87">
        <f>I13+I15+I17</f>
        <v>88348.878547355387</v>
      </c>
      <c r="X19" s="492">
        <f>W19/V19</f>
        <v>1318.6399783187371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1"/>
        <v>Véhicules neufs</v>
      </c>
      <c r="B20" s="12" t="str">
        <f t="shared" si="0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87">
        <f>J13+J15+J17</f>
        <v>65</v>
      </c>
      <c r="W20" s="87">
        <f>L13+L15+L17</f>
        <v>113234.09</v>
      </c>
      <c r="X20" s="492">
        <f>W20/V20</f>
        <v>1742.062923076923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30" t="s">
        <v>26</v>
      </c>
      <c r="D21" s="31">
        <v>0</v>
      </c>
      <c r="E21" s="31">
        <f t="shared" ref="E21:E23" si="17">IF(D21=0,0,F21/D21)</f>
        <v>0</v>
      </c>
      <c r="F21" s="31">
        <f>+INDEX('[7]Budget original'!$A$2:$AO$496,MATCH($A21,'[7]Budget original'!$A$2:$A$496,0),MATCH(F$2,'[7]Budget original'!$A$2:$AO$2,0))</f>
        <v>6133.0487079031527</v>
      </c>
      <c r="G21" s="42">
        <v>0</v>
      </c>
      <c r="H21" s="31">
        <f t="shared" ref="H21:H23" si="18">IF(G21=0,0,I21/G21)</f>
        <v>0</v>
      </c>
      <c r="I21" s="31">
        <f>+INDEX('[7]Budget révisé'!$A$2:$AO$496,MATCH($A21,'[7]Budget révisé'!$A$2:$A$496,0),MATCH(I$2,'[7]Budget révisé'!$A$2:$AO$2,0))</f>
        <v>6133.0487079031527</v>
      </c>
      <c r="J21" s="32"/>
      <c r="K21" s="31">
        <f>IF(J13=0,0,L21/(J13+J15))</f>
        <v>21.57375</v>
      </c>
      <c r="L21" s="34">
        <f>-SUMIFS([7]BV_Data_An_Cour!$O:$O,[7]BV_Data_An_Cour!$U:$U,$B21,[7]BV_Data_An_Cour!$V:$V,$C21,[7]BV_Data_An_Cour!$W:$W,L$2)</f>
        <v>1380.72</v>
      </c>
      <c r="M21" s="32"/>
      <c r="N21" s="34">
        <f t="shared" ref="N21:N24" si="19">L21-I21</f>
        <v>-4752.3287079031525</v>
      </c>
      <c r="O21" s="32"/>
      <c r="P21" s="31">
        <f>IF(O13=0,0,Q21/(O13+O15))</f>
        <v>66.863522727272724</v>
      </c>
      <c r="Q21" s="34">
        <f>-SUMIFS([7]BV_Data_An_Prec!$O:$O,[7]BV_Data_An_Prec!$U:$U,$B21,[7]BV_Data_An_Prec!$V:$V,$C21,[7]BV_Data_An_Prec!$W:$W,Q$2)</f>
        <v>5883.99</v>
      </c>
      <c r="R21" s="32">
        <f t="shared" ref="R21:R23" si="20">O21-K21</f>
        <v>-21.57375</v>
      </c>
      <c r="S21" s="35">
        <f t="shared" ref="S21:S24" si="21">L21-Q21</f>
        <v>-4503.2699999999995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8" customHeight="1">
      <c r="A22" t="str">
        <f t="shared" si="1"/>
        <v>Véhicules neufsRev. Protections</v>
      </c>
      <c r="B22" s="12" t="str">
        <f t="shared" si="0"/>
        <v>Véhicules neufs</v>
      </c>
      <c r="C22" s="30" t="s">
        <v>27</v>
      </c>
      <c r="D22" s="31">
        <v>0</v>
      </c>
      <c r="E22" s="31">
        <f t="shared" si="17"/>
        <v>0</v>
      </c>
      <c r="F22" s="31">
        <f>+INDEX('[7]Budget original'!$A$2:$AO$496,MATCH($A22,'[7]Budget original'!$A$2:$A$496,0),MATCH(F$2,'[7]Budget original'!$A$2:$AO$2,0))</f>
        <v>48065.986385194476</v>
      </c>
      <c r="G22" s="42">
        <v>0</v>
      </c>
      <c r="H22" s="31">
        <f t="shared" si="18"/>
        <v>0</v>
      </c>
      <c r="I22" s="31">
        <f>+INDEX('[7]Budget révisé'!$A$2:$AO$496,MATCH($A22,'[7]Budget révisé'!$A$2:$A$496,0),MATCH(I$2,'[7]Budget révisé'!$A$2:$AO$2,0))</f>
        <v>48065.986385194476</v>
      </c>
      <c r="J22" s="32"/>
      <c r="K22" s="31">
        <f>IF(J13=0,0,L22/(J13+J15))</f>
        <v>878.27656249999995</v>
      </c>
      <c r="L22" s="34">
        <f>-SUMIFS([7]BV_Data_An_Cour!$O:$O,[7]BV_Data_An_Cour!$U:$U,$B22,[7]BV_Data_An_Cour!$V:$V,$C22,[7]BV_Data_An_Cour!$W:$W,L$2)</f>
        <v>56209.7</v>
      </c>
      <c r="M22" s="32"/>
      <c r="N22" s="34">
        <f t="shared" si="19"/>
        <v>8143.7136148055215</v>
      </c>
      <c r="O22" s="32"/>
      <c r="P22" s="31">
        <f>IF(O13=0,0,Q22/(O13+O15))</f>
        <v>390.76840909090902</v>
      </c>
      <c r="Q22" s="34">
        <f>-SUMIFS([7]BV_Data_An_Prec!$O:$O,[7]BV_Data_An_Prec!$U:$U,$B22,[7]BV_Data_An_Prec!$V:$V,$C22,[7]BV_Data_An_Prec!$W:$W,Q$2)</f>
        <v>34387.619999999995</v>
      </c>
      <c r="R22" s="32">
        <f t="shared" si="20"/>
        <v>-878.27656249999995</v>
      </c>
      <c r="S22" s="35">
        <f t="shared" si="21"/>
        <v>21822.080000000002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9.5" customHeight="1">
      <c r="A23" t="str">
        <f t="shared" si="1"/>
        <v>Véhicules neufsRev. Autres</v>
      </c>
      <c r="B23" s="12" t="str">
        <f t="shared" si="0"/>
        <v>Véhicules neufs</v>
      </c>
      <c r="C23" s="30" t="s">
        <v>28</v>
      </c>
      <c r="D23" s="31">
        <v>0</v>
      </c>
      <c r="E23" s="31">
        <f t="shared" si="17"/>
        <v>0</v>
      </c>
      <c r="F23" s="31">
        <f>+INDEX('[7]Budget original'!$A$2:$AO$496,MATCH($A23,'[7]Budget original'!$A$2:$A$496,0),MATCH(F$2,'[7]Budget original'!$A$2:$AO$2,0))</f>
        <v>1212.3468376087628</v>
      </c>
      <c r="G23" s="42">
        <v>0</v>
      </c>
      <c r="H23" s="31">
        <f t="shared" si="18"/>
        <v>0</v>
      </c>
      <c r="I23" s="31">
        <f>+INDEX('[7]Budget révisé'!$A$2:$AO$496,MATCH($A23,'[7]Budget révisé'!$A$2:$A$496,0),MATCH(I$2,'[7]Budget révisé'!$A$2:$AO$2,0))</f>
        <v>1212.3468376087628</v>
      </c>
      <c r="J23" s="32"/>
      <c r="K23" s="31">
        <f>IF(J13=0,0,L23/(J13+J15))</f>
        <v>31.760781250000001</v>
      </c>
      <c r="L23" s="34">
        <f>-SUMIFS([7]BV_Data_An_Cour!$O:$O,[7]BV_Data_An_Cour!$U:$U,$B23,[7]BV_Data_An_Cour!$V:$V,$C23,[7]BV_Data_An_Cour!$W:$W,L$2)</f>
        <v>2032.69</v>
      </c>
      <c r="M23" s="52"/>
      <c r="N23" s="34">
        <f t="shared" si="19"/>
        <v>820.34316239123723</v>
      </c>
      <c r="O23" s="32"/>
      <c r="P23" s="31">
        <f>IF(O13=0,0,Q23/(O13+O15))</f>
        <v>6.2045454545454541</v>
      </c>
      <c r="Q23" s="34">
        <f>-SUMIFS([7]BV_Data_An_Prec!$O:$O,[7]BV_Data_An_Prec!$U:$U,$B23,[7]BV_Data_An_Prec!$V:$V,$C23,[7]BV_Data_An_Prec!$W:$W,Q$2)</f>
        <v>546</v>
      </c>
      <c r="R23" s="32">
        <f t="shared" si="20"/>
        <v>-31.760781250000001</v>
      </c>
      <c r="S23" s="35">
        <f t="shared" si="21"/>
        <v>1486.69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" customHeight="1">
      <c r="A24" t="str">
        <f t="shared" si="1"/>
        <v>Véhicules neufsTotal F&amp;I</v>
      </c>
      <c r="B24" s="12" t="str">
        <f t="shared" si="0"/>
        <v>Véhicules neufs</v>
      </c>
      <c r="C24" s="36" t="s">
        <v>29</v>
      </c>
      <c r="D24" s="37">
        <f>+D15+D13</f>
        <v>92.528066928685575</v>
      </c>
      <c r="E24" s="37">
        <f>IF(D24&lt;=0,0,F24/D24)</f>
        <v>598.86025689279518</v>
      </c>
      <c r="F24" s="38">
        <f>F21+F22+F23</f>
        <v>55411.38193070639</v>
      </c>
      <c r="G24" s="39">
        <f>+G15+G13</f>
        <v>65</v>
      </c>
      <c r="H24" s="37">
        <f>IF(G24&lt;=0,0,I24/G24)</f>
        <v>852.48279893394442</v>
      </c>
      <c r="I24" s="38">
        <f>I21+I22+I23</f>
        <v>55411.38193070639</v>
      </c>
      <c r="J24" s="39">
        <f>+J15+J13</f>
        <v>64</v>
      </c>
      <c r="K24" s="37">
        <f>IF(J24&lt;=0,0,L24/J24)</f>
        <v>931.61109375000001</v>
      </c>
      <c r="L24" s="38">
        <f>L21+L22+L23</f>
        <v>59623.11</v>
      </c>
      <c r="M24" s="59">
        <f>J24-G24</f>
        <v>-1</v>
      </c>
      <c r="N24" s="38">
        <f t="shared" si="19"/>
        <v>4211.728069293611</v>
      </c>
      <c r="O24" s="39">
        <f>+O15+O13</f>
        <v>88</v>
      </c>
      <c r="P24" s="37">
        <f>IF(O24&lt;=0,0,Q24/O24)</f>
        <v>463.83647727272722</v>
      </c>
      <c r="Q24" s="38">
        <f>Q21+Q22+Q23</f>
        <v>40817.609999999993</v>
      </c>
      <c r="R24" s="57"/>
      <c r="S24" s="40">
        <f t="shared" si="21"/>
        <v>18805.500000000007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7.6008356452118522E-2</v>
      </c>
      <c r="O25" s="42"/>
      <c r="P25" s="14"/>
      <c r="Q25" s="60"/>
      <c r="R25" s="61"/>
      <c r="S25" s="45">
        <f>IF(Q24=0,0,(S24/Q24))</f>
        <v>0.46072026265134119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63" t="s">
        <v>30</v>
      </c>
      <c r="D27" s="64">
        <f>+D13+D15+D17</f>
        <v>95.727880611150553</v>
      </c>
      <c r="E27" s="65">
        <f>IF(D27&lt;=0,0,F27/D27)</f>
        <v>1553.9909536107907</v>
      </c>
      <c r="F27" s="66">
        <f>F13+F17+F24+F19+F15</f>
        <v>148760.26047806177</v>
      </c>
      <c r="G27" s="67">
        <f>+G13+G15+G17</f>
        <v>67</v>
      </c>
      <c r="H27" s="68">
        <f>IF(G27&lt;=0,0,I27/G27)</f>
        <v>2220.3023951949517</v>
      </c>
      <c r="I27" s="66">
        <f>I13+I17+I24+I19+I15</f>
        <v>148760.26047806177</v>
      </c>
      <c r="J27" s="67">
        <f>+J13+J15+J17</f>
        <v>65</v>
      </c>
      <c r="K27" s="68">
        <f>IF(J27&lt;=0,0,L27/J27)</f>
        <v>2780.6480000000001</v>
      </c>
      <c r="L27" s="66">
        <f>L13+L17+L24+L19+L15</f>
        <v>180742.12</v>
      </c>
      <c r="M27" s="67">
        <f>J27-G27</f>
        <v>-2</v>
      </c>
      <c r="N27" s="66">
        <f>L27-I27</f>
        <v>31981.859521938226</v>
      </c>
      <c r="O27" s="67">
        <f>+O13+O15+O17</f>
        <v>91</v>
      </c>
      <c r="P27" s="68">
        <f>IF(O27&lt;=0,0,Q27/O27)</f>
        <v>1140.9489010989003</v>
      </c>
      <c r="Q27" s="66">
        <f>Q13+Q17+Q24+Q19+Q15</f>
        <v>103826.34999999992</v>
      </c>
      <c r="R27" s="67">
        <f>J27-O27</f>
        <v>-26</v>
      </c>
      <c r="S27" s="69">
        <f>L27-Q27</f>
        <v>76915.770000000077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-2.9850746268656716E-2</v>
      </c>
      <c r="N28" s="75">
        <f>N27/I27</f>
        <v>0.21498926809592883</v>
      </c>
      <c r="O28" s="73"/>
      <c r="P28" s="71"/>
      <c r="Q28" s="72"/>
      <c r="R28" s="74">
        <f>R27/O27</f>
        <v>-0.2857142857142857</v>
      </c>
      <c r="S28" s="76">
        <f>IF(Q27=0,0,S27/Q27)</f>
        <v>0.74081165330381105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30" t="s">
        <v>32</v>
      </c>
      <c r="D31" s="535">
        <f>F31/(F15+F13)</f>
        <v>0.29202669340860354</v>
      </c>
      <c r="E31" s="83">
        <f t="shared" ref="E31:E40" si="22">F31/D$24</f>
        <v>273.14473741296115</v>
      </c>
      <c r="F31" s="31">
        <f>+INDEX('[7]Budget original'!$A$2:$AO$496,MATCH($A31,'[7]Budget original'!$A$2:$A$496,0),MATCH(F$2,'[7]Budget original'!$A$2:$AO$2,0))</f>
        <v>25273.554544564715</v>
      </c>
      <c r="G31" s="152">
        <f>I31/(I15+I13)</f>
        <v>0.29202669340860354</v>
      </c>
      <c r="H31" s="83">
        <f t="shared" ref="H31:H40" si="23">I31/G$24</f>
        <v>388.8239160702264</v>
      </c>
      <c r="I31" s="31">
        <f>+INDEX('[7]Budget révisé'!$A$2:$AO$496,MATCH($A31,'[7]Budget révisé'!$A$2:$A$496,0),MATCH(I$2,'[7]Budget révisé'!$A$2:$AO$2,0))</f>
        <v>25273.554544564715</v>
      </c>
      <c r="J31" s="152">
        <f>L31/(L15+L13)</f>
        <v>0.369555043227563</v>
      </c>
      <c r="K31" s="83">
        <f t="shared" ref="K31:K40" si="24">IF(L31=0,0,L31/J$24)</f>
        <v>647.86515625000004</v>
      </c>
      <c r="L31" s="31">
        <f>SUMIFS([7]BV_Data_An_Cour!$O:$O,[7]BV_Data_An_Cour!$U:$U,$B31,[7]BV_Data_An_Cour!$V:$V,$C31,[7]BV_Data_An_Cour!$W:$W,L$2)</f>
        <v>41463.370000000003</v>
      </c>
      <c r="M31" s="42"/>
      <c r="N31" s="60">
        <f t="shared" ref="N31:N53" si="25">L31-I31</f>
        <v>16189.815455435288</v>
      </c>
      <c r="O31" s="42"/>
      <c r="P31" s="83">
        <f t="shared" ref="P31:P40" si="26">IF(Q31=0,0,Q31/O$24)</f>
        <v>443.6421590909091</v>
      </c>
      <c r="Q31" s="34">
        <f>SUMIFS([7]BV_Data_An_Prec!$O:$O,[7]BV_Data_An_Prec!$U:$U,$B31,[7]BV_Data_An_Prec!$V:$V,$C31,[7]BV_Data_An_Prec!$W:$W,Q$2)</f>
        <v>39040.51</v>
      </c>
      <c r="R31" s="42"/>
      <c r="S31" s="86">
        <f t="shared" ref="S31:S53" si="27">L31-Q31</f>
        <v>2422.8600000000006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8" t="s">
        <v>33</v>
      </c>
      <c r="D32" s="536">
        <f>F32/F24</f>
        <v>0.3</v>
      </c>
      <c r="E32" s="90">
        <f t="shared" si="22"/>
        <v>179.65807706783855</v>
      </c>
      <c r="F32" s="23">
        <f>+INDEX('[7]Budget original'!$A$2:$AO$496,MATCH($A32,'[7]Budget original'!$A$2:$A$496,0),MATCH(F$2,'[7]Budget original'!$A$2:$AO$2,0))</f>
        <v>16623.414579211916</v>
      </c>
      <c r="G32" s="93">
        <f>I32/I24</f>
        <v>0.3</v>
      </c>
      <c r="H32" s="92">
        <f t="shared" si="23"/>
        <v>255.74483968018333</v>
      </c>
      <c r="I32" s="23">
        <f>+INDEX('[7]Budget révisé'!$A$2:$AO$496,MATCH($A32,'[7]Budget révisé'!$A$2:$A$496,0),MATCH(I$2,'[7]Budget révisé'!$A$2:$AO$2,0))</f>
        <v>16623.414579211916</v>
      </c>
      <c r="J32" s="493">
        <f>L32/L24</f>
        <v>0.29999575667891193</v>
      </c>
      <c r="K32" s="90">
        <f t="shared" si="24"/>
        <v>279.479375</v>
      </c>
      <c r="L32" s="23">
        <f>SUMIFS([7]BV_Data_An_Cour!$O:$O,[7]BV_Data_An_Cour!$U:$U,$B32,[7]BV_Data_An_Cour!$V:$V,$C32,[7]BV_Data_An_Cour!$W:$W,L$2)</f>
        <v>17886.68</v>
      </c>
      <c r="M32" s="24"/>
      <c r="N32" s="94">
        <f t="shared" si="25"/>
        <v>1263.2654207880842</v>
      </c>
      <c r="O32" s="24"/>
      <c r="P32" s="90">
        <f t="shared" si="26"/>
        <v>244.99806818181821</v>
      </c>
      <c r="Q32" s="23">
        <f>SUMIFS([7]BV_Data_An_Prec!$O:$O,[7]BV_Data_An_Prec!$U:$U,$B32,[7]BV_Data_An_Prec!$V:$V,$C32,[7]BV_Data_An_Prec!$W:$W,Q$2)</f>
        <v>21559.83</v>
      </c>
      <c r="R32" s="24"/>
      <c r="S32" s="95">
        <f t="shared" si="27"/>
        <v>-3673.1500000000015</v>
      </c>
      <c r="T32" s="14"/>
      <c r="U32" s="14"/>
      <c r="V32" s="12">
        <f>H33*J24</f>
        <v>12644.827210540203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30" t="s">
        <v>34</v>
      </c>
      <c r="D33" s="82"/>
      <c r="E33" s="83">
        <f t="shared" si="22"/>
        <v>138.79467130338901</v>
      </c>
      <c r="F33" s="31">
        <f>+INDEX('[7]Budget original'!$A$2:$AO$496,MATCH($A33,'[7]Budget original'!$A$2:$A$496,0),MATCH(F$2,'[7]Budget original'!$A$2:$AO$2,0))</f>
        <v>12842.402635704893</v>
      </c>
      <c r="G33" s="84"/>
      <c r="H33" s="83">
        <f t="shared" si="23"/>
        <v>197.57542516469067</v>
      </c>
      <c r="I33" s="31">
        <f>+INDEX('[7]Budget révisé'!$A$2:$AO$496,MATCH($A33,'[7]Budget révisé'!$A$2:$A$496,0),MATCH(I$2,'[7]Budget révisé'!$A$2:$AO$2,0))</f>
        <v>12842.402635704893</v>
      </c>
      <c r="J33" s="42"/>
      <c r="K33" s="83">
        <f t="shared" si="24"/>
        <v>175.26109374999999</v>
      </c>
      <c r="L33" s="31">
        <f>SUMIFS([7]BV_Data_An_Cour!$O:$O,[7]BV_Data_An_Cour!$U:$U,$B33,[7]BV_Data_An_Cour!$V:$V,$C33,[7]BV_Data_An_Cour!$W:$W,L$2)</f>
        <v>11216.71</v>
      </c>
      <c r="M33" s="42"/>
      <c r="N33" s="60">
        <f t="shared" si="25"/>
        <v>-1625.6926357048942</v>
      </c>
      <c r="O33" s="42"/>
      <c r="P33" s="83">
        <f t="shared" si="26"/>
        <v>131.33397727272725</v>
      </c>
      <c r="Q33" s="34">
        <f>SUMIFS([7]BV_Data_An_Prec!$O:$O,[7]BV_Data_An_Prec!$U:$U,$B33,[7]BV_Data_An_Prec!$V:$V,$C33,[7]BV_Data_An_Prec!$W:$W,Q$2)</f>
        <v>11557.39</v>
      </c>
      <c r="R33" s="42"/>
      <c r="S33" s="86">
        <f t="shared" si="27"/>
        <v>-340.68000000000029</v>
      </c>
      <c r="T33" s="14"/>
      <c r="U33" s="14"/>
      <c r="V33" s="12"/>
      <c r="W33" s="12">
        <f>L24*0.3</f>
        <v>17886.933000000001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30" t="s">
        <v>35</v>
      </c>
      <c r="D34" s="82"/>
      <c r="E34" s="83">
        <f t="shared" si="22"/>
        <v>4.227248872184437</v>
      </c>
      <c r="F34" s="31">
        <f>+INDEX('[7]Budget original'!$A$2:$AO$496,MATCH($A34,'[7]Budget original'!$A$2:$A$496,0),MATCH(F$2,'[7]Budget original'!$A$2:$AO$2,0))</f>
        <v>391.13916656969218</v>
      </c>
      <c r="G34" s="84"/>
      <c r="H34" s="83">
        <f t="shared" si="23"/>
        <v>6.0175256395337255</v>
      </c>
      <c r="I34" s="31">
        <f>+INDEX('[7]Budget révisé'!$A$2:$AO$496,MATCH($A34,'[7]Budget révisé'!$A$2:$A$496,0),MATCH(I$2,'[7]Budget révisé'!$A$2:$AO$2,0))</f>
        <v>391.13916656969218</v>
      </c>
      <c r="J34" s="42"/>
      <c r="K34" s="83">
        <f t="shared" si="24"/>
        <v>16.853437499999998</v>
      </c>
      <c r="L34" s="31">
        <f>SUMIFS([7]BV_Data_An_Cour!$O:$O,[7]BV_Data_An_Cour!$U:$U,$B34,[7]BV_Data_An_Cour!$V:$V,$C34,[7]BV_Data_An_Cour!$W:$W,L$2)</f>
        <v>1078.6199999999999</v>
      </c>
      <c r="M34" s="42"/>
      <c r="N34" s="60">
        <f t="shared" si="25"/>
        <v>687.48083343030771</v>
      </c>
      <c r="O34" s="42"/>
      <c r="P34" s="83">
        <f t="shared" si="26"/>
        <v>3.8197727272727273</v>
      </c>
      <c r="Q34" s="34">
        <f>SUMIFS([7]BV_Data_An_Prec!$O:$O,[7]BV_Data_An_Prec!$U:$U,$B34,[7]BV_Data_An_Prec!$V:$V,$C34,[7]BV_Data_An_Prec!$W:$W,Q$2)</f>
        <v>336.14</v>
      </c>
      <c r="R34" s="42"/>
      <c r="S34" s="86">
        <f t="shared" si="27"/>
        <v>742.4799999999999</v>
      </c>
      <c r="T34" s="14"/>
      <c r="U34" s="14"/>
      <c r="V34" s="87">
        <f>V32-L33</f>
        <v>1428.1172105402038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8" t="s">
        <v>36</v>
      </c>
      <c r="D35" s="89"/>
      <c r="E35" s="90">
        <f t="shared" si="22"/>
        <v>23.954410275711812</v>
      </c>
      <c r="F35" s="23">
        <f>+INDEX('[7]Budget original'!$A$2:$AO$496,MATCH($A35,'[7]Budget original'!$A$2:$A$496,0),MATCH(F$2,'[7]Budget original'!$A$2:$AO$2,0))</f>
        <v>2216.4552772282559</v>
      </c>
      <c r="G35" s="91"/>
      <c r="H35" s="92">
        <f t="shared" si="23"/>
        <v>34.099311957357784</v>
      </c>
      <c r="I35" s="23">
        <f>+INDEX('[7]Budget révisé'!$A$2:$AO$496,MATCH($A35,'[7]Budget révisé'!$A$2:$A$496,0),MATCH(I$2,'[7]Budget révisé'!$A$2:$AO$2,0))</f>
        <v>2216.4552772282559</v>
      </c>
      <c r="J35" s="24"/>
      <c r="K35" s="90">
        <f t="shared" si="24"/>
        <v>0.625</v>
      </c>
      <c r="L35" s="23">
        <f>SUMIFS([7]BV_Data_An_Cour!$O:$O,[7]BV_Data_An_Cour!$U:$U,$B35,[7]BV_Data_An_Cour!$V:$V,$C35,[7]BV_Data_An_Cour!$W:$W,L$2)</f>
        <v>40</v>
      </c>
      <c r="M35" s="24"/>
      <c r="N35" s="94">
        <f t="shared" si="25"/>
        <v>-2176.4552772282559</v>
      </c>
      <c r="O35" s="24"/>
      <c r="P35" s="90">
        <f t="shared" si="26"/>
        <v>24.820113636363637</v>
      </c>
      <c r="Q35" s="34">
        <f>SUMIFS([7]BV_Data_An_Prec!$O:$O,[7]BV_Data_An_Prec!$U:$U,$B35,[7]BV_Data_An_Prec!$V:$V,$C35,[7]BV_Data_An_Prec!$W:$W,Q$2)</f>
        <v>2184.17</v>
      </c>
      <c r="R35" s="24"/>
      <c r="S35" s="95">
        <f t="shared" si="27"/>
        <v>-2144.17</v>
      </c>
      <c r="T35" s="14"/>
      <c r="U35" s="14"/>
      <c r="V35" s="12"/>
      <c r="W35" s="87">
        <f>L32-W33</f>
        <v>-0.25300000000061118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30" t="s">
        <v>37</v>
      </c>
      <c r="D36" s="82"/>
      <c r="E36" s="83">
        <f t="shared" si="22"/>
        <v>127.28925733430367</v>
      </c>
      <c r="F36" s="31">
        <f>+INDEX('[7]Budget original'!$A$2:$AO$496,MATCH($A36,'[7]Budget original'!$A$2:$A$496,0),MATCH(F$2,'[7]Budget original'!$A$2:$AO$2,0))</f>
        <v>11777.828921931132</v>
      </c>
      <c r="G36" s="84"/>
      <c r="H36" s="83">
        <f t="shared" si="23"/>
        <v>181.19736802970971</v>
      </c>
      <c r="I36" s="31">
        <f>+INDEX('[7]Budget révisé'!$A$2:$AO$496,MATCH($A36,'[7]Budget révisé'!$A$2:$A$496,0),MATCH(I$2,'[7]Budget révisé'!$A$2:$AO$2,0))</f>
        <v>11777.828921931132</v>
      </c>
      <c r="J36" s="42"/>
      <c r="K36" s="83">
        <f t="shared" si="24"/>
        <v>194.70015625000002</v>
      </c>
      <c r="L36" s="96">
        <f>SUMIFS([7]BV_Data_An_Cour!$O:$O,[7]BV_Data_An_Cour!$U:$U,$B36,[7]BV_Data_An_Cour!$V:$V,$C36,[7]BV_Data_An_Cour!$W:$W,L$2)</f>
        <v>12460.810000000001</v>
      </c>
      <c r="M36" s="14"/>
      <c r="N36" s="60">
        <f t="shared" si="25"/>
        <v>682.98107806886946</v>
      </c>
      <c r="O36" s="42"/>
      <c r="P36" s="83">
        <f t="shared" si="26"/>
        <v>93.181818181818187</v>
      </c>
      <c r="Q36" s="56">
        <f>SUMIFS([7]BV_Data_An_Prec!$O:$O,[7]BV_Data_An_Prec!$U:$U,$B36,[7]BV_Data_An_Prec!$V:$V,$C36,[7]BV_Data_An_Prec!$W:$W,Q$2)</f>
        <v>8200</v>
      </c>
      <c r="R36" s="42"/>
      <c r="S36" s="86">
        <f t="shared" si="27"/>
        <v>4260.8100000000013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30" t="s">
        <v>38</v>
      </c>
      <c r="D37" s="82"/>
      <c r="E37" s="83">
        <f t="shared" si="22"/>
        <v>158.4004716270039</v>
      </c>
      <c r="F37" s="31">
        <f>+INDEX('[7]Budget original'!$A$2:$AO$496,MATCH($A37,'[7]Budget original'!$A$2:$A$496,0),MATCH(F$2,'[7]Budget original'!$A$2:$AO$2,0))</f>
        <v>14656.489440238776</v>
      </c>
      <c r="G37" s="84"/>
      <c r="H37" s="83">
        <f t="shared" si="23"/>
        <v>225.48445292675041</v>
      </c>
      <c r="I37" s="31">
        <f>+INDEX('[7]Budget révisé'!$A$2:$AO$496,MATCH($A37,'[7]Budget révisé'!$A$2:$A$496,0),MATCH(I$2,'[7]Budget révisé'!$A$2:$AO$2,0))</f>
        <v>14656.489440238776</v>
      </c>
      <c r="J37" s="42"/>
      <c r="K37" s="83">
        <f t="shared" si="24"/>
        <v>232.88</v>
      </c>
      <c r="L37" s="97">
        <f>SUMIFS([7]BV_Data_An_Cour!$O:$O,[7]BV_Data_An_Cour!$U:$U,$B37,[7]BV_Data_An_Cour!$V:$V,$C37,[7]BV_Data_An_Cour!$W:$W,L$2)</f>
        <v>14904.32</v>
      </c>
      <c r="M37" s="14"/>
      <c r="N37" s="60">
        <f t="shared" si="25"/>
        <v>247.83055976122341</v>
      </c>
      <c r="O37" s="42"/>
      <c r="P37" s="83">
        <f t="shared" si="26"/>
        <v>243.43534090909091</v>
      </c>
      <c r="Q37" s="34">
        <f>SUMIFS([7]BV_Data_An_Prec!$O:$O,[7]BV_Data_An_Prec!$U:$U,$B37,[7]BV_Data_An_Prec!$V:$V,$C37,[7]BV_Data_An_Prec!$W:$W,Q$2)</f>
        <v>21422.31</v>
      </c>
      <c r="R37" s="42"/>
      <c r="S37" s="86">
        <f t="shared" si="27"/>
        <v>-6517.9900000000016</v>
      </c>
      <c r="T37" s="14"/>
      <c r="U37" s="14" t="s">
        <v>255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30" t="s">
        <v>21</v>
      </c>
      <c r="D38" s="82"/>
      <c r="E38" s="83">
        <f t="shared" si="22"/>
        <v>0</v>
      </c>
      <c r="F38" s="31">
        <f>+INDEX('[7]Budget original'!$A$2:$AO$496,MATCH($A38,'[7]Budget original'!$A$2:$A$496,0),MATCH(F$2,'[7]Budget original'!$A$2:$AO$2,0))</f>
        <v>0</v>
      </c>
      <c r="G38" s="84"/>
      <c r="H38" s="83">
        <f t="shared" si="23"/>
        <v>0</v>
      </c>
      <c r="I38" s="31">
        <f>+INDEX('[7]Budget révisé'!$A$2:$AO$496,MATCH($A38,'[7]Budget révisé'!$A$2:$A$496,0),MATCH(I$2,'[7]Budget révisé'!$A$2:$AO$2,0))</f>
        <v>0</v>
      </c>
      <c r="J38" s="42"/>
      <c r="K38" s="83">
        <f t="shared" si="24"/>
        <v>0</v>
      </c>
      <c r="L38" s="97">
        <f>SUMIFS([7]BV_Data_An_Cour!$O:$O,[7]BV_Data_An_Cour!$U:$U,$B38,[7]BV_Data_An_Cour!$V:$V,$C38,[7]BV_Data_An_Cour!$W:$W,L$2)</f>
        <v>0</v>
      </c>
      <c r="M38" s="14"/>
      <c r="N38" s="60">
        <f t="shared" si="25"/>
        <v>0</v>
      </c>
      <c r="O38" s="42"/>
      <c r="P38" s="83">
        <f t="shared" si="26"/>
        <v>0</v>
      </c>
      <c r="Q38" s="34">
        <f>SUMIFS([7]BV_Data_An_Prec!$O:$O,[7]BV_Data_An_Prec!$U:$U,$B38,[7]BV_Data_An_Prec!$V:$V,$C38,[7]BV_Data_An_Prec!$W:$W,Q$2)</f>
        <v>0</v>
      </c>
      <c r="R38" s="42"/>
      <c r="S38" s="86">
        <f t="shared" si="27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30" t="s">
        <v>21</v>
      </c>
      <c r="D39" s="82"/>
      <c r="E39" s="83">
        <f t="shared" si="22"/>
        <v>0</v>
      </c>
      <c r="F39" s="31">
        <f>+INDEX('[7]Budget original'!$A$2:$AO$496,MATCH($A39,'[7]Budget original'!$A$2:$A$496,0),MATCH(F$2,'[7]Budget original'!$A$2:$AO$2,0))</f>
        <v>0</v>
      </c>
      <c r="G39" s="84"/>
      <c r="H39" s="83">
        <f t="shared" si="23"/>
        <v>0</v>
      </c>
      <c r="I39" s="31">
        <f>+INDEX('[7]Budget révisé'!$A$2:$AO$496,MATCH($A39,'[7]Budget révisé'!$A$2:$A$496,0),MATCH(I$2,'[7]Budget révisé'!$A$2:$AO$2,0))</f>
        <v>0</v>
      </c>
      <c r="J39" s="42"/>
      <c r="K39" s="83">
        <f t="shared" si="24"/>
        <v>0</v>
      </c>
      <c r="L39" s="97">
        <f>SUMIFS([7]BV_Data_An_Cour!$O:$O,[7]BV_Data_An_Cour!$U:$U,$B39,[7]BV_Data_An_Cour!$V:$V,$C39,[7]BV_Data_An_Cour!$W:$W,L$2)</f>
        <v>0</v>
      </c>
      <c r="M39" s="14"/>
      <c r="N39" s="60">
        <f t="shared" si="25"/>
        <v>0</v>
      </c>
      <c r="O39" s="42"/>
      <c r="P39" s="83">
        <f t="shared" si="26"/>
        <v>0</v>
      </c>
      <c r="Q39" s="34">
        <f>SUMIFS([7]BV_Data_An_Prec!$O:$O,[7]BV_Data_An_Prec!$U:$U,$B39,[7]BV_Data_An_Prec!$V:$V,$C39,[7]BV_Data_An_Prec!$W:$W,Q$2)</f>
        <v>0</v>
      </c>
      <c r="R39" s="42"/>
      <c r="S39" s="86">
        <f t="shared" si="27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30" t="s">
        <v>21</v>
      </c>
      <c r="D40" s="82"/>
      <c r="E40" s="83">
        <f t="shared" si="22"/>
        <v>0</v>
      </c>
      <c r="F40" s="31">
        <f>+INDEX('[7]Budget original'!$A$2:$AO$496,MATCH($A40,'[7]Budget original'!$A$2:$A$496,0),MATCH(F$2,'[7]Budget original'!$A$2:$AO$2,0))</f>
        <v>0</v>
      </c>
      <c r="G40" s="84"/>
      <c r="H40" s="83">
        <f t="shared" si="23"/>
        <v>0</v>
      </c>
      <c r="I40" s="31">
        <f>+INDEX('[7]Budget révisé'!$A$2:$AO$496,MATCH($A40,'[7]Budget révisé'!$A$2:$A$496,0),MATCH(I$2,'[7]Budget révisé'!$A$2:$AO$2,0))</f>
        <v>0</v>
      </c>
      <c r="J40" s="42"/>
      <c r="K40" s="83">
        <f t="shared" si="24"/>
        <v>0</v>
      </c>
      <c r="L40" s="98">
        <f>SUMIFS([7]BV_Data_An_Cour!$O:$O,[7]BV_Data_An_Cour!$U:$U,$B40,[7]BV_Data_An_Cour!$V:$V,$C40,[7]BV_Data_An_Cour!$W:$W,L$2)</f>
        <v>0</v>
      </c>
      <c r="M40" s="14"/>
      <c r="N40" s="60">
        <f t="shared" si="25"/>
        <v>0</v>
      </c>
      <c r="O40" s="42"/>
      <c r="P40" s="83">
        <f t="shared" si="26"/>
        <v>0</v>
      </c>
      <c r="Q40" s="34">
        <f>SUMIFS([7]BV_Data_An_Prec!$O:$O,[7]BV_Data_An_Prec!$U:$U,$B40,[7]BV_Data_An_Prec!$V:$V,$C40,[7]BV_Data_An_Prec!$W:$W,Q$2)</f>
        <v>0</v>
      </c>
      <c r="R40" s="42"/>
      <c r="S40" s="86">
        <f t="shared" si="27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9" t="s">
        <v>39</v>
      </c>
      <c r="D41" s="100" t="s">
        <v>40</v>
      </c>
      <c r="E41" s="101">
        <f>F41/F$27</f>
        <v>0.56319667830781261</v>
      </c>
      <c r="F41" s="102">
        <f>SUM(F31:F40)</f>
        <v>83781.284565449372</v>
      </c>
      <c r="G41" s="103" t="s">
        <v>40</v>
      </c>
      <c r="H41" s="101">
        <f>I41/I$27</f>
        <v>0.56319667830781261</v>
      </c>
      <c r="I41" s="102">
        <f>SUM(I31:I40)</f>
        <v>83781.284565449372</v>
      </c>
      <c r="J41" s="103" t="s">
        <v>40</v>
      </c>
      <c r="K41" s="101">
        <f>L41/L$27</f>
        <v>0.54802118067443284</v>
      </c>
      <c r="L41" s="102">
        <f>SUM(L31:L40)</f>
        <v>99050.510000000009</v>
      </c>
      <c r="M41" s="104"/>
      <c r="N41" s="102">
        <f t="shared" si="25"/>
        <v>15269.225434550637</v>
      </c>
      <c r="O41" s="103" t="s">
        <v>40</v>
      </c>
      <c r="P41" s="101">
        <f>Q41/Q$27</f>
        <v>1.0045653150669371</v>
      </c>
      <c r="Q41" s="105">
        <f>SUM(Q31:Q40)</f>
        <v>104300.35</v>
      </c>
      <c r="R41" s="106"/>
      <c r="S41" s="107">
        <f t="shared" si="27"/>
        <v>-5249.8399999999965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108" t="s">
        <v>42</v>
      </c>
      <c r="D42" s="14"/>
      <c r="E42" s="14"/>
      <c r="F42" s="31">
        <f>+INDEX('[7]Budget original'!$A$2:$AO$496,MATCH($A42,'[7]Budget original'!$A$2:$A$496,0),MATCH(F$2,'[7]Budget original'!$A$2:$AO$2,0))</f>
        <v>25144.300574712641</v>
      </c>
      <c r="G42" s="42"/>
      <c r="H42" s="14"/>
      <c r="I42" s="31">
        <f>+INDEX('[7]Budget révisé'!$A$2:$AO$496,MATCH($A42,'[7]Budget révisé'!$A$2:$A$496,0),MATCH(I$2,'[7]Budget révisé'!$A$2:$AO$2,0))</f>
        <v>25144.300574712641</v>
      </c>
      <c r="J42" s="42"/>
      <c r="K42" s="14"/>
      <c r="L42" s="34">
        <f>SUMIFS([7]BV_Data_An_Cour!$O:$O,[7]BV_Data_An_Cour!$U:$U,$B42,[7]BV_Data_An_Cour!$V:$V,$C42,[7]BV_Data_An_Cour!$W:$W,L$2)</f>
        <v>24698.93</v>
      </c>
      <c r="M42" s="42"/>
      <c r="N42" s="60">
        <f t="shared" si="25"/>
        <v>-445.37057471264052</v>
      </c>
      <c r="O42" s="42"/>
      <c r="P42" s="14"/>
      <c r="Q42" s="34">
        <f>SUMIFS([7]BV_Data_An_Prec!$O:$O,[7]BV_Data_An_Prec!$U:$U,$B42,[7]BV_Data_An_Prec!$V:$V,$C42,[7]BV_Data_An_Prec!$W:$W,Q$2)</f>
        <v>20435.45</v>
      </c>
      <c r="R42" s="42"/>
      <c r="S42" s="86">
        <f t="shared" si="27"/>
        <v>4263.4799999999996</v>
      </c>
      <c r="T42" s="14"/>
      <c r="U42" s="14" t="s">
        <v>238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9" t="s">
        <v>43</v>
      </c>
      <c r="D43" s="82"/>
      <c r="E43" s="14"/>
      <c r="F43" s="23">
        <f>+INDEX('[7]Budget original'!$A$2:$AO$496,MATCH($A43,'[7]Budget original'!$A$2:$A$496,0),MATCH(F$2,'[7]Budget original'!$A$2:$AO$2,0))</f>
        <v>10029.360540137932</v>
      </c>
      <c r="G43" s="84"/>
      <c r="H43" s="14"/>
      <c r="I43" s="23">
        <f>+INDEX('[7]Budget révisé'!$A$2:$AO$496,MATCH($A43,'[7]Budget révisé'!$A$2:$A$496,0),MATCH(I$2,'[7]Budget révisé'!$A$2:$AO$2,0))</f>
        <v>10029.360540137932</v>
      </c>
      <c r="J43" s="42"/>
      <c r="K43" s="14"/>
      <c r="L43" s="34">
        <f>SUMIFS([7]BV_Data_An_Cour!$O:$O,[7]BV_Data_An_Cour!$U:$U,$B43,[7]BV_Data_An_Cour!$V:$V,$C43,[7]BV_Data_An_Cour!$W:$W,L$2)</f>
        <v>9024.66</v>
      </c>
      <c r="M43" s="42"/>
      <c r="N43" s="60">
        <f t="shared" si="25"/>
        <v>-1004.700540137932</v>
      </c>
      <c r="O43" s="42"/>
      <c r="P43" s="14"/>
      <c r="Q43" s="34">
        <f>SUMIFS([7]BV_Data_An_Prec!$O:$O,[7]BV_Data_An_Prec!$U:$U,$B43,[7]BV_Data_An_Prec!$V:$V,$C43,[7]BV_Data_An_Prec!$W:$W,Q$2)</f>
        <v>8999.0300000000007</v>
      </c>
      <c r="R43" s="42"/>
      <c r="S43" s="86">
        <f t="shared" si="27"/>
        <v>25.6299999999992</v>
      </c>
      <c r="T43" s="14"/>
      <c r="U43" s="14"/>
      <c r="V43" s="12" t="s">
        <v>239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108" t="s">
        <v>44</v>
      </c>
      <c r="D44" s="110"/>
      <c r="E44" s="111"/>
      <c r="F44" s="31">
        <f>+INDEX('[7]Budget original'!$A$2:$AO$496,MATCH($A44,'[7]Budget original'!$A$2:$A$496,0),MATCH(F$2,'[7]Budget original'!$A$2:$AO$2,0))</f>
        <v>6319.9371168367816</v>
      </c>
      <c r="G44" s="112"/>
      <c r="H44" s="111"/>
      <c r="I44" s="31">
        <f>+INDEX('[7]Budget révisé'!$A$2:$AO$496,MATCH($A44,'[7]Budget révisé'!$A$2:$A$496,0),MATCH(I$2,'[7]Budget révisé'!$A$2:$AO$2,0))</f>
        <v>6319.9371168367816</v>
      </c>
      <c r="J44" s="113"/>
      <c r="K44" s="111"/>
      <c r="L44" s="114">
        <f>SUMIFS([7]BV_Data_An_Cour!$O:$O,[7]BV_Data_An_Cour!$U:$U,$B44,[7]BV_Data_An_Cour!$V:$V,$C44,[7]BV_Data_An_Cour!$W:$W,L$2)</f>
        <v>10067.66</v>
      </c>
      <c r="M44" s="113"/>
      <c r="N44" s="115">
        <f t="shared" si="25"/>
        <v>3747.7228831632183</v>
      </c>
      <c r="O44" s="113"/>
      <c r="P44" s="111"/>
      <c r="Q44" s="114">
        <f>SUMIFS([7]BV_Data_An_Prec!$O:$O,[7]BV_Data_An_Prec!$U:$U,$B44,[7]BV_Data_An_Prec!$V:$V,$C44,[7]BV_Data_An_Prec!$W:$W,Q$2)</f>
        <v>6801.44</v>
      </c>
      <c r="R44" s="113"/>
      <c r="S44" s="116">
        <f t="shared" si="27"/>
        <v>3266.2200000000003</v>
      </c>
      <c r="T44" s="14"/>
      <c r="U44" s="14" t="s">
        <v>240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108" t="s">
        <v>45</v>
      </c>
      <c r="D45" s="82"/>
      <c r="E45" s="14"/>
      <c r="F45" s="31">
        <f>+INDEX('[7]Budget original'!$A$2:$AO$496,MATCH($A45,'[7]Budget original'!$A$2:$A$496,0),MATCH(F$2,'[7]Budget original'!$A$2:$AO$2,0))</f>
        <v>0</v>
      </c>
      <c r="G45" s="84"/>
      <c r="H45" s="14"/>
      <c r="I45" s="31">
        <f>+INDEX('[7]Budget révisé'!$A$2:$AO$496,MATCH($A45,'[7]Budget révisé'!$A$2:$A$496,0),MATCH(I$2,'[7]Budget révisé'!$A$2:$AO$2,0))</f>
        <v>0</v>
      </c>
      <c r="J45" s="42"/>
      <c r="K45" s="14"/>
      <c r="L45" s="34">
        <f>SUMIFS([7]BV_Data_An_Cour!$O:$O,[7]BV_Data_An_Cour!$U:$U,$B45,[7]BV_Data_An_Cour!$V:$V,$C45,[7]BV_Data_An_Cour!$W:$W,L$2)</f>
        <v>0</v>
      </c>
      <c r="M45" s="42"/>
      <c r="N45" s="60">
        <f t="shared" si="25"/>
        <v>0</v>
      </c>
      <c r="O45" s="42"/>
      <c r="P45" s="14"/>
      <c r="Q45" s="34">
        <f>SUMIFS([7]BV_Data_An_Prec!$O:$O,[7]BV_Data_An_Prec!$U:$U,$B45,[7]BV_Data_An_Prec!$V:$V,$C45,[7]BV_Data_An_Prec!$W:$W,Q$2)</f>
        <v>0</v>
      </c>
      <c r="R45" s="42"/>
      <c r="S45" s="86">
        <f t="shared" si="27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108" t="s">
        <v>21</v>
      </c>
      <c r="D46" s="82"/>
      <c r="E46" s="14"/>
      <c r="F46" s="31">
        <f>+INDEX('[7]Budget original'!$A$2:$AO$496,MATCH($A46,'[7]Budget original'!$A$2:$A$496,0),MATCH(F$2,'[7]Budget original'!$A$2:$AO$2,0))</f>
        <v>0</v>
      </c>
      <c r="G46" s="84"/>
      <c r="H46" s="14"/>
      <c r="I46" s="31">
        <f>+INDEX('[7]Budget révisé'!$A$2:$AO$496,MATCH($A46,'[7]Budget révisé'!$A$2:$A$496,0),MATCH(I$2,'[7]Budget révisé'!$A$2:$AO$2,0))</f>
        <v>0</v>
      </c>
      <c r="J46" s="42"/>
      <c r="K46" s="14"/>
      <c r="L46" s="34">
        <f>SUMIFS([7]BV_Data_An_Cour!$O:$O,[7]BV_Data_An_Cour!$U:$U,$B46,[7]BV_Data_An_Cour!$V:$V,$C46,[7]BV_Data_An_Cour!$W:$W,L$2)</f>
        <v>0</v>
      </c>
      <c r="M46" s="42"/>
      <c r="N46" s="60">
        <f t="shared" si="25"/>
        <v>0</v>
      </c>
      <c r="O46" s="42"/>
      <c r="P46" s="14"/>
      <c r="Q46" s="34">
        <f>SUMIFS([7]BV_Data_An_Prec!$O:$O,[7]BV_Data_An_Prec!$U:$U,$B46,[7]BV_Data_An_Prec!$V:$V,$C46,[7]BV_Data_An_Prec!$W:$W,Q$2)</f>
        <v>0</v>
      </c>
      <c r="R46" s="42"/>
      <c r="S46" s="86">
        <f t="shared" si="27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108" t="s">
        <v>21</v>
      </c>
      <c r="D47" s="82"/>
      <c r="E47" s="14"/>
      <c r="F47" s="31">
        <f>+INDEX('[7]Budget original'!$A$2:$AO$496,MATCH($A47,'[7]Budget original'!$A$2:$A$496,0),MATCH(F$2,'[7]Budget original'!$A$2:$AO$2,0))</f>
        <v>0</v>
      </c>
      <c r="G47" s="84"/>
      <c r="H47" s="14"/>
      <c r="I47" s="31">
        <f>+INDEX('[7]Budget révisé'!$A$2:$AO$496,MATCH($A47,'[7]Budget révisé'!$A$2:$A$496,0),MATCH(I$2,'[7]Budget révisé'!$A$2:$AO$2,0))</f>
        <v>0</v>
      </c>
      <c r="J47" s="42"/>
      <c r="K47" s="14"/>
      <c r="L47" s="34">
        <f>SUMIFS([7]BV_Data_An_Cour!$O:$O,[7]BV_Data_An_Cour!$U:$U,$B47,[7]BV_Data_An_Cour!$V:$V,$C47,[7]BV_Data_An_Cour!$W:$W,L$2)</f>
        <v>0</v>
      </c>
      <c r="M47" s="42"/>
      <c r="N47" s="60">
        <f t="shared" si="25"/>
        <v>0</v>
      </c>
      <c r="O47" s="42"/>
      <c r="P47" s="14"/>
      <c r="Q47" s="34">
        <f>SUMIFS([7]BV_Data_An_Prec!$O:$O,[7]BV_Data_An_Prec!$U:$U,$B47,[7]BV_Data_An_Prec!$V:$V,$C47,[7]BV_Data_An_Prec!$W:$W,Q$2)</f>
        <v>0</v>
      </c>
      <c r="R47" s="42"/>
      <c r="S47" s="86">
        <f t="shared" si="27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108" t="s">
        <v>21</v>
      </c>
      <c r="D48" s="82"/>
      <c r="E48" s="14"/>
      <c r="F48" s="31">
        <f>+INDEX('[7]Budget original'!$A$2:$AO$496,MATCH($A48,'[7]Budget original'!$A$2:$A$496,0),MATCH(F$2,'[7]Budget original'!$A$2:$AO$2,0))</f>
        <v>0</v>
      </c>
      <c r="G48" s="84"/>
      <c r="H48" s="14"/>
      <c r="I48" s="31">
        <f>+INDEX('[7]Budget révisé'!$A$2:$AO$496,MATCH($A48,'[7]Budget révisé'!$A$2:$A$496,0),MATCH(I$2,'[7]Budget révisé'!$A$2:$AO$2,0))</f>
        <v>0</v>
      </c>
      <c r="J48" s="42"/>
      <c r="K48" s="14"/>
      <c r="L48" s="34">
        <f>SUMIFS([7]BV_Data_An_Cour!$O:$O,[7]BV_Data_An_Cour!$U:$U,$B48,[7]BV_Data_An_Cour!$V:$V,$C48,[7]BV_Data_An_Cour!$W:$W,L$2)</f>
        <v>0</v>
      </c>
      <c r="M48" s="42"/>
      <c r="N48" s="60">
        <f t="shared" si="25"/>
        <v>0</v>
      </c>
      <c r="O48" s="42"/>
      <c r="P48" s="14"/>
      <c r="Q48" s="34">
        <f>SUMIFS([7]BV_Data_An_Prec!$O:$O,[7]BV_Data_An_Prec!$U:$U,$B48,[7]BV_Data_An_Prec!$V:$V,$C48,[7]BV_Data_An_Prec!$W:$W,Q$2)</f>
        <v>0</v>
      </c>
      <c r="R48" s="42"/>
      <c r="S48" s="86">
        <f t="shared" si="27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9" t="s">
        <v>46</v>
      </c>
      <c r="D49" s="82"/>
      <c r="E49" s="14"/>
      <c r="F49" s="23">
        <f>+INDEX('[7]Budget original'!$A$2:$AO$496,MATCH($A49,'[7]Budget original'!$A$2:$A$496,0),MATCH(F$2,'[7]Budget original'!$A$2:$AO$2,0))</f>
        <v>10006.868082655677</v>
      </c>
      <c r="G49" s="84"/>
      <c r="H49" s="14"/>
      <c r="I49" s="23">
        <f>+INDEX('[7]Budget révisé'!$A$2:$AO$496,MATCH($A49,'[7]Budget révisé'!$A$2:$A$496,0),MATCH(I$2,'[7]Budget révisé'!$A$2:$AO$2,0))</f>
        <v>10006.868082655677</v>
      </c>
      <c r="J49" s="42"/>
      <c r="K49" s="14"/>
      <c r="L49" s="23">
        <f>SUMIFS([7]BV_Data_An_Cour!$O:$O,[7]BV_Data_An_Cour!$U:$U,$B49,[7]BV_Data_An_Cour!$V:$V,$C49,[7]BV_Data_An_Cour!$W:$W,L$2)</f>
        <v>16636.16</v>
      </c>
      <c r="M49" s="42"/>
      <c r="N49" s="60">
        <f t="shared" si="25"/>
        <v>6629.2919173443224</v>
      </c>
      <c r="O49" s="42"/>
      <c r="P49" s="14"/>
      <c r="Q49" s="23">
        <f>SUMIFS([7]BV_Data_An_Prec!$O:$O,[7]BV_Data_An_Prec!$U:$U,$B49,[7]BV_Data_An_Prec!$V:$V,$C49,[7]BV_Data_An_Prec!$W:$W,Q$2)</f>
        <v>14250.71</v>
      </c>
      <c r="R49" s="42"/>
      <c r="S49" s="86">
        <f t="shared" si="27"/>
        <v>2385.4500000000007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108" t="s">
        <v>47</v>
      </c>
      <c r="D50" s="110"/>
      <c r="E50" s="111"/>
      <c r="F50" s="31">
        <f>+INDEX('[7]Budget original'!$A$2:$AO$496,MATCH($A50,'[7]Budget original'!$A$2:$A$496,0),MATCH(F$2,'[7]Budget original'!$A$2:$AO$2,0))</f>
        <v>10006.868082655677</v>
      </c>
      <c r="G50" s="112"/>
      <c r="H50" s="111"/>
      <c r="I50" s="31">
        <f>+INDEX('[7]Budget révisé'!$A$2:$AO$496,MATCH($A50,'[7]Budget révisé'!$A$2:$A$496,0),MATCH(I$2,'[7]Budget révisé'!$A$2:$AO$2,0))</f>
        <v>10006.868082655677</v>
      </c>
      <c r="J50" s="113"/>
      <c r="K50" s="111"/>
      <c r="L50" s="34">
        <f>SUMIFS([7]BV_Data_An_Cour!$O:$O,[7]BV_Data_An_Cour!$U:$U,$B50,[7]BV_Data_An_Cour!$V:$V,$C50,[7]BV_Data_An_Cour!$W:$W,L$2)</f>
        <v>12245.78</v>
      </c>
      <c r="M50" s="113"/>
      <c r="N50" s="115">
        <f t="shared" si="25"/>
        <v>2238.9119173443232</v>
      </c>
      <c r="O50" s="113"/>
      <c r="P50" s="111"/>
      <c r="Q50" s="34">
        <f>SUMIFS([7]BV_Data_An_Prec!$O:$O,[7]BV_Data_An_Prec!$U:$U,$B50,[7]BV_Data_An_Prec!$V:$V,$C50,[7]BV_Data_An_Prec!$W:$W,Q$2)</f>
        <v>12500.8</v>
      </c>
      <c r="R50" s="113"/>
      <c r="S50" s="116">
        <f t="shared" si="27"/>
        <v>-255.01999999999862</v>
      </c>
      <c r="T50" s="14"/>
      <c r="U50" s="14" t="s">
        <v>241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108" t="s">
        <v>48</v>
      </c>
      <c r="D51" s="82"/>
      <c r="E51" s="14"/>
      <c r="F51" s="31">
        <f>+INDEX('[7]Budget original'!$A$2:$AO$496,MATCH($A51,'[7]Budget original'!$A$2:$A$496,0),MATCH(F$2,'[7]Budget original'!$A$2:$AO$2,0))</f>
        <v>7171.5887925699017</v>
      </c>
      <c r="G51" s="84"/>
      <c r="H51" s="14"/>
      <c r="I51" s="31">
        <f>+INDEX('[7]Budget révisé'!$A$2:$AO$496,MATCH($A51,'[7]Budget révisé'!$A$2:$A$496,0),MATCH(I$2,'[7]Budget révisé'!$A$2:$AO$2,0))</f>
        <v>7171.5887925699017</v>
      </c>
      <c r="J51" s="42"/>
      <c r="K51" s="14"/>
      <c r="L51" s="34">
        <f>SUMIFS([7]BV_Data_An_Cour!$O:$O,[7]BV_Data_An_Cour!$U:$U,$B51,[7]BV_Data_An_Cour!$V:$V,$C51,[7]BV_Data_An_Cour!$W:$W,L$2)</f>
        <v>8776.15</v>
      </c>
      <c r="M51" s="42"/>
      <c r="N51" s="60">
        <f t="shared" si="25"/>
        <v>1604.561207430098</v>
      </c>
      <c r="O51" s="42"/>
      <c r="P51" s="14"/>
      <c r="Q51" s="34">
        <f>SUMIFS([7]BV_Data_An_Prec!$O:$O,[7]BV_Data_An_Prec!$U:$U,$B51,[7]BV_Data_An_Prec!$V:$V,$C51,[7]BV_Data_An_Prec!$W:$W,Q$2)</f>
        <v>8350.9500000000007</v>
      </c>
      <c r="R51" s="42"/>
      <c r="S51" s="86">
        <f t="shared" si="27"/>
        <v>425.19999999999891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108" t="s">
        <v>49</v>
      </c>
      <c r="D52" s="82"/>
      <c r="E52" s="14"/>
      <c r="F52" s="31">
        <f>+INDEX('[7]Budget original'!$A$2:$AO$496,MATCH($A52,'[7]Budget original'!$A$2:$A$496,0),MATCH(F$2,'[7]Budget original'!$A$2:$AO$2,0))</f>
        <v>1667.8113471092797</v>
      </c>
      <c r="G52" s="84"/>
      <c r="H52" s="14"/>
      <c r="I52" s="31">
        <f>+INDEX('[7]Budget révisé'!$A$2:$AO$496,MATCH($A52,'[7]Budget révisé'!$A$2:$A$496,0),MATCH(I$2,'[7]Budget révisé'!$A$2:$AO$2,0))</f>
        <v>1667.8113471092797</v>
      </c>
      <c r="J52" s="42"/>
      <c r="K52" s="14"/>
      <c r="L52" s="34">
        <f>SUMIFS([7]BV_Data_An_Cour!$O:$O,[7]BV_Data_An_Cour!$U:$U,$B52,[7]BV_Data_An_Cour!$V:$V,$C52,[7]BV_Data_An_Cour!$W:$W,L$2)</f>
        <v>2040.96</v>
      </c>
      <c r="M52" s="42"/>
      <c r="N52" s="60">
        <f t="shared" si="25"/>
        <v>373.14865289072031</v>
      </c>
      <c r="O52" s="42"/>
      <c r="P52" s="14"/>
      <c r="Q52" s="34">
        <f>SUMIFS([7]BV_Data_An_Prec!$O:$O,[7]BV_Data_An_Prec!$U:$U,$B52,[7]BV_Data_An_Prec!$V:$V,$C52,[7]BV_Data_An_Prec!$W:$W,Q$2)</f>
        <v>2822.32</v>
      </c>
      <c r="R52" s="42"/>
      <c r="S52" s="86">
        <f t="shared" si="27"/>
        <v>-781.36000000000013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30" t="s">
        <v>21</v>
      </c>
      <c r="D53" s="89"/>
      <c r="E53" s="117"/>
      <c r="F53" s="31">
        <f>+INDEX('[7]Budget original'!$A$2:$AO$496,MATCH($A53,'[7]Budget original'!$A$2:$A$496,0),MATCH(F$2,'[7]Budget original'!$A$2:$AO$2,0))</f>
        <v>0</v>
      </c>
      <c r="G53" s="91"/>
      <c r="H53" s="117"/>
      <c r="I53" s="31">
        <f>+INDEX('[7]Budget révisé'!$A$2:$AO$496,MATCH($A53,'[7]Budget révisé'!$A$2:$A$496,0),MATCH(I$2,'[7]Budget révisé'!$A$2:$AO$2,0))</f>
        <v>0</v>
      </c>
      <c r="J53" s="24"/>
      <c r="K53" s="117"/>
      <c r="L53" s="34">
        <f>SUMIFS([7]BV_Data_An_Cour!$O:$O,[7]BV_Data_An_Cour!$U:$U,$B53,[7]BV_Data_An_Cour!$V:$V,$C53,[7]BV_Data_An_Cour!$W:$W,L$2)</f>
        <v>0</v>
      </c>
      <c r="M53" s="24"/>
      <c r="N53" s="94">
        <f t="shared" si="25"/>
        <v>0</v>
      </c>
      <c r="O53" s="24"/>
      <c r="P53" s="117"/>
      <c r="Q53" s="34">
        <f>SUMIFS([7]BV_Data_An_Prec!$O:$O,[7]BV_Data_An_Prec!$U:$U,$B53,[7]BV_Data_An_Prec!$V:$V,$C53,[7]BV_Data_An_Prec!$W:$W,Q$2)</f>
        <v>0</v>
      </c>
      <c r="R53" s="24"/>
      <c r="S53" s="95">
        <f t="shared" si="27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9" t="s">
        <v>50</v>
      </c>
      <c r="D54" s="100" t="s">
        <v>40</v>
      </c>
      <c r="E54" s="101">
        <f>F54/F$27</f>
        <v>0.47288660500196017</v>
      </c>
      <c r="F54" s="102">
        <f>+SUM(F42:F53)</f>
        <v>70346.734536677905</v>
      </c>
      <c r="G54" s="103" t="s">
        <v>40</v>
      </c>
      <c r="H54" s="101">
        <f>I54/I$27</f>
        <v>0.47288660500196017</v>
      </c>
      <c r="I54" s="102">
        <f>+SUM(I42:I53)</f>
        <v>70346.734536677905</v>
      </c>
      <c r="J54" s="103" t="s">
        <v>40</v>
      </c>
      <c r="K54" s="101">
        <f>L54/L$27</f>
        <v>0.46193051182535649</v>
      </c>
      <c r="L54" s="102">
        <f>+SUM(L42:L53)</f>
        <v>83490.3</v>
      </c>
      <c r="M54" s="106"/>
      <c r="N54" s="102">
        <f>+SUM(N42:N53)</f>
        <v>13143.565463322111</v>
      </c>
      <c r="O54" s="103" t="s">
        <v>40</v>
      </c>
      <c r="P54" s="101">
        <f>Q54/Q$27</f>
        <v>0.71427628920789443</v>
      </c>
      <c r="Q54" s="102">
        <f>+SUM(Q42:Q53)</f>
        <v>74160.700000000012</v>
      </c>
      <c r="R54" s="106"/>
      <c r="S54" s="107">
        <f>+SUM(S42:S53)</f>
        <v>9329.5999999999985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30" t="s">
        <v>51</v>
      </c>
      <c r="D55" s="82"/>
      <c r="E55" s="14"/>
      <c r="F55" s="31">
        <f>+INDEX('[7]Budget original'!$A$2:$AO$496,MATCH($A55,'[7]Budget original'!$A$2:$A$496,0),MATCH(F$2,'[7]Budget original'!$A$2:$AO$2,0))</f>
        <v>0</v>
      </c>
      <c r="G55" s="84"/>
      <c r="H55" s="14"/>
      <c r="I55" s="31">
        <f>+INDEX('[7]Budget révisé'!$A$2:$AO$496,MATCH($A55,'[7]Budget révisé'!$A$2:$A$496,0),MATCH(I$2,'[7]Budget révisé'!$A$2:$AO$2,0))</f>
        <v>0</v>
      </c>
      <c r="J55" s="42"/>
      <c r="K55" s="14"/>
      <c r="L55" s="34">
        <f>SUMIFS([7]BV_Data_An_Cour!$O:$O,[7]BV_Data_An_Cour!$U:$U,$B55,[7]BV_Data_An_Cour!$V:$V,$C55,[7]BV_Data_An_Cour!$W:$W,L$2)</f>
        <v>0</v>
      </c>
      <c r="M55" s="42"/>
      <c r="N55" s="60">
        <f t="shared" ref="N55:N71" si="28">L55-I55</f>
        <v>0</v>
      </c>
      <c r="O55" s="42"/>
      <c r="P55" s="14"/>
      <c r="Q55" s="34">
        <f>SUMIFS([7]BV_Data_An_Prec!$O:$O,[7]BV_Data_An_Prec!$U:$U,$B55,[7]BV_Data_An_Prec!$V:$V,$C55,[7]BV_Data_An_Prec!$W:$W,Q$2)</f>
        <v>0</v>
      </c>
      <c r="R55" s="42"/>
      <c r="S55" s="86">
        <f t="shared" ref="S55:S71" si="29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30" t="s">
        <v>52</v>
      </c>
      <c r="D56" s="82"/>
      <c r="E56" s="14"/>
      <c r="F56" s="31">
        <f>+INDEX('[7]Budget original'!$A$2:$AO$496,MATCH($A56,'[7]Budget original'!$A$2:$A$496,0),MATCH(F$2,'[7]Budget original'!$A$2:$AO$2,0))</f>
        <v>0</v>
      </c>
      <c r="G56" s="84"/>
      <c r="H56" s="14"/>
      <c r="I56" s="31">
        <f>+INDEX('[7]Budget révisé'!$A$2:$AO$496,MATCH($A56,'[7]Budget révisé'!$A$2:$A$496,0),MATCH(I$2,'[7]Budget révisé'!$A$2:$AO$2,0))</f>
        <v>0</v>
      </c>
      <c r="J56" s="42"/>
      <c r="K56" s="14"/>
      <c r="L56" s="34">
        <f>SUMIFS([7]BV_Data_An_Cour!$O:$O,[7]BV_Data_An_Cour!$U:$U,$B56,[7]BV_Data_An_Cour!$V:$V,$C56,[7]BV_Data_An_Cour!$W:$W,L$2)</f>
        <v>0</v>
      </c>
      <c r="M56" s="42"/>
      <c r="N56" s="60">
        <f t="shared" si="28"/>
        <v>0</v>
      </c>
      <c r="O56" s="42"/>
      <c r="P56" s="14"/>
      <c r="Q56" s="34">
        <f>SUMIFS([7]BV_Data_An_Prec!$O:$O,[7]BV_Data_An_Prec!$U:$U,$B56,[7]BV_Data_An_Prec!$V:$V,$C56,[7]BV_Data_An_Prec!$W:$W,Q$2)</f>
        <v>0</v>
      </c>
      <c r="R56" s="42"/>
      <c r="S56" s="86">
        <f t="shared" si="29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8" t="s">
        <v>53</v>
      </c>
      <c r="D57" s="89"/>
      <c r="E57" s="117"/>
      <c r="F57" s="23">
        <f>+INDEX('[7]Budget original'!$A$2:$AO$496,MATCH($A57,'[7]Budget original'!$A$2:$A$496,0),MATCH(F$2,'[7]Budget original'!$A$2:$AO$2,0))</f>
        <v>9088.8775000000005</v>
      </c>
      <c r="G57" s="91"/>
      <c r="H57" s="117"/>
      <c r="I57" s="23">
        <f>+INDEX('[7]Budget révisé'!$A$2:$AO$496,MATCH($A57,'[7]Budget révisé'!$A$2:$A$496,0),MATCH(I$2,'[7]Budget révisé'!$A$2:$AO$2,0))</f>
        <v>9088.8775000000005</v>
      </c>
      <c r="J57" s="24"/>
      <c r="K57" s="117"/>
      <c r="L57" s="23">
        <f>SUMIFS([7]BV_Data_An_Cour!$O:$O,[7]BV_Data_An_Cour!$U:$U,$B57,[7]BV_Data_An_Cour!$V:$V,$C57,[7]BV_Data_An_Cour!$W:$W,L$2)</f>
        <v>7978.53</v>
      </c>
      <c r="M57" s="24"/>
      <c r="N57" s="94">
        <f t="shared" si="28"/>
        <v>-1110.3475000000008</v>
      </c>
      <c r="O57" s="24"/>
      <c r="P57" s="117"/>
      <c r="Q57" s="23">
        <f>SUMIFS([7]BV_Data_An_Prec!$O:$O,[7]BV_Data_An_Prec!$U:$U,$B57,[7]BV_Data_An_Prec!$V:$V,$C57,[7]BV_Data_An_Prec!$W:$W,Q$2)</f>
        <v>18900.59</v>
      </c>
      <c r="R57" s="24"/>
      <c r="S57" s="95">
        <f t="shared" si="29"/>
        <v>-10922.060000000001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30" t="s">
        <v>54</v>
      </c>
      <c r="D58" s="82"/>
      <c r="E58" s="14"/>
      <c r="F58" s="31">
        <f>+INDEX('[7]Budget original'!$A$2:$AO$496,MATCH($A58,'[7]Budget original'!$A$2:$A$496,0),MATCH(F$2,'[7]Budget original'!$A$2:$AO$2,0))</f>
        <v>6677.3962666666675</v>
      </c>
      <c r="G58" s="84"/>
      <c r="H58" s="14"/>
      <c r="I58" s="31">
        <f>+INDEX('[7]Budget révisé'!$A$2:$AO$496,MATCH($A58,'[7]Budget révisé'!$A$2:$A$496,0),MATCH(I$2,'[7]Budget révisé'!$A$2:$AO$2,0))</f>
        <v>6677.3962666666675</v>
      </c>
      <c r="J58" s="42"/>
      <c r="K58" s="14"/>
      <c r="L58" s="34">
        <f>SUMIFS([7]BV_Data_An_Cour!$O:$O,[7]BV_Data_An_Cour!$U:$U,$B58,[7]BV_Data_An_Cour!$V:$V,$C58,[7]BV_Data_An_Cour!$W:$W,L$2)</f>
        <v>5204</v>
      </c>
      <c r="M58" s="42"/>
      <c r="N58" s="60">
        <f t="shared" si="28"/>
        <v>-1473.3962666666675</v>
      </c>
      <c r="O58" s="42"/>
      <c r="P58" s="14"/>
      <c r="Q58" s="34">
        <f>SUMIFS([7]BV_Data_An_Prec!$O:$O,[7]BV_Data_An_Prec!$U:$U,$B58,[7]BV_Data_An_Prec!$V:$V,$C58,[7]BV_Data_An_Prec!$W:$W,Q$2)</f>
        <v>6161.29</v>
      </c>
      <c r="R58" s="42"/>
      <c r="S58" s="86">
        <f t="shared" si="29"/>
        <v>-957.29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30" t="s">
        <v>55</v>
      </c>
      <c r="D59" s="82"/>
      <c r="E59" s="14"/>
      <c r="F59" s="31">
        <f>+INDEX('[7]Budget original'!$A$2:$AO$496,MATCH($A59,'[7]Budget original'!$A$2:$A$496,0),MATCH(F$2,'[7]Budget original'!$A$2:$AO$2,0))</f>
        <v>1596.4967999999999</v>
      </c>
      <c r="G59" s="84"/>
      <c r="H59" s="14"/>
      <c r="I59" s="31">
        <f>+INDEX('[7]Budget révisé'!$A$2:$AO$496,MATCH($A59,'[7]Budget révisé'!$A$2:$A$496,0),MATCH(I$2,'[7]Budget révisé'!$A$2:$AO$2,0))</f>
        <v>1596.4967999999999</v>
      </c>
      <c r="J59" s="42"/>
      <c r="K59" s="14"/>
      <c r="L59" s="34">
        <f>SUMIFS([7]BV_Data_An_Cour!$O:$O,[7]BV_Data_An_Cour!$U:$U,$B59,[7]BV_Data_An_Cour!$V:$V,$C59,[7]BV_Data_An_Cour!$W:$W,L$2)</f>
        <v>755.69</v>
      </c>
      <c r="M59" s="42"/>
      <c r="N59" s="60">
        <f t="shared" si="28"/>
        <v>-840.80679999999984</v>
      </c>
      <c r="O59" s="42"/>
      <c r="P59" s="14"/>
      <c r="Q59" s="34">
        <f>SUMIFS([7]BV_Data_An_Prec!$O:$O,[7]BV_Data_An_Prec!$U:$U,$B59,[7]BV_Data_An_Prec!$V:$V,$C59,[7]BV_Data_An_Prec!$W:$W,Q$2)</f>
        <v>1944.64</v>
      </c>
      <c r="R59" s="42"/>
      <c r="S59" s="86">
        <f t="shared" si="29"/>
        <v>-1188.95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8" t="s">
        <v>56</v>
      </c>
      <c r="D60" s="89"/>
      <c r="E60" s="117"/>
      <c r="F60" s="23">
        <f>+INDEX('[7]Budget original'!$A$2:$AO$496,MATCH($A60,'[7]Budget original'!$A$2:$A$496,0),MATCH(F$2,'[7]Budget original'!$A$2:$AO$2,0))</f>
        <v>9409.894666666667</v>
      </c>
      <c r="G60" s="91"/>
      <c r="H60" s="117"/>
      <c r="I60" s="23">
        <f>+INDEX('[7]Budget révisé'!$A$2:$AO$496,MATCH($A60,'[7]Budget révisé'!$A$2:$A$496,0),MATCH(I$2,'[7]Budget révisé'!$A$2:$AO$2,0))</f>
        <v>9409.894666666667</v>
      </c>
      <c r="J60" s="24"/>
      <c r="K60" s="117"/>
      <c r="L60" s="23">
        <f>SUMIFS([7]BV_Data_An_Cour!$O:$O,[7]BV_Data_An_Cour!$U:$U,$B60,[7]BV_Data_An_Cour!$V:$V,$C60,[7]BV_Data_An_Cour!$W:$W,L$2)</f>
        <v>6757.48</v>
      </c>
      <c r="M60" s="24"/>
      <c r="N60" s="94">
        <f t="shared" si="28"/>
        <v>-2652.4146666666675</v>
      </c>
      <c r="O60" s="24"/>
      <c r="P60" s="117"/>
      <c r="Q60" s="23">
        <f>SUMIFS([7]BV_Data_An_Prec!$O:$O,[7]BV_Data_An_Prec!$U:$U,$B60,[7]BV_Data_An_Prec!$V:$V,$C60,[7]BV_Data_An_Prec!$W:$W,Q$2)</f>
        <v>7248.82</v>
      </c>
      <c r="R60" s="24"/>
      <c r="S60" s="95">
        <f t="shared" si="29"/>
        <v>-491.34000000000015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30" t="s">
        <v>57</v>
      </c>
      <c r="D61" s="82"/>
      <c r="E61" s="14"/>
      <c r="F61" s="31">
        <f>+INDEX('[7]Budget original'!$A$2:$AO$496,MATCH($A61,'[7]Budget original'!$A$2:$A$496,0),MATCH(F$2,'[7]Budget original'!$A$2:$AO$2,0))</f>
        <v>260.75944437979479</v>
      </c>
      <c r="G61" s="84"/>
      <c r="H61" s="14"/>
      <c r="I61" s="31">
        <f>+INDEX('[7]Budget révisé'!$A$2:$AO$496,MATCH($A61,'[7]Budget révisé'!$A$2:$A$496,0),MATCH(I$2,'[7]Budget révisé'!$A$2:$AO$2,0))</f>
        <v>260.75944437979479</v>
      </c>
      <c r="J61" s="42"/>
      <c r="K61" s="14"/>
      <c r="L61" s="34">
        <f>SUMIFS([7]BV_Data_An_Cour!$O:$O,[7]BV_Data_An_Cour!$U:$U,$B61,[7]BV_Data_An_Cour!$V:$V,$C61,[7]BV_Data_An_Cour!$W:$W,L$2)</f>
        <v>8.92</v>
      </c>
      <c r="M61" s="42"/>
      <c r="N61" s="60">
        <f t="shared" si="28"/>
        <v>-251.8394443797948</v>
      </c>
      <c r="O61" s="42"/>
      <c r="P61" s="14"/>
      <c r="Q61" s="34">
        <f>SUMIFS([7]BV_Data_An_Prec!$O:$O,[7]BV_Data_An_Prec!$U:$U,$B61,[7]BV_Data_An_Prec!$V:$V,$C61,[7]BV_Data_An_Prec!$W:$W,Q$2)</f>
        <v>300</v>
      </c>
      <c r="R61" s="42"/>
      <c r="S61" s="86">
        <f t="shared" si="29"/>
        <v>-291.08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30" t="s">
        <v>58</v>
      </c>
      <c r="D62" s="82"/>
      <c r="E62" s="14"/>
      <c r="F62" s="31">
        <f>+INDEX('[7]Budget original'!$A$2:$AO$496,MATCH($A62,'[7]Budget original'!$A$2:$A$496,0),MATCH(F$2,'[7]Budget original'!$A$2:$AO$2,0))</f>
        <v>35</v>
      </c>
      <c r="G62" s="84"/>
      <c r="H62" s="14"/>
      <c r="I62" s="31">
        <f>+INDEX('[7]Budget révisé'!$A$2:$AO$496,MATCH($A62,'[7]Budget révisé'!$A$2:$A$496,0),MATCH(I$2,'[7]Budget révisé'!$A$2:$AO$2,0))</f>
        <v>35</v>
      </c>
      <c r="J62" s="42"/>
      <c r="K62" s="14"/>
      <c r="L62" s="34">
        <f>SUMIFS([7]BV_Data_An_Cour!$O:$O,[7]BV_Data_An_Cour!$U:$U,$B62,[7]BV_Data_An_Cour!$V:$V,$C62,[7]BV_Data_An_Cour!$W:$W,L$2)</f>
        <v>0</v>
      </c>
      <c r="M62" s="42"/>
      <c r="N62" s="60">
        <f t="shared" si="28"/>
        <v>-35</v>
      </c>
      <c r="O62" s="42"/>
      <c r="P62" s="14"/>
      <c r="Q62" s="34">
        <f>SUMIFS([7]BV_Data_An_Prec!$O:$O,[7]BV_Data_An_Prec!$U:$U,$B62,[7]BV_Data_An_Prec!$V:$V,$C62,[7]BV_Data_An_Prec!$W:$W,Q$2)</f>
        <v>35</v>
      </c>
      <c r="R62" s="42"/>
      <c r="S62" s="86">
        <f t="shared" si="29"/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30" t="s">
        <v>59</v>
      </c>
      <c r="D63" s="82"/>
      <c r="E63" s="14"/>
      <c r="F63" s="31">
        <f>+INDEX('[7]Budget original'!$A$2:$AO$496,MATCH($A63,'[7]Budget original'!$A$2:$A$496,0),MATCH(F$2,'[7]Budget original'!$A$2:$AO$2,0))</f>
        <v>697.6</v>
      </c>
      <c r="G63" s="84"/>
      <c r="H63" s="14"/>
      <c r="I63" s="31">
        <f>+INDEX('[7]Budget révisé'!$A$2:$AO$496,MATCH($A63,'[7]Budget révisé'!$A$2:$A$496,0),MATCH(I$2,'[7]Budget révisé'!$A$2:$AO$2,0))</f>
        <v>697.6</v>
      </c>
      <c r="J63" s="42"/>
      <c r="K63" s="14"/>
      <c r="L63" s="33">
        <f>SUMIFS([7]BV_Data_An_Cour!$O:$O,[7]BV_Data_An_Cour!$U:$U,$B63,[7]BV_Data_An_Cour!$V:$V,$C63,[7]BV_Data_An_Cour!$W:$W,L$2)</f>
        <v>639.75</v>
      </c>
      <c r="M63" s="42"/>
      <c r="N63" s="60">
        <f t="shared" si="28"/>
        <v>-57.850000000000023</v>
      </c>
      <c r="O63" s="42"/>
      <c r="P63" s="14"/>
      <c r="Q63" s="33">
        <f>SUMIFS([7]BV_Data_An_Prec!$O:$O,[7]BV_Data_An_Prec!$U:$U,$B63,[7]BV_Data_An_Prec!$V:$V,$C63,[7]BV_Data_An_Prec!$W:$W,Q$2)</f>
        <v>592</v>
      </c>
      <c r="R63" s="42"/>
      <c r="S63" s="86">
        <f t="shared" si="29"/>
        <v>47.75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30" t="s">
        <v>60</v>
      </c>
      <c r="D64" s="82"/>
      <c r="E64" s="14"/>
      <c r="F64" s="31">
        <f>+INDEX('[7]Budget original'!$A$2:$AO$496,MATCH($A64,'[7]Budget original'!$A$2:$A$496,0),MATCH(F$2,'[7]Budget original'!$A$2:$AO$2,0))</f>
        <v>589.91200000000003</v>
      </c>
      <c r="G64" s="84"/>
      <c r="H64" s="14"/>
      <c r="I64" s="31">
        <f>+INDEX('[7]Budget révisé'!$A$2:$AO$496,MATCH($A64,'[7]Budget révisé'!$A$2:$A$496,0),MATCH(I$2,'[7]Budget révisé'!$A$2:$AO$2,0))</f>
        <v>589.91200000000003</v>
      </c>
      <c r="J64" s="42"/>
      <c r="K64" s="14"/>
      <c r="L64" s="34">
        <f>SUMIFS([7]BV_Data_An_Cour!$O:$O,[7]BV_Data_An_Cour!$U:$U,$B64,[7]BV_Data_An_Cour!$V:$V,$C64,[7]BV_Data_An_Cour!$W:$W,L$2)</f>
        <v>228.24</v>
      </c>
      <c r="M64" s="42"/>
      <c r="N64" s="60">
        <f t="shared" si="28"/>
        <v>-361.67200000000003</v>
      </c>
      <c r="O64" s="42"/>
      <c r="P64" s="14"/>
      <c r="Q64" s="34">
        <f>SUMIFS([7]BV_Data_An_Prec!$O:$O,[7]BV_Data_An_Prec!$U:$U,$B64,[7]BV_Data_An_Prec!$V:$V,$C64,[7]BV_Data_An_Prec!$W:$W,Q$2)</f>
        <v>520.07000000000005</v>
      </c>
      <c r="R64" s="42"/>
      <c r="S64" s="86">
        <f t="shared" si="29"/>
        <v>-291.83000000000004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30" t="s">
        <v>61</v>
      </c>
      <c r="D65" s="82"/>
      <c r="E65" s="14"/>
      <c r="F65" s="31">
        <f>+INDEX('[7]Budget original'!$A$2:$AO$496,MATCH($A65,'[7]Budget original'!$A$2:$A$496,0),MATCH(F$2,'[7]Budget original'!$A$2:$AO$2,0))</f>
        <v>276.8</v>
      </c>
      <c r="G65" s="84"/>
      <c r="H65" s="14"/>
      <c r="I65" s="31">
        <f>+INDEX('[7]Budget révisé'!$A$2:$AO$496,MATCH($A65,'[7]Budget révisé'!$A$2:$A$496,0),MATCH(I$2,'[7]Budget révisé'!$A$2:$AO$2,0))</f>
        <v>276.8</v>
      </c>
      <c r="J65" s="42"/>
      <c r="K65" s="14"/>
      <c r="L65" s="34">
        <f>SUMIFS([7]BV_Data_An_Cour!$O:$O,[7]BV_Data_An_Cour!$U:$U,$B65,[7]BV_Data_An_Cour!$V:$V,$C65,[7]BV_Data_An_Cour!$W:$W,L$2)</f>
        <v>191.45</v>
      </c>
      <c r="M65" s="42"/>
      <c r="N65" s="60">
        <f t="shared" si="28"/>
        <v>-85.350000000000023</v>
      </c>
      <c r="O65" s="42"/>
      <c r="P65" s="14"/>
      <c r="Q65" s="34">
        <f>SUMIFS([7]BV_Data_An_Prec!$O:$O,[7]BV_Data_An_Prec!$U:$U,$B65,[7]BV_Data_An_Prec!$V:$V,$C65,[7]BV_Data_An_Prec!$W:$W,Q$2)</f>
        <v>81.69</v>
      </c>
      <c r="R65" s="42"/>
      <c r="S65" s="86">
        <f t="shared" si="29"/>
        <v>109.75999999999999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30" t="s">
        <v>62</v>
      </c>
      <c r="D66" s="82"/>
      <c r="E66" s="14"/>
      <c r="F66" s="31">
        <f>+INDEX('[7]Budget original'!$A$2:$AO$496,MATCH($A66,'[7]Budget original'!$A$2:$A$496,0),MATCH(F$2,'[7]Budget original'!$A$2:$AO$2,0))</f>
        <v>1349.1200000000001</v>
      </c>
      <c r="G66" s="84"/>
      <c r="H66" s="14"/>
      <c r="I66" s="31">
        <f>+INDEX('[7]Budget révisé'!$A$2:$AO$496,MATCH($A66,'[7]Budget révisé'!$A$2:$A$496,0),MATCH(I$2,'[7]Budget révisé'!$A$2:$AO$2,0))</f>
        <v>1349.1200000000001</v>
      </c>
      <c r="J66" s="42"/>
      <c r="K66" s="14"/>
      <c r="L66" s="34">
        <f>SUMIFS([7]BV_Data_An_Cour!$O:$O,[7]BV_Data_An_Cour!$U:$U,$B66,[7]BV_Data_An_Cour!$V:$V,$C66,[7]BV_Data_An_Cour!$W:$W,L$2)</f>
        <v>40.97</v>
      </c>
      <c r="M66" s="42"/>
      <c r="N66" s="60">
        <f t="shared" si="28"/>
        <v>-1308.1500000000001</v>
      </c>
      <c r="O66" s="42"/>
      <c r="P66" s="14"/>
      <c r="Q66" s="34">
        <f>SUMIFS([7]BV_Data_An_Prec!$O:$O,[7]BV_Data_An_Prec!$U:$U,$B66,[7]BV_Data_An_Prec!$V:$V,$C66,[7]BV_Data_An_Prec!$W:$W,Q$2)</f>
        <v>1720.31</v>
      </c>
      <c r="R66" s="42"/>
      <c r="S66" s="86">
        <f t="shared" si="29"/>
        <v>-1679.34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30" t="s">
        <v>63</v>
      </c>
      <c r="D67" s="82"/>
      <c r="E67" s="14"/>
      <c r="F67" s="31">
        <f>+INDEX('[7]Budget original'!$A$2:$AO$496,MATCH($A67,'[7]Budget original'!$A$2:$A$496,0),MATCH(F$2,'[7]Budget original'!$A$2:$AO$2,0))</f>
        <v>1438.3466666666668</v>
      </c>
      <c r="G67" s="84"/>
      <c r="H67" s="14"/>
      <c r="I67" s="31">
        <f>+INDEX('[7]Budget révisé'!$A$2:$AO$496,MATCH($A67,'[7]Budget révisé'!$A$2:$A$496,0),MATCH(I$2,'[7]Budget révisé'!$A$2:$AO$2,0))</f>
        <v>1438.3466666666668</v>
      </c>
      <c r="J67" s="42"/>
      <c r="K67" s="14"/>
      <c r="L67" s="34">
        <f>SUMIFS([7]BV_Data_An_Cour!$O:$O,[7]BV_Data_An_Cour!$U:$U,$B67,[7]BV_Data_An_Cour!$V:$V,$C67,[7]BV_Data_An_Cour!$W:$W,L$2)</f>
        <v>2923.33</v>
      </c>
      <c r="M67" s="42"/>
      <c r="N67" s="60">
        <f t="shared" si="28"/>
        <v>1484.9833333333331</v>
      </c>
      <c r="O67" s="42"/>
      <c r="P67" s="14"/>
      <c r="Q67" s="34">
        <f>SUMIFS([7]BV_Data_An_Prec!$O:$O,[7]BV_Data_An_Prec!$U:$U,$B67,[7]BV_Data_An_Prec!$V:$V,$C67,[7]BV_Data_An_Prec!$W:$W,Q$2)</f>
        <v>4555.83</v>
      </c>
      <c r="R67" s="42"/>
      <c r="S67" s="86">
        <f t="shared" si="29"/>
        <v>-1632.5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30" t="s">
        <v>64</v>
      </c>
      <c r="D68" s="82"/>
      <c r="E68" s="14"/>
      <c r="F68" s="31">
        <f>+INDEX('[7]Budget original'!$A$2:$AO$496,MATCH($A68,'[7]Budget original'!$A$2:$A$496,0),MATCH(F$2,'[7]Budget original'!$A$2:$AO$2,0))</f>
        <v>2426.1879529419884</v>
      </c>
      <c r="G68" s="84"/>
      <c r="H68" s="14"/>
      <c r="I68" s="31">
        <f>+INDEX('[7]Budget révisé'!$A$2:$AO$496,MATCH($A68,'[7]Budget révisé'!$A$2:$A$496,0),MATCH(I$2,'[7]Budget révisé'!$A$2:$AO$2,0))</f>
        <v>2426.1879529419884</v>
      </c>
      <c r="J68" s="42"/>
      <c r="K68" s="14"/>
      <c r="L68" s="33">
        <f>AF447*W3</f>
        <v>2653.1369999999997</v>
      </c>
      <c r="M68" s="42"/>
      <c r="N68" s="60">
        <f t="shared" si="28"/>
        <v>226.94904705801127</v>
      </c>
      <c r="O68" s="42"/>
      <c r="P68" s="14"/>
      <c r="Q68" s="34">
        <f>AL447*W3</f>
        <v>3681.1125000000002</v>
      </c>
      <c r="R68" s="42"/>
      <c r="S68" s="86">
        <f t="shared" si="29"/>
        <v>-1027.9755000000005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30" t="s">
        <v>21</v>
      </c>
      <c r="D69" s="82"/>
      <c r="E69" s="14"/>
      <c r="F69" s="31">
        <f>+INDEX('[7]Budget original'!$A$2:$AO$496,MATCH($A69,'[7]Budget original'!$A$2:$A$496,0),MATCH(F$2,'[7]Budget original'!$A$2:$AO$2,0))</f>
        <v>0</v>
      </c>
      <c r="G69" s="84"/>
      <c r="H69" s="14"/>
      <c r="I69" s="31">
        <f>+INDEX('[7]Budget révisé'!$A$2:$AO$496,MATCH($A69,'[7]Budget révisé'!$A$2:$A$496,0),MATCH(I$2,'[7]Budget révisé'!$A$2:$AO$2,0))</f>
        <v>0</v>
      </c>
      <c r="J69" s="42"/>
      <c r="K69" s="14"/>
      <c r="L69" s="34"/>
      <c r="M69" s="42"/>
      <c r="N69" s="60">
        <f t="shared" si="28"/>
        <v>0</v>
      </c>
      <c r="O69" s="42"/>
      <c r="P69" s="14"/>
      <c r="Q69" s="34">
        <f>SUMIFS([7]BV_Data_An_Prec!$O:$O,[7]BV_Data_An_Prec!$U:$U,$B69,[7]BV_Data_An_Prec!$V:$V,$C69,[7]BV_Data_An_Prec!$W:$W,Q$2)</f>
        <v>0</v>
      </c>
      <c r="R69" s="42"/>
      <c r="S69" s="86">
        <f t="shared" si="29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30" t="s">
        <v>21</v>
      </c>
      <c r="D70" s="82"/>
      <c r="E70" s="14"/>
      <c r="F70" s="31">
        <f>+INDEX('[7]Budget original'!$A$2:$AO$496,MATCH($A70,'[7]Budget original'!$A$2:$A$496,0),MATCH(F$2,'[7]Budget original'!$A$2:$AO$2,0))</f>
        <v>0</v>
      </c>
      <c r="G70" s="84"/>
      <c r="H70" s="14"/>
      <c r="I70" s="31">
        <f>+INDEX('[7]Budget révisé'!$A$2:$AO$496,MATCH($A70,'[7]Budget révisé'!$A$2:$A$496,0),MATCH(I$2,'[7]Budget révisé'!$A$2:$AO$2,0))</f>
        <v>0</v>
      </c>
      <c r="J70" s="42"/>
      <c r="K70" s="14"/>
      <c r="L70" s="34">
        <f>SUMIFS([7]BV_Data_An_Cour!$O:$O,[7]BV_Data_An_Cour!$U:$U,$B70,[7]BV_Data_An_Cour!$V:$V,$C70,[7]BV_Data_An_Cour!$W:$W,L$2)</f>
        <v>0</v>
      </c>
      <c r="M70" s="42"/>
      <c r="N70" s="60">
        <f t="shared" si="28"/>
        <v>0</v>
      </c>
      <c r="O70" s="42"/>
      <c r="P70" s="14"/>
      <c r="Q70" s="34">
        <f>SUMIFS([7]BV_Data_An_Prec!$O:$O,[7]BV_Data_An_Prec!$U:$U,$B70,[7]BV_Data_An_Prec!$V:$V,$C70,[7]BV_Data_An_Prec!$W:$W,Q$2)</f>
        <v>0</v>
      </c>
      <c r="R70" s="42"/>
      <c r="S70" s="86">
        <f t="shared" si="29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30" t="s">
        <v>21</v>
      </c>
      <c r="D71" s="82"/>
      <c r="E71" s="14"/>
      <c r="F71" s="31">
        <f>+INDEX('[7]Budget original'!$A$2:$AO$496,MATCH($A71,'[7]Budget original'!$A$2:$A$496,0),MATCH(F$2,'[7]Budget original'!$A$2:$AO$2,0))</f>
        <v>0</v>
      </c>
      <c r="G71" s="84"/>
      <c r="H71" s="14"/>
      <c r="I71" s="31">
        <f>+INDEX('[7]Budget révisé'!$A$2:$AO$496,MATCH($A71,'[7]Budget révisé'!$A$2:$A$496,0),MATCH(I$2,'[7]Budget révisé'!$A$2:$AO$2,0))</f>
        <v>0</v>
      </c>
      <c r="J71" s="42"/>
      <c r="K71" s="14"/>
      <c r="L71" s="34">
        <f>SUMIFS([7]BV_Data_An_Cour!$O:$O,[7]BV_Data_An_Cour!$U:$U,$B71,[7]BV_Data_An_Cour!$V:$V,$C71,[7]BV_Data_An_Cour!$W:$W,L$2)*0.32</f>
        <v>0</v>
      </c>
      <c r="M71" s="42"/>
      <c r="N71" s="60">
        <f t="shared" si="28"/>
        <v>0</v>
      </c>
      <c r="O71" s="42"/>
      <c r="P71" s="14"/>
      <c r="Q71" s="34">
        <f>SUMIFS([7]BV_Data_An_Prec!$O:$O,[7]BV_Data_An_Prec!$U:$U,$B71,[7]BV_Data_An_Prec!$V:$V,$C71,[7]BV_Data_An_Prec!$W:$W,Q$2)*0.32</f>
        <v>0</v>
      </c>
      <c r="R71" s="42"/>
      <c r="S71" s="86">
        <f t="shared" si="29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9" t="s">
        <v>65</v>
      </c>
      <c r="D72" s="100" t="s">
        <v>40</v>
      </c>
      <c r="E72" s="101">
        <f>F72/F$27</f>
        <v>0.22752307093676563</v>
      </c>
      <c r="F72" s="102">
        <f>+SUM(F55:F71)</f>
        <v>33846.391297321781</v>
      </c>
      <c r="G72" s="103" t="s">
        <v>40</v>
      </c>
      <c r="H72" s="101">
        <f>I72/I$27</f>
        <v>0.22752307093676563</v>
      </c>
      <c r="I72" s="102">
        <f>+SUM(I55:I71)</f>
        <v>33846.391297321781</v>
      </c>
      <c r="J72" s="103" t="s">
        <v>40</v>
      </c>
      <c r="K72" s="101">
        <f>L72/L$27</f>
        <v>0.15149483142058973</v>
      </c>
      <c r="L72" s="102">
        <f>+SUM(L55:L71)</f>
        <v>27381.496999999999</v>
      </c>
      <c r="M72" s="106"/>
      <c r="N72" s="102">
        <f>+SUM(N55:N71)</f>
        <v>-6464.8942973217872</v>
      </c>
      <c r="O72" s="103" t="s">
        <v>40</v>
      </c>
      <c r="P72" s="101">
        <f>Q72/Q$27</f>
        <v>0.44055629905125276</v>
      </c>
      <c r="Q72" s="102">
        <f>+SUM(Q55:Q71)</f>
        <v>45741.352500000001</v>
      </c>
      <c r="R72" s="106"/>
      <c r="S72" s="107">
        <f>+SUM(S55:S71)</f>
        <v>-18359.855500000005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9" t="s">
        <v>66</v>
      </c>
      <c r="D74" s="100" t="s">
        <v>40</v>
      </c>
      <c r="E74" s="101">
        <f>F74/F$27</f>
        <v>1.2636063542465386</v>
      </c>
      <c r="F74" s="102">
        <f>F41+F54+F72</f>
        <v>187974.41039944906</v>
      </c>
      <c r="G74" s="103" t="s">
        <v>40</v>
      </c>
      <c r="H74" s="101">
        <f>I74/I$27</f>
        <v>1.2636063542465386</v>
      </c>
      <c r="I74" s="102">
        <f>I41+I54+I72</f>
        <v>187974.41039944906</v>
      </c>
      <c r="J74" s="103" t="s">
        <v>40</v>
      </c>
      <c r="K74" s="101">
        <f>L74/L$27</f>
        <v>1.1614465239203791</v>
      </c>
      <c r="L74" s="102">
        <f>L41+L54+L72</f>
        <v>209922.307</v>
      </c>
      <c r="M74" s="106"/>
      <c r="N74" s="119">
        <f>L74-I74</f>
        <v>21947.896600550943</v>
      </c>
      <c r="O74" s="103" t="s">
        <v>40</v>
      </c>
      <c r="P74" s="101">
        <f>Q74/Q$27</f>
        <v>2.1593979033260844</v>
      </c>
      <c r="Q74" s="102">
        <f>Q41+Q54+Q72</f>
        <v>224202.40250000003</v>
      </c>
      <c r="R74" s="106"/>
      <c r="S74" s="120">
        <f>L74-Q74</f>
        <v>-14280.095500000025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30" t="s">
        <v>200</v>
      </c>
      <c r="D75" s="82"/>
      <c r="E75" s="14"/>
      <c r="F75" s="31">
        <f>+INDEX('[7]Budget original'!$A$2:$AO$496,MATCH($A75,'[7]Budget original'!$A$2:$A$496,0),MATCH(F$2,'[7]Budget original'!$A$2:$AO$2,0))</f>
        <v>6590.4401189808532</v>
      </c>
      <c r="G75" s="84"/>
      <c r="H75" s="14"/>
      <c r="I75" s="31">
        <f>+INDEX('[7]Budget révisé'!$A$2:$AO$496,MATCH($A75,'[7]Budget révisé'!$A$2:$A$496,0),MATCH(I$2,'[7]Budget révisé'!$A$2:$AO$2,0))</f>
        <v>6590.4401189808532</v>
      </c>
      <c r="J75" s="42"/>
      <c r="K75" s="14"/>
      <c r="L75" s="33">
        <f>-SUMIFS([7]BV_Data_An_Cour!$O:$O,[7]BV_Data_An_Cour!$U:$U,$B75,[7]BV_Data_An_Cour!$V:$V,$C75,[7]BV_Data_An_Cour!$W:$W,L$2)-L155</f>
        <v>19500</v>
      </c>
      <c r="M75" s="42"/>
      <c r="N75" s="60">
        <f>L75-I75</f>
        <v>12909.559881019148</v>
      </c>
      <c r="O75" s="42"/>
      <c r="P75" s="14"/>
      <c r="Q75" s="33">
        <f>-SUMIFS([7]BV_Data_An_Prec!$O:$O,[7]BV_Data_An_Prec!$U:$U,$B75,[7]BV_Data_An_Prec!$V:$V,$C75,[7]BV_Data_An_Prec!$W:$W,Q$2)-Q155</f>
        <v>45750</v>
      </c>
      <c r="R75" s="42"/>
      <c r="S75" s="86"/>
      <c r="T75" s="14"/>
      <c r="U75" s="14"/>
      <c r="V75" s="12" t="s">
        <v>242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30" t="s">
        <v>197</v>
      </c>
      <c r="D76" s="82"/>
      <c r="E76" s="14"/>
      <c r="F76" s="31">
        <f>+INDEX('[7]Budget original'!$A$2:$AO$496,MATCH($A76,'[7]Budget original'!$A$2:$A$496,0),MATCH(F$2,'[7]Budget original'!$A$2:$AO$2,0))</f>
        <v>0</v>
      </c>
      <c r="G76" s="84"/>
      <c r="H76" s="14"/>
      <c r="I76" s="31">
        <f>+INDEX('[7]Budget révisé'!$A$2:$AO$496,MATCH($A76,'[7]Budget révisé'!$A$2:$A$496,0),MATCH(I$2,'[7]Budget révisé'!$A$2:$AO$2,0))</f>
        <v>0</v>
      </c>
      <c r="J76" s="42"/>
      <c r="K76" s="14"/>
      <c r="L76" s="33">
        <f>-SUMIFS([7]BV_Data_An_Cour!$O:$O,[7]BV_Data_An_Cour!$U:$U,$B76,[7]BV_Data_An_Cour!$V:$V,$C76,[7]BV_Data_An_Cour!$W:$W,L$2)</f>
        <v>0</v>
      </c>
      <c r="M76" s="42"/>
      <c r="N76" s="60">
        <f>L76-I76</f>
        <v>0</v>
      </c>
      <c r="O76" s="42"/>
      <c r="P76" s="14"/>
      <c r="Q76" s="33">
        <f>-SUMIFS([7]BV_Data_An_Prec!$O:$O,[7]BV_Data_An_Prec!$U:$U,$B76,[7]BV_Data_An_Prec!$V:$V,$C76,[7]BV_Data_An_Prec!$W:$W,Q$2)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30" t="s">
        <v>69</v>
      </c>
      <c r="D77" s="82"/>
      <c r="E77" s="14"/>
      <c r="F77" s="31">
        <f>+INDEX('[7]Budget original'!$A$2:$AO$496,MATCH($A77,'[7]Budget original'!$A$2:$A$496,0),MATCH(F$2,'[7]Budget original'!$A$2:$AO$2,0))</f>
        <v>0</v>
      </c>
      <c r="G77" s="84"/>
      <c r="H77" s="14"/>
      <c r="I77" s="31">
        <f>+INDEX('[7]Budget révisé'!$A$2:$AO$496,MATCH($A77,'[7]Budget révisé'!$A$2:$A$496,0),MATCH(I$2,'[7]Budget révisé'!$A$2:$AO$2,0))</f>
        <v>0</v>
      </c>
      <c r="J77" s="42"/>
      <c r="K77" s="14"/>
      <c r="L77" s="33">
        <f>-SUMIFS([7]BV_Data_An_Cour!$O:$O,[7]BV_Data_An_Cour!$U:$U,$B77,[7]BV_Data_An_Cour!$V:$V,$C77,[7]BV_Data_An_Cour!$W:$W,L$2)</f>
        <v>0</v>
      </c>
      <c r="M77" s="42"/>
      <c r="N77" s="60">
        <f t="shared" ref="N77:N82" si="30">L77-I77</f>
        <v>0</v>
      </c>
      <c r="O77" s="42"/>
      <c r="P77" s="14"/>
      <c r="Q77" s="33">
        <f>-SUMIFS([7]BV_Data_An_Prec!$O:$O,[7]BV_Data_An_Prec!$U:$U,$B77,[7]BV_Data_An_Prec!$V:$V,$C77,[7]BV_Data_An_Prec!$W:$W,Q$2)</f>
        <v>0</v>
      </c>
      <c r="R77" s="42"/>
      <c r="S77" s="86">
        <f t="shared" ref="S77:S82" si="31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30" t="s">
        <v>70</v>
      </c>
      <c r="D78" s="82"/>
      <c r="E78" s="14"/>
      <c r="F78" s="31">
        <f>+INDEX('[7]Budget original'!$A$2:$AO$496,MATCH($A78,'[7]Budget original'!$A$2:$A$496,0),MATCH(F$2,'[7]Budget original'!$A$2:$AO$2,0))</f>
        <v>59140.935486166003</v>
      </c>
      <c r="G78" s="84"/>
      <c r="H78" s="14"/>
      <c r="I78" s="31">
        <f>+INDEX('[7]Budget révisé'!$A$2:$AO$496,MATCH($A78,'[7]Budget révisé'!$A$2:$A$496,0),MATCH(I$2,'[7]Budget révisé'!$A$2:$AO$2,0))</f>
        <v>59140.935486166003</v>
      </c>
      <c r="J78" s="42"/>
      <c r="K78" s="14"/>
      <c r="L78" s="34">
        <f>-SUMIFS([7]BV_Data_An_Cour!$O:$O,[7]BV_Data_An_Cour!$U:$U,$B78,[7]BV_Data_An_Cour!$V:$V,$C78,[7]BV_Data_An_Cour!$W:$W,L$2)</f>
        <v>45674</v>
      </c>
      <c r="M78" s="42"/>
      <c r="N78" s="60">
        <f t="shared" si="30"/>
        <v>-13466.935486166003</v>
      </c>
      <c r="O78" s="42"/>
      <c r="P78" s="14"/>
      <c r="Q78" s="33">
        <f>-SUMIFS([7]BV_Data_An_Prec!$O:$O,[7]BV_Data_An_Prec!$U:$U,$B78,[7]BV_Data_An_Prec!$V:$V,$C78,[7]BV_Data_An_Prec!$W:$W,Q$2)</f>
        <v>72454</v>
      </c>
      <c r="R78" s="42"/>
      <c r="S78" s="86">
        <f t="shared" si="31"/>
        <v>-26780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30" t="s">
        <v>21</v>
      </c>
      <c r="D79" s="82"/>
      <c r="E79" s="14"/>
      <c r="F79" s="31">
        <f>+INDEX('[7]Budget original'!$A$2:$AO$496,MATCH($A79,'[7]Budget original'!$A$2:$A$496,0),MATCH(F$2,'[7]Budget original'!$A$2:$AO$2,0))</f>
        <v>0</v>
      </c>
      <c r="G79" s="84"/>
      <c r="H79" s="14"/>
      <c r="I79" s="31">
        <f>+INDEX('[7]Budget révisé'!$A$2:$AO$496,MATCH($A79,'[7]Budget révisé'!$A$2:$A$496,0),MATCH(I$2,'[7]Budget révisé'!$A$2:$AO$2,0))</f>
        <v>0</v>
      </c>
      <c r="J79" s="42"/>
      <c r="K79" s="14"/>
      <c r="L79" s="34">
        <f>-SUMIFS([7]BV_Data_An_Cour!$O:$O,[7]BV_Data_An_Cour!$U:$U,$B79,[7]BV_Data_An_Cour!$V:$V,$C79,[7]BV_Data_An_Cour!$W:$W,L$2)</f>
        <v>0</v>
      </c>
      <c r="M79" s="42"/>
      <c r="N79" s="60">
        <f t="shared" si="30"/>
        <v>0</v>
      </c>
      <c r="O79" s="42"/>
      <c r="P79" s="14"/>
      <c r="Q79" s="33">
        <f>-SUMIFS([7]BV_Data_An_Prec!$O:$O,[7]BV_Data_An_Prec!$U:$U,$B79,[7]BV_Data_An_Prec!$V:$V,$C79,[7]BV_Data_An_Prec!$W:$W,Q$2)</f>
        <v>0</v>
      </c>
      <c r="R79" s="42"/>
      <c r="S79" s="86">
        <f t="shared" si="31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30" t="s">
        <v>21</v>
      </c>
      <c r="D80" s="82"/>
      <c r="E80" s="14"/>
      <c r="F80" s="31">
        <f>+INDEX('[7]Budget original'!$A$2:$AO$496,MATCH($A80,'[7]Budget original'!$A$2:$A$496,0),MATCH(F$2,'[7]Budget original'!$A$2:$AO$2,0))</f>
        <v>0</v>
      </c>
      <c r="G80" s="84"/>
      <c r="H80" s="14"/>
      <c r="I80" s="31">
        <f>+INDEX('[7]Budget révisé'!$A$2:$AO$496,MATCH($A80,'[7]Budget révisé'!$A$2:$A$496,0),MATCH(I$2,'[7]Budget révisé'!$A$2:$AO$2,0))</f>
        <v>0</v>
      </c>
      <c r="J80" s="42"/>
      <c r="K80" s="14"/>
      <c r="L80" s="34">
        <f>-SUMIFS([7]BV_Data_An_Cour!$O:$O,[7]BV_Data_An_Cour!$U:$U,$B80,[7]BV_Data_An_Cour!$V:$V,$C80,[7]BV_Data_An_Cour!$W:$W,L$2)</f>
        <v>0</v>
      </c>
      <c r="M80" s="42"/>
      <c r="N80" s="60">
        <f t="shared" si="30"/>
        <v>0</v>
      </c>
      <c r="O80" s="42"/>
      <c r="P80" s="14"/>
      <c r="Q80" s="33">
        <f>-SUMIFS([7]BV_Data_An_Prec!$O:$O,[7]BV_Data_An_Prec!$U:$U,$B80,[7]BV_Data_An_Prec!$V:$V,$C80,[7]BV_Data_An_Prec!$W:$W,Q$2)</f>
        <v>0</v>
      </c>
      <c r="R80" s="42"/>
      <c r="S80" s="86">
        <f t="shared" si="31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30" t="s">
        <v>21</v>
      </c>
      <c r="D81" s="82"/>
      <c r="E81" s="14"/>
      <c r="F81" s="31">
        <f>+INDEX('[7]Budget original'!$A$2:$AO$496,MATCH($A81,'[7]Budget original'!$A$2:$A$496,0),MATCH(F$2,'[7]Budget original'!$A$2:$AO$2,0))</f>
        <v>0</v>
      </c>
      <c r="G81" s="84"/>
      <c r="H81" s="14"/>
      <c r="I81" s="31">
        <f>+INDEX('[7]Budget révisé'!$A$2:$AO$496,MATCH($A81,'[7]Budget révisé'!$A$2:$A$496,0),MATCH(I$2,'[7]Budget révisé'!$A$2:$AO$2,0))</f>
        <v>0</v>
      </c>
      <c r="J81" s="42"/>
      <c r="K81" s="14"/>
      <c r="L81" s="34">
        <f>-SUMIFS([7]BV_Data_An_Cour!$O:$O,[7]BV_Data_An_Cour!$U:$U,$B81,[7]BV_Data_An_Cour!$V:$V,$C81,[7]BV_Data_An_Cour!$W:$W,L$2)</f>
        <v>0</v>
      </c>
      <c r="M81" s="42"/>
      <c r="N81" s="60">
        <f t="shared" si="30"/>
        <v>0</v>
      </c>
      <c r="O81" s="42"/>
      <c r="P81" s="14"/>
      <c r="Q81" s="33">
        <f>-SUMIFS([7]BV_Data_An_Prec!$O:$O,[7]BV_Data_An_Prec!$U:$U,$B81,[7]BV_Data_An_Prec!$V:$V,$C81,[7]BV_Data_An_Prec!$W:$W,Q$2)</f>
        <v>0</v>
      </c>
      <c r="R81" s="42"/>
      <c r="S81" s="86">
        <f t="shared" si="31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30" t="s">
        <v>71</v>
      </c>
      <c r="D82" s="82"/>
      <c r="E82" s="14"/>
      <c r="F82" s="31">
        <f>+INDEX('[7]Budget original'!$A$2:$AO$496,MATCH($A82,'[7]Budget original'!$A$2:$A$496,0),MATCH(F$2,'[7]Budget original'!$A$2:$AO$2,0))</f>
        <v>20476.135369923384</v>
      </c>
      <c r="G82" s="84"/>
      <c r="H82" s="14"/>
      <c r="I82" s="31">
        <f>+INDEX('[7]Budget révisé'!$A$2:$AO$496,MATCH($A82,'[7]Budget révisé'!$A$2:$A$496,0),MATCH(I$2,'[7]Budget révisé'!$A$2:$AO$2,0))</f>
        <v>20476.135369923384</v>
      </c>
      <c r="J82" s="42"/>
      <c r="K82" s="14"/>
      <c r="L82" s="33">
        <f>-SUMIFS([7]BV_Data_An_Cour!$O:$O,[7]BV_Data_An_Cour!$U:$U,$B82,[7]BV_Data_An_Cour!$V:$V,$C82,[7]BV_Data_An_Cour!$W:$W,L$2)-L158</f>
        <v>19801</v>
      </c>
      <c r="M82" s="42"/>
      <c r="N82" s="60">
        <f t="shared" si="30"/>
        <v>-675.13536992338413</v>
      </c>
      <c r="O82" s="42"/>
      <c r="P82" s="14"/>
      <c r="Q82" s="33">
        <f>-SUMIFS([7]BV_Data_An_Prec!$O:$O,[7]BV_Data_An_Prec!$U:$U,$B82,[7]BV_Data_An_Prec!$V:$V,$C82,[7]BV_Data_An_Prec!$W:$W,Q$2)-Q158</f>
        <v>9865</v>
      </c>
      <c r="R82" s="42"/>
      <c r="S82" s="86">
        <f t="shared" si="31"/>
        <v>9936</v>
      </c>
      <c r="T82" s="14"/>
      <c r="U82" s="14" t="s">
        <v>252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9" t="s">
        <v>72</v>
      </c>
      <c r="D83" s="100"/>
      <c r="E83" s="101"/>
      <c r="F83" s="102">
        <f>+SUM(F75:F82)</f>
        <v>86207.51097507024</v>
      </c>
      <c r="G83" s="103"/>
      <c r="H83" s="101"/>
      <c r="I83" s="102">
        <f>+SUM(I75:I82)</f>
        <v>86207.51097507024</v>
      </c>
      <c r="J83" s="103"/>
      <c r="K83" s="101"/>
      <c r="L83" s="102">
        <f>+SUM(L75:L82)</f>
        <v>84975</v>
      </c>
      <c r="M83" s="106"/>
      <c r="N83" s="102">
        <f>+SUM(N75:N82)</f>
        <v>-1232.5109750702395</v>
      </c>
      <c r="O83" s="103"/>
      <c r="P83" s="101"/>
      <c r="Q83" s="102">
        <f>+SUM(Q75:Q82)</f>
        <v>128069</v>
      </c>
      <c r="R83" s="106"/>
      <c r="S83" s="107">
        <f>+SUM(S75:S82)</f>
        <v>-16844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30" t="s">
        <v>73</v>
      </c>
      <c r="D85" s="131"/>
      <c r="E85" s="132"/>
      <c r="F85" s="133">
        <f>F27-F74+F83</f>
        <v>46993.361053682951</v>
      </c>
      <c r="G85" s="134"/>
      <c r="H85" s="132"/>
      <c r="I85" s="133">
        <f>I27-I74+I83</f>
        <v>46993.361053682951</v>
      </c>
      <c r="J85" s="134"/>
      <c r="K85" s="131"/>
      <c r="L85" s="133">
        <f>L27-L74+L83</f>
        <v>55794.812999999995</v>
      </c>
      <c r="M85" s="134"/>
      <c r="N85" s="133">
        <f>N27-N41-N54-N72+N83</f>
        <v>8801.4519463170254</v>
      </c>
      <c r="O85" s="134"/>
      <c r="P85" s="131"/>
      <c r="Q85" s="133">
        <f>Q27-Q74+Q83</f>
        <v>7692.9474999998929</v>
      </c>
      <c r="R85" s="134"/>
      <c r="S85" s="135">
        <f>S27-S41-S54-S72+S83</f>
        <v>74351.865500000073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8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 thickBo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Volks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Réalisé, Juin 2021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519" t="s">
        <v>5</v>
      </c>
      <c r="E91" s="520"/>
      <c r="F91" s="521"/>
      <c r="G91" s="522" t="s">
        <v>75</v>
      </c>
      <c r="H91" s="520"/>
      <c r="I91" s="521"/>
      <c r="J91" s="522" t="s">
        <v>7</v>
      </c>
      <c r="K91" s="520"/>
      <c r="L91" s="521"/>
      <c r="M91" s="522" t="s">
        <v>8</v>
      </c>
      <c r="N91" s="521"/>
      <c r="O91" s="519" t="s">
        <v>9</v>
      </c>
      <c r="P91" s="520"/>
      <c r="Q91" s="521"/>
      <c r="R91" s="522" t="s">
        <v>10</v>
      </c>
      <c r="S91" s="52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2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+INDEX('[7]Budget original'!$A$2:$AO$496,MATCH($A93,'[7]Budget original'!$A$2:$A$496,0),MATCH(F$2,'[7]Budget original'!$A$2:$AO$2,0))</f>
        <v>1127432.9567185473</v>
      </c>
      <c r="G93" s="47"/>
      <c r="H93" s="26"/>
      <c r="I93" s="23">
        <f>+INDEX('[7]Budget révisé'!$A$2:$AO$496,MATCH($A93,'[7]Budget révisé'!$A$2:$A$496,0),MATCH(I$2,'[7]Budget révisé'!$A$2:$AO$2,0))</f>
        <v>1127432.9567185473</v>
      </c>
      <c r="J93" s="24"/>
      <c r="K93" s="26"/>
      <c r="L93" s="23">
        <f>-SUMIFS([7]BV_Data_An_Cour!$O:$O,[7]BV_Data_An_Cour!$X:$X,"Oui",[7]BV_Data_An_Cour!$U:$U,$B93)</f>
        <v>1661612.02</v>
      </c>
      <c r="M93" s="143"/>
      <c r="N93" s="144"/>
      <c r="O93" s="24"/>
      <c r="P93" s="26"/>
      <c r="Q93" s="23">
        <f>-SUMIFS([7]BV_Data_An_Prec!$O:$O,[7]BV_Data_An_Prec!$X:$X,"Oui",[7]BV_Data_An_Prec!$U:$U,$B93)</f>
        <v>1167969.45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2"/>
        <v>Véhicules usagésCertifié</v>
      </c>
      <c r="B94" s="12" t="s">
        <v>74</v>
      </c>
      <c r="C94" s="30" t="s">
        <v>76</v>
      </c>
      <c r="D94" s="31">
        <f>+INDEX('[7]Budget original'!$A$2:$AO$496,MATCH($A94,'[7]Budget original'!$A$2:$A$496,0),MATCH(D$2,'[7]Budget original'!$A$2:$AO$2,0))</f>
        <v>33.83707173550448</v>
      </c>
      <c r="E94" s="31">
        <f>IF(D94=0,0,F94/D94)</f>
        <v>750</v>
      </c>
      <c r="F94" s="31">
        <f>+INDEX('[7]Budget original'!$A$2:$AO$496,MATCH($A94,'[7]Budget original'!$A$2:$A$496,0),MATCH(F$2,'[7]Budget original'!$A$2:$AO$2,0))</f>
        <v>25377.803801628361</v>
      </c>
      <c r="G94" s="32">
        <f>+INDEX('[7]Budget révisé'!$A$2:$AO$496,MATCH($A94,'[7]Budget révisé'!$A$2:$A$496,0),MATCH(G$2,'[7]Budget révisé'!$A$2:$AO$2,0))</f>
        <v>33.83707173550448</v>
      </c>
      <c r="H94" s="31">
        <f>IF(G94=0,0,I94/G94)</f>
        <v>750</v>
      </c>
      <c r="I94" s="31">
        <f>+INDEX('[7]Budget révisé'!$A$2:$AO$496,MATCH($A94,'[7]Budget révisé'!$A$2:$A$496,0),MATCH(I$2,'[7]Budget révisé'!$A$2:$AO$2,0))</f>
        <v>25377.803801628361</v>
      </c>
      <c r="J94" s="32">
        <f>-SUMIFS([7]BV_Data_An_Cour!$O:$O,[7]BV_Data_An_Cour!$U:$U,$B94,[7]BV_Data_An_Cour!$V:$V,$C94,[7]BV_Data_An_Cour!$W:$W,J$2)</f>
        <v>36</v>
      </c>
      <c r="K94" s="31">
        <f t="shared" ref="K94:K95" si="33">IF(J94=0,0,L94/J94)</f>
        <v>870.74722222222283</v>
      </c>
      <c r="L94" s="34">
        <f>-SUMIFS([7]BV_Data_An_Cour!$O:$O,[7]BV_Data_An_Cour!$U:$U,$B94,[7]BV_Data_An_Cour!$V:$V,$C94,[7]BV_Data_An_Cour!$W:$W,$L2)</f>
        <v>31346.900000000023</v>
      </c>
      <c r="M94" s="32">
        <f>J94-G94</f>
        <v>2.1629282644955197</v>
      </c>
      <c r="N94" s="34">
        <f>L94-I94</f>
        <v>5969.0961983716625</v>
      </c>
      <c r="O94" s="32">
        <f>-SUMIFS([7]BV_Data_An_Prec!$O:$O,[7]BV_Data_An_Prec!$U:$U,$B94,[7]BV_Data_An_Prec!$V:$V,$C94,[7]BV_Data_An_Prec!$W:$W,O$2)</f>
        <v>0</v>
      </c>
      <c r="P94" s="31">
        <f t="shared" ref="P94:P95" si="34">IF(O94=0,0,Q94/O94)</f>
        <v>0</v>
      </c>
      <c r="Q94" s="34">
        <f>-SUMIFS([7]BV_Data_An_Prec!$O:$O,[7]BV_Data_An_Prec!$U:$U,$B94,[7]BV_Data_An_Prec!$V:$V,$C94,[7]BV_Data_An_Prec!$W:$W,$L2)</f>
        <v>0</v>
      </c>
      <c r="R94" s="32">
        <f t="shared" ref="R94:R95" si="35">J94-O94</f>
        <v>36</v>
      </c>
      <c r="S94" s="35">
        <f t="shared" ref="S94:S95" si="36">L94-Q94</f>
        <v>31346.900000000023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2"/>
        <v>Véhicules usagésNon Certifié</v>
      </c>
      <c r="B95" s="12" t="s">
        <v>74</v>
      </c>
      <c r="C95" s="30" t="s">
        <v>77</v>
      </c>
      <c r="D95" s="31">
        <f>+INDEX('[7]Budget original'!$A$2:$AO$496,MATCH($A95,'[7]Budget original'!$A$2:$A$496,0),MATCH(D$2,'[7]Budget original'!$A$2:$AO$2,0))</f>
        <v>1.9298710115306736</v>
      </c>
      <c r="E95" s="26">
        <f t="shared" ref="E95:E104" si="37">IF(D95=0,0,F95/D95)</f>
        <v>750</v>
      </c>
      <c r="F95" s="31">
        <f>+INDEX('[7]Budget original'!$A$2:$AO$496,MATCH($A95,'[7]Budget original'!$A$2:$A$496,0),MATCH(F$2,'[7]Budget original'!$A$2:$AO$2,0))</f>
        <v>1447.4032586480052</v>
      </c>
      <c r="G95" s="32">
        <f>+INDEX('[7]Budget révisé'!$A$2:$AO$496,MATCH($A95,'[7]Budget révisé'!$A$2:$A$496,0),MATCH(G$2,'[7]Budget révisé'!$A$2:$AO$2,0))</f>
        <v>1.9298710115306736</v>
      </c>
      <c r="H95" s="31">
        <f t="shared" ref="H95:H97" si="38">IF(G95=0,0,I95/G95)</f>
        <v>750</v>
      </c>
      <c r="I95" s="31">
        <f>+INDEX('[7]Budget révisé'!$A$2:$AO$496,MATCH($A95,'[7]Budget révisé'!$A$2:$A$496,0),MATCH(I$2,'[7]Budget révisé'!$A$2:$AO$2,0))</f>
        <v>1447.4032586480052</v>
      </c>
      <c r="J95" s="32">
        <f>-SUMIFS([7]BV_Data_An_Cour!$O:$O,[7]BV_Data_An_Cour!$U:$U,$B95,[7]BV_Data_An_Cour!$V:$V,$C95,[7]BV_Data_An_Cour!$W:$W,J$2)</f>
        <v>1</v>
      </c>
      <c r="K95" s="31">
        <f t="shared" si="33"/>
        <v>39.680000000000064</v>
      </c>
      <c r="L95" s="33">
        <f>-SUMIFS([7]BV_Data_An_Cour!$O:$O,[7]BV_Data_An_Cour!$U:$U,$B95,[7]BV_Data_An_Cour!$V:$V,$C95,[7]BV_Data_An_Cour!$W:$W,$L2)</f>
        <v>39.680000000000064</v>
      </c>
      <c r="M95" s="32"/>
      <c r="N95" s="34"/>
      <c r="O95" s="32">
        <f>-SUMIFS([7]BV_Data_An_Prec!$O:$O,[7]BV_Data_An_Prec!$U:$U,$B95,[7]BV_Data_An_Prec!$V:$V,$C95,[7]BV_Data_An_Prec!$W:$W,O$2)</f>
        <v>38</v>
      </c>
      <c r="P95" s="31">
        <f t="shared" si="34"/>
        <v>484.78447368421007</v>
      </c>
      <c r="Q95" s="33">
        <f>-SUMIFS([7]BV_Data_An_Prec!$O:$O,[7]BV_Data_An_Prec!$U:$U,$B95,[7]BV_Data_An_Prec!$V:$V,$C95,[7]BV_Data_An_Prec!$W:$W,$L2)</f>
        <v>18421.809999999983</v>
      </c>
      <c r="R95" s="32">
        <f t="shared" si="35"/>
        <v>-37</v>
      </c>
      <c r="S95" s="35">
        <f t="shared" si="36"/>
        <v>-18382.129999999983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2"/>
        <v>Véhicules usagésTotal Usagés</v>
      </c>
      <c r="B96" s="12" t="s">
        <v>74</v>
      </c>
      <c r="C96" s="36" t="s">
        <v>78</v>
      </c>
      <c r="D96" s="37">
        <f>+D95+D94</f>
        <v>35.766942747035152</v>
      </c>
      <c r="E96" s="31">
        <f t="shared" si="37"/>
        <v>750.00000000000011</v>
      </c>
      <c r="F96" s="38">
        <f t="shared" ref="F96" si="39">+F94+F95</f>
        <v>26825.207060276367</v>
      </c>
      <c r="G96" s="39">
        <f>+G95+G94</f>
        <v>35.766942747035152</v>
      </c>
      <c r="H96" s="37">
        <f t="shared" si="38"/>
        <v>750.00000000000011</v>
      </c>
      <c r="I96" s="38">
        <f t="shared" ref="I96:J96" si="40">+I94+I95</f>
        <v>26825.207060276367</v>
      </c>
      <c r="J96" s="39">
        <f t="shared" si="40"/>
        <v>37</v>
      </c>
      <c r="K96" s="37">
        <f>IF(J96&lt;=0,0,L96/J96)</f>
        <v>848.28594594594654</v>
      </c>
      <c r="L96" s="38">
        <f>+L94+L95</f>
        <v>31386.580000000024</v>
      </c>
      <c r="M96" s="39">
        <f>J96-G96</f>
        <v>1.2330572529648478</v>
      </c>
      <c r="N96" s="38">
        <f>L96-I96</f>
        <v>4561.3729397236566</v>
      </c>
      <c r="O96" s="39">
        <f t="shared" ref="O96" si="41">+O94+O95</f>
        <v>38</v>
      </c>
      <c r="P96" s="37">
        <f>IF(O96&lt;=0,0,Q96/O96)</f>
        <v>484.78447368421007</v>
      </c>
      <c r="Q96" s="38">
        <f>+Q94+Q95</f>
        <v>18421.809999999983</v>
      </c>
      <c r="R96" s="39">
        <f t="shared" ref="R96:S96" si="42">R94+R95</f>
        <v>-1</v>
      </c>
      <c r="S96" s="40">
        <f t="shared" si="42"/>
        <v>12964.77000000004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2"/>
        <v>Véhicules usagés</v>
      </c>
      <c r="B97" s="12" t="s">
        <v>74</v>
      </c>
      <c r="C97" s="30"/>
      <c r="D97" s="14"/>
      <c r="E97" s="31">
        <f t="shared" si="37"/>
        <v>0</v>
      </c>
      <c r="F97" s="41"/>
      <c r="G97" s="42"/>
      <c r="H97" s="14">
        <f t="shared" si="38"/>
        <v>0</v>
      </c>
      <c r="I97" s="41"/>
      <c r="J97" s="42"/>
      <c r="K97" s="14"/>
      <c r="L97" s="41"/>
      <c r="M97" s="43">
        <f>M96/G96</f>
        <v>3.4474773583131037E-2</v>
      </c>
      <c r="N97" s="44">
        <f>N96/I96</f>
        <v>0.17004054915491351</v>
      </c>
      <c r="O97" s="42"/>
      <c r="P97" s="14"/>
      <c r="Q97" s="41"/>
      <c r="R97" s="43">
        <f>R96/O96</f>
        <v>-2.6315789473684209E-2</v>
      </c>
      <c r="S97" s="45">
        <f>IF(Q96=0,0,(S96/Q96))</f>
        <v>0.70377286488135815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2"/>
        <v>Véhicules usagésUS</v>
      </c>
      <c r="B98" s="12" t="s">
        <v>74</v>
      </c>
      <c r="C98" s="30" t="s">
        <v>196</v>
      </c>
      <c r="D98" s="31"/>
      <c r="E98" s="31"/>
      <c r="F98" s="31"/>
      <c r="G98" s="31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2"/>
        <v>Véhicules usagésVentes au Gros</v>
      </c>
      <c r="B99" s="12" t="s">
        <v>74</v>
      </c>
      <c r="C99" s="30" t="s">
        <v>79</v>
      </c>
      <c r="D99" s="31">
        <f>+INDEX('[7]Budget original'!$A$2:$AO$496,MATCH($A99,'[7]Budget original'!$A$2:$A$496,0),MATCH(D$2,'[7]Budget original'!$A$2:$AO$2,0))</f>
        <v>30.307777801435051</v>
      </c>
      <c r="E99" s="31">
        <f t="shared" si="37"/>
        <v>120</v>
      </c>
      <c r="F99" s="31">
        <f>+INDEX('[7]Budget original'!$A$2:$AO$496,MATCH($A99,'[7]Budget original'!$A$2:$A$496,0),MATCH(F$2,'[7]Budget original'!$A$2:$AO$2,0))</f>
        <v>3636.9333361722061</v>
      </c>
      <c r="G99" s="31">
        <f>+INDEX('[7]Budget révisé'!$A$2:$AO$496,MATCH($A99,'[7]Budget révisé'!$A$2:$A$496,0),MATCH(G$2,'[7]Budget révisé'!$A$2:$AO$2,0))</f>
        <v>30.307777801435051</v>
      </c>
      <c r="H99" s="31">
        <f t="shared" ref="H99:H104" si="43">IF(G99=0,0,I99/G99)</f>
        <v>120</v>
      </c>
      <c r="I99" s="31">
        <f>+INDEX('[7]Budget révisé'!$A$2:$AO$496,MATCH($A99,'[7]Budget révisé'!$A$2:$A$496,0),MATCH(I$2,'[7]Budget révisé'!$A$2:$AO$2,0))</f>
        <v>3636.9333361722061</v>
      </c>
      <c r="J99" s="32">
        <f>-SUMIFS([7]BV_Data_An_Cour!$O:$O,[7]BV_Data_An_Cour!$U:$U,$B99,[7]BV_Data_An_Cour!$V:$V,$C99,[7]BV_Data_An_Cour!$W:$W,J$2)</f>
        <v>47</v>
      </c>
      <c r="K99" s="31">
        <f t="shared" ref="K99" si="44">IF(J99=0,0,L99/J99)</f>
        <v>230.93680851063888</v>
      </c>
      <c r="L99" s="34">
        <f>-SUMIFS([7]BV_Data_An_Cour!$O:$O,[7]BV_Data_An_Cour!$U:$U,$B99,[7]BV_Data_An_Cour!$V:$V,$C99,[7]BV_Data_An_Cour!$W:$W,L$2)</f>
        <v>10854.030000000028</v>
      </c>
      <c r="M99" s="32">
        <f t="shared" ref="M99" si="45">J99-G99</f>
        <v>16.692222198564949</v>
      </c>
      <c r="N99" s="34">
        <f t="shared" ref="N99" si="46">L99-I99</f>
        <v>7217.0966638278223</v>
      </c>
      <c r="O99" s="32">
        <f>-SUMIFS([7]BV_Data_An_Prec!$O:$O,[7]BV_Data_An_Prec!$U:$U,$B99,[7]BV_Data_An_Prec!$V:$V,$C99,[7]BV_Data_An_Prec!$W:$W,O$2)</f>
        <v>35</v>
      </c>
      <c r="P99" s="31">
        <f t="shared" ref="P99" si="47">IF(O99=0,0,Q99/O99)</f>
        <v>374.76085714285728</v>
      </c>
      <c r="Q99" s="34">
        <f>-SUMIFS([7]BV_Data_An_Prec!$O:$O,[7]BV_Data_An_Prec!$U:$U,$B99,[7]BV_Data_An_Prec!$V:$V,$C99,[7]BV_Data_An_Prec!$W:$W,Q$2)</f>
        <v>13116.630000000005</v>
      </c>
      <c r="R99" s="32">
        <f t="shared" ref="R99" si="48">J99-O99</f>
        <v>12</v>
      </c>
      <c r="S99" s="35">
        <f t="shared" ref="S99" si="49">L99-Q99</f>
        <v>-2262.5999999999767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2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2"/>
        <v>Véhicules usagésRev. Finances</v>
      </c>
      <c r="B101" s="12" t="s">
        <v>74</v>
      </c>
      <c r="C101" s="30" t="s">
        <v>26</v>
      </c>
      <c r="D101" s="31">
        <f>+INDEX('[7]Budget original'!$A$2:$AO$496,MATCH($A101,'[7]Budget original'!$A$2:$A$496,0),MATCH(D$2,'[7]Budget original'!$A$2:$AO$2,0))</f>
        <v>0</v>
      </c>
      <c r="E101" s="31">
        <f t="shared" si="37"/>
        <v>0</v>
      </c>
      <c r="F101" s="34">
        <f>+INDEX('[7]Budget original'!$A$2:$AO$496,MATCH($A101,'[7]Budget original'!$A$2:$A$496,0),MATCH(F$2,'[7]Budget original'!$A$2:$AO$2,0))</f>
        <v>28759.968583142301</v>
      </c>
      <c r="G101" s="32">
        <f>+INDEX('[7]Budget révisé'!$A$2:$AO$496,MATCH($A101,'[7]Budget révisé'!$A$2:$A$496,0),MATCH(G$2,'[7]Budget révisé'!$A$2:$AO$2,0))</f>
        <v>0</v>
      </c>
      <c r="H101" s="31">
        <f t="shared" si="43"/>
        <v>0</v>
      </c>
      <c r="I101" s="31">
        <f>+INDEX('[7]Budget révisé'!$A$2:$AO$496,MATCH($A101,'[7]Budget révisé'!$A$2:$A$496,0),MATCH(I$2,'[7]Budget révisé'!$A$2:$AO$2,0))</f>
        <v>28759.968583142301</v>
      </c>
      <c r="J101" s="32"/>
      <c r="K101" s="31">
        <f>IF(J96=0,0,L101/J96)</f>
        <v>1024.1837837837838</v>
      </c>
      <c r="L101" s="34">
        <f>-SUMIFS([7]BV_Data_An_Cour!$O:$O,[7]BV_Data_An_Cour!$U:$U,$B101,[7]BV_Data_An_Cour!$V:$V,$C101,[7]BV_Data_An_Cour!$W:$W,$L2)</f>
        <v>37894.800000000003</v>
      </c>
      <c r="M101" s="32"/>
      <c r="N101" s="34">
        <f t="shared" ref="N101:N104" si="50">L101-I101</f>
        <v>9134.8314168577017</v>
      </c>
      <c r="O101" s="32"/>
      <c r="P101" s="31">
        <f>IF(O96=0,0,Q101/O96)</f>
        <v>613.01947368421054</v>
      </c>
      <c r="Q101" s="34">
        <f>-SUMIFS([7]BV_Data_An_Prec!$O:$O,[7]BV_Data_An_Prec!$U:$U,$B101,[7]BV_Data_An_Prec!$V:$V,$C101,[7]BV_Data_An_Prec!$W:$W,$L2)</f>
        <v>23294.74</v>
      </c>
      <c r="R101" s="32">
        <f t="shared" ref="R101:R103" si="51">O101-K101</f>
        <v>-1024.1837837837838</v>
      </c>
      <c r="S101" s="35">
        <f t="shared" ref="S101:S104" si="52">L101-Q101</f>
        <v>14600.060000000001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2"/>
        <v>Véhicules usagésRev. Protections</v>
      </c>
      <c r="B102" s="12" t="s">
        <v>74</v>
      </c>
      <c r="C102" s="30" t="s">
        <v>27</v>
      </c>
      <c r="D102" s="31">
        <f>+INDEX('[7]Budget original'!$A$2:$AO$496,MATCH($A102,'[7]Budget original'!$A$2:$A$496,0),MATCH(D$2,'[7]Budget original'!$A$2:$AO$2,0))</f>
        <v>0</v>
      </c>
      <c r="E102" s="31">
        <f t="shared" si="37"/>
        <v>0</v>
      </c>
      <c r="F102" s="34">
        <f>+INDEX('[7]Budget original'!$A$2:$AO$496,MATCH($A102,'[7]Budget original'!$A$2:$A$496,0),MATCH(F$2,'[7]Budget original'!$A$2:$AO$2,0))</f>
        <v>32594.631060894608</v>
      </c>
      <c r="G102" s="32">
        <f>+INDEX('[7]Budget révisé'!$A$2:$AO$496,MATCH($A102,'[7]Budget révisé'!$A$2:$A$496,0),MATCH(G$2,'[7]Budget révisé'!$A$2:$AO$2,0))</f>
        <v>0</v>
      </c>
      <c r="H102" s="31">
        <f t="shared" si="43"/>
        <v>0</v>
      </c>
      <c r="I102" s="31">
        <f>+INDEX('[7]Budget révisé'!$A$2:$AO$496,MATCH($A102,'[7]Budget révisé'!$A$2:$A$496,0),MATCH(I$2,'[7]Budget révisé'!$A$2:$AO$2,0))</f>
        <v>32594.631060894608</v>
      </c>
      <c r="J102" s="32"/>
      <c r="K102" s="31">
        <f>IF(J96=0,0,L102/J96)</f>
        <v>1138.2675675675675</v>
      </c>
      <c r="L102" s="34">
        <f>-SUMIFS([7]BV_Data_An_Cour!$O:$O,[7]BV_Data_An_Cour!$U:$U,$B102,[7]BV_Data_An_Cour!$V:$V,$C102,[7]BV_Data_An_Cour!$W:$W,$L2)</f>
        <v>42115.9</v>
      </c>
      <c r="M102" s="32"/>
      <c r="N102" s="34">
        <f t="shared" si="50"/>
        <v>9521.2689391053937</v>
      </c>
      <c r="O102" s="32"/>
      <c r="P102" s="31">
        <f>IF(O96=0,0,Q102/O96)</f>
        <v>594.36447368421045</v>
      </c>
      <c r="Q102" s="34">
        <f>-SUMIFS([7]BV_Data_An_Prec!$O:$O,[7]BV_Data_An_Prec!$U:$U,$B102,[7]BV_Data_An_Prec!$V:$V,$C102,[7]BV_Data_An_Prec!$W:$W,$L2)</f>
        <v>22585.85</v>
      </c>
      <c r="R102" s="32">
        <f t="shared" si="51"/>
        <v>-1138.2675675675675</v>
      </c>
      <c r="S102" s="35">
        <f t="shared" si="52"/>
        <v>19530.050000000003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2"/>
        <v>Véhicules usagésRev. Autres</v>
      </c>
      <c r="B103" s="12" t="s">
        <v>74</v>
      </c>
      <c r="C103" s="30" t="s">
        <v>28</v>
      </c>
      <c r="D103" s="31">
        <f>+INDEX('[7]Budget original'!$A$2:$AO$496,MATCH($A103,'[7]Budget original'!$A$2:$A$496,0),MATCH(D$2,'[7]Budget original'!$A$2:$AO$2,0))</f>
        <v>0</v>
      </c>
      <c r="E103" s="26">
        <f t="shared" si="37"/>
        <v>0</v>
      </c>
      <c r="F103" s="34">
        <f>+INDEX('[7]Budget original'!$A$2:$AO$496,MATCH($A103,'[7]Budget original'!$A$2:$A$496,0),MATCH(F$2,'[7]Budget original'!$A$2:$AO$2,0))</f>
        <v>0</v>
      </c>
      <c r="G103" s="32">
        <f>+INDEX('[7]Budget révisé'!$A$2:$AO$496,MATCH($A103,'[7]Budget révisé'!$A$2:$A$496,0),MATCH(G$2,'[7]Budget révisé'!$A$2:$AO$2,0))</f>
        <v>0</v>
      </c>
      <c r="H103" s="48">
        <f t="shared" si="43"/>
        <v>0</v>
      </c>
      <c r="I103" s="31">
        <f>+INDEX('[7]Budget révisé'!$A$2:$AO$496,MATCH($A103,'[7]Budget révisé'!$A$2:$A$496,0),MATCH(I$2,'[7]Budget révisé'!$A$2:$AO$2,0))</f>
        <v>0</v>
      </c>
      <c r="J103" s="32"/>
      <c r="K103" s="48">
        <f>IF(J96=0,0,L103/J96)</f>
        <v>88.647297297297285</v>
      </c>
      <c r="L103" s="34">
        <f>-SUMIFS([7]BV_Data_An_Cour!$O:$O,[7]BV_Data_An_Cour!$U:$U,$B103,[7]BV_Data_An_Cour!$V:$V,$C103,[7]BV_Data_An_Cour!$W:$W,$L$2)</f>
        <v>3279.95</v>
      </c>
      <c r="M103" s="52"/>
      <c r="N103" s="34">
        <f t="shared" si="50"/>
        <v>3279.95</v>
      </c>
      <c r="O103" s="32"/>
      <c r="P103" s="48">
        <f>IF(O96=0,0,Q103/O96)</f>
        <v>20.980789473684212</v>
      </c>
      <c r="Q103" s="34">
        <f>-SUMIFS([7]BV_Data_An_Prec!$O:$O,[7]BV_Data_An_Prec!$U:$U,$B103,[7]BV_Data_An_Prec!$V:$V,$C103,[7]BV_Data_An_Prec!$W:$W,$L$2)</f>
        <v>797.27</v>
      </c>
      <c r="R103" s="32">
        <f t="shared" si="51"/>
        <v>-88.647297297297285</v>
      </c>
      <c r="S103" s="35">
        <f t="shared" si="52"/>
        <v>2482.6799999999998</v>
      </c>
      <c r="T103" s="14"/>
      <c r="U103" s="14" t="s">
        <v>253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2"/>
        <v>Véhicules usagésTotal F&amp;I</v>
      </c>
      <c r="B104" s="12" t="s">
        <v>74</v>
      </c>
      <c r="C104" s="36" t="s">
        <v>29</v>
      </c>
      <c r="D104" s="37">
        <f>D96</f>
        <v>35.766942747035152</v>
      </c>
      <c r="E104" s="31">
        <f t="shared" si="37"/>
        <v>1715.3996101364521</v>
      </c>
      <c r="F104" s="38">
        <f>F101+F102+F103</f>
        <v>61354.599644036905</v>
      </c>
      <c r="G104" s="39">
        <f>G96</f>
        <v>35.766942747035152</v>
      </c>
      <c r="H104" s="37">
        <f t="shared" si="43"/>
        <v>1715.3996101364521</v>
      </c>
      <c r="I104" s="38">
        <f>I101+I102+I103</f>
        <v>61354.599644036905</v>
      </c>
      <c r="J104" s="39">
        <f>J96</f>
        <v>37</v>
      </c>
      <c r="K104" s="37">
        <f>IF(J104&lt;=0,0,L104/J104)</f>
        <v>2251.098648648649</v>
      </c>
      <c r="L104" s="38">
        <f>L101+L102+L103</f>
        <v>83290.650000000009</v>
      </c>
      <c r="M104" s="32">
        <f>J104-G104</f>
        <v>1.2330572529648478</v>
      </c>
      <c r="N104" s="38">
        <f t="shared" si="50"/>
        <v>21936.050355963103</v>
      </c>
      <c r="O104" s="39">
        <f>O96</f>
        <v>38</v>
      </c>
      <c r="P104" s="37">
        <f>IF(O104&lt;=0,0,Q104/O104)</f>
        <v>1228.364736842105</v>
      </c>
      <c r="Q104" s="38">
        <f>Q101+Q102+Q103</f>
        <v>46677.859999999993</v>
      </c>
      <c r="R104" s="57"/>
      <c r="S104" s="40">
        <f t="shared" si="52"/>
        <v>36612.790000000015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2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0.3575290277050171</v>
      </c>
      <c r="O105" s="42"/>
      <c r="P105" s="14"/>
      <c r="Q105" s="60"/>
      <c r="R105" s="61"/>
      <c r="S105" s="45">
        <f>IF(Q104=0,0,(S104/Q104))</f>
        <v>0.78437164857172159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2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3.25" customHeight="1" thickTop="1">
      <c r="A107" t="str">
        <f t="shared" si="32"/>
        <v>Véhicules usagésTotal Dépt. Usagés</v>
      </c>
      <c r="B107" s="12" t="s">
        <v>74</v>
      </c>
      <c r="C107" s="63" t="s">
        <v>80</v>
      </c>
      <c r="D107" s="64">
        <f>D96+D99</f>
        <v>66.074720548470196</v>
      </c>
      <c r="E107" s="68">
        <f>IF(D107&lt;=0,0,F107/D107)</f>
        <v>1389.5895325524957</v>
      </c>
      <c r="F107" s="66">
        <f>F96+F104+F99</f>
        <v>91816.740040485485</v>
      </c>
      <c r="G107" s="67">
        <f>G96+G99</f>
        <v>66.074720548470196</v>
      </c>
      <c r="H107" s="68">
        <f>IF(G107&lt;=0,0,I107/G107)</f>
        <v>1389.5895325524957</v>
      </c>
      <c r="I107" s="66">
        <f>I96+I104+I99</f>
        <v>91816.740040485485</v>
      </c>
      <c r="J107" s="67">
        <f>J96+J99</f>
        <v>84</v>
      </c>
      <c r="K107" s="68">
        <f>IF(J107&lt;=0,0,L107/J107)</f>
        <v>1494.4197619047627</v>
      </c>
      <c r="L107" s="66">
        <f>L96+L104+L99</f>
        <v>125531.26000000007</v>
      </c>
      <c r="M107" s="67">
        <f>J107-G107</f>
        <v>17.925279451529804</v>
      </c>
      <c r="N107" s="66">
        <f>L107-I107</f>
        <v>33714.519959514582</v>
      </c>
      <c r="O107" s="67">
        <f>O96+O99</f>
        <v>73</v>
      </c>
      <c r="P107" s="68">
        <f>IF(O107&lt;=0,0,Q107/O107)</f>
        <v>1071.4561643835614</v>
      </c>
      <c r="Q107" s="66">
        <f>Q96+Q104+Q99</f>
        <v>78216.299999999988</v>
      </c>
      <c r="R107" s="67">
        <f>J107-O107</f>
        <v>11</v>
      </c>
      <c r="S107" s="69">
        <f>L107-Q107</f>
        <v>47314.960000000079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2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0.27128801003979153</v>
      </c>
      <c r="N108" s="75">
        <f>N107/I107</f>
        <v>0.36719360701162523</v>
      </c>
      <c r="O108" s="73"/>
      <c r="P108" s="71"/>
      <c r="Q108" s="72"/>
      <c r="R108" s="74">
        <f>O107/R107</f>
        <v>6.6363636363636367</v>
      </c>
      <c r="S108" s="151">
        <f>IF(Q107=0,0,(S107/Q107))</f>
        <v>0.60492454897508685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2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2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2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3">F111/D$96</f>
        <v>417.89841005175413</v>
      </c>
      <c r="F111" s="31">
        <f>+INDEX('[7]Budget original'!$A$2:$AO$496,MATCH($A111,'[7]Budget original'!$A$2:$A$496,0),MATCH(F$2,'[7]Budget original'!$A$2:$AO$2,0))</f>
        <v>14946.948506398108</v>
      </c>
      <c r="G111" s="152">
        <f>I111/I96</f>
        <v>0.55719788006900539</v>
      </c>
      <c r="H111" s="83">
        <f t="shared" ref="H111:H119" si="54">I111/G$96</f>
        <v>417.89841005175413</v>
      </c>
      <c r="I111" s="31">
        <f>+INDEX('[7]Budget révisé'!$A$2:$AO$496,MATCH($A111,'[7]Budget révisé'!$A$2:$A$496,0),MATCH(I$2,'[7]Budget révisé'!$A$2:$AO$2,0))</f>
        <v>14946.948506398108</v>
      </c>
      <c r="J111" s="152">
        <f>L111/L96</f>
        <v>0.54718863922096606</v>
      </c>
      <c r="K111" s="83">
        <f t="shared" ref="K111:K119" si="55">IF($J$96=0,0,L111/(J$94+J$95))</f>
        <v>464.17243243243246</v>
      </c>
      <c r="L111" s="34">
        <f>SUMIFS([7]BV_Data_An_Cour!$O:$O,[7]BV_Data_An_Cour!$U:$U,$B111,[7]BV_Data_An_Cour!$V:$V,$C111,[7]BV_Data_An_Cour!$W:$W,$L$2)</f>
        <v>17174.38</v>
      </c>
      <c r="M111" s="42"/>
      <c r="N111" s="60">
        <f t="shared" ref="N111:N152" si="56">L111-I111</f>
        <v>2227.4314936018927</v>
      </c>
      <c r="O111" s="42"/>
      <c r="P111" s="83">
        <f t="shared" ref="P111:P119" si="57">IF($J$96=0,0,Q111/(O$94+O$95))</f>
        <v>436.33236842105265</v>
      </c>
      <c r="Q111" s="34">
        <f>SUMIFS([7]BV_Data_An_Prec!$O:$O,[7]BV_Data_An_Prec!$U:$U,$B111,[7]BV_Data_An_Prec!$V:$V,$C111,[7]BV_Data_An_Prec!$W:$W,$L$2)</f>
        <v>16580.63</v>
      </c>
      <c r="R111" s="42"/>
      <c r="S111" s="86">
        <f t="shared" ref="S111:S152" si="58">L111-Q111</f>
        <v>593.75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2"/>
        <v>Véhicules usagésComm. F&amp;I</v>
      </c>
      <c r="B112" s="12" t="s">
        <v>74</v>
      </c>
      <c r="C112" s="88" t="s">
        <v>33</v>
      </c>
      <c r="D112" s="89"/>
      <c r="E112" s="90">
        <f t="shared" si="53"/>
        <v>514.61988304093563</v>
      </c>
      <c r="F112" s="23">
        <f>+INDEX('[7]Budget original'!$A$2:$AO$496,MATCH($A112,'[7]Budget original'!$A$2:$A$496,0),MATCH(F$2,'[7]Budget original'!$A$2:$AO$2,0))</f>
        <v>18406.379893211069</v>
      </c>
      <c r="G112" s="93">
        <f>I112/I104</f>
        <v>0.3</v>
      </c>
      <c r="H112" s="90">
        <f t="shared" si="54"/>
        <v>514.61988304093563</v>
      </c>
      <c r="I112" s="23">
        <f>+INDEX('[7]Budget révisé'!$A$2:$AO$496,MATCH($A112,'[7]Budget révisé'!$A$2:$A$496,0),MATCH(I$2,'[7]Budget révisé'!$A$2:$AO$2,0))</f>
        <v>18406.379893211069</v>
      </c>
      <c r="J112" s="93">
        <f>L112/L104</f>
        <v>0.30000726372047759</v>
      </c>
      <c r="K112" s="90">
        <f t="shared" si="55"/>
        <v>675.34594594594591</v>
      </c>
      <c r="L112" s="34">
        <f>SUMIFS([7]BV_Data_An_Cour!$O:$O,[7]BV_Data_An_Cour!$U:$U,$B112,[7]BV_Data_An_Cour!$V:$V,$C112,[7]BV_Data_An_Cour!$W:$W,$L$2)</f>
        <v>24987.8</v>
      </c>
      <c r="M112" s="24"/>
      <c r="N112" s="94">
        <f t="shared" si="56"/>
        <v>6581.4201067889298</v>
      </c>
      <c r="O112" s="24"/>
      <c r="P112" s="90">
        <f t="shared" si="57"/>
        <v>311.99894736842106</v>
      </c>
      <c r="Q112" s="34">
        <f>SUMIFS([7]BV_Data_An_Prec!$O:$O,[7]BV_Data_An_Prec!$U:$U,$B112,[7]BV_Data_An_Prec!$V:$V,$C112,[7]BV_Data_An_Prec!$W:$W,$L$2)</f>
        <v>11855.96</v>
      </c>
      <c r="R112" s="24"/>
      <c r="S112" s="95">
        <f t="shared" si="58"/>
        <v>13131.84</v>
      </c>
      <c r="T112" s="14"/>
      <c r="U112" s="14"/>
      <c r="V112" s="14"/>
      <c r="W112" s="14">
        <f>L104*0.3</f>
        <v>24987.195000000003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2"/>
        <v>Véhicules usagésFrais de livraison</v>
      </c>
      <c r="B113" s="12" t="s">
        <v>74</v>
      </c>
      <c r="C113" s="30" t="s">
        <v>34</v>
      </c>
      <c r="D113" s="82"/>
      <c r="E113" s="83">
        <f t="shared" si="53"/>
        <v>54</v>
      </c>
      <c r="F113" s="31">
        <f>+INDEX('[7]Budget original'!$A$2:$AO$496,MATCH($A113,'[7]Budget original'!$A$2:$A$496,0),MATCH(F$2,'[7]Budget original'!$A$2:$AO$2,0))</f>
        <v>1931.4149083398981</v>
      </c>
      <c r="G113" s="84"/>
      <c r="H113" s="83">
        <f t="shared" si="54"/>
        <v>54</v>
      </c>
      <c r="I113" s="31">
        <f>+INDEX('[7]Budget révisé'!$A$2:$AO$496,MATCH($A113,'[7]Budget révisé'!$A$2:$A$496,0),MATCH(I$2,'[7]Budget révisé'!$A$2:$AO$2,0))</f>
        <v>1931.4149083398981</v>
      </c>
      <c r="J113" s="42"/>
      <c r="K113" s="83">
        <f t="shared" si="55"/>
        <v>64.086756756756756</v>
      </c>
      <c r="L113" s="114">
        <f>SUMIFS([7]BV_Data_An_Cour!$O:$O,[7]BV_Data_An_Cour!$U:$U,$B113,[7]BV_Data_An_Cour!$V:$V,$C113,[7]BV_Data_An_Cour!$W:$W,$L$2)</f>
        <v>2371.21</v>
      </c>
      <c r="M113" s="42"/>
      <c r="N113" s="60">
        <f t="shared" si="56"/>
        <v>439.79509166010189</v>
      </c>
      <c r="O113" s="42"/>
      <c r="P113" s="83">
        <f t="shared" si="57"/>
        <v>8.4871052631578952</v>
      </c>
      <c r="Q113" s="114">
        <f>SUMIFS([7]BV_Data_An_Prec!$O:$O,[7]BV_Data_An_Prec!$U:$U,$B113,[7]BV_Data_An_Prec!$V:$V,$C113,[7]BV_Data_An_Prec!$W:$W,$L$2)</f>
        <v>322.51</v>
      </c>
      <c r="R113" s="42"/>
      <c r="S113" s="86">
        <f t="shared" si="58"/>
        <v>2048.6999999999998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2"/>
        <v>Véhicules usagésService gratuit 1</v>
      </c>
      <c r="B114" s="12" t="s">
        <v>74</v>
      </c>
      <c r="C114" s="30" t="s">
        <v>35</v>
      </c>
      <c r="D114" s="82"/>
      <c r="E114" s="83">
        <f t="shared" si="53"/>
        <v>105</v>
      </c>
      <c r="F114" s="31">
        <f>+INDEX('[7]Budget original'!$A$2:$AO$496,MATCH($A114,'[7]Budget original'!$A$2:$A$496,0),MATCH(F$2,'[7]Budget original'!$A$2:$AO$2,0))</f>
        <v>3755.5289884386912</v>
      </c>
      <c r="G114" s="84"/>
      <c r="H114" s="83">
        <f t="shared" si="54"/>
        <v>105</v>
      </c>
      <c r="I114" s="31">
        <f>+INDEX('[7]Budget révisé'!$A$2:$AO$496,MATCH($A114,'[7]Budget révisé'!$A$2:$A$496,0),MATCH(I$2,'[7]Budget révisé'!$A$2:$AO$2,0))</f>
        <v>3755.5289884386912</v>
      </c>
      <c r="J114" s="42"/>
      <c r="K114" s="83">
        <f t="shared" si="55"/>
        <v>11.469459459459459</v>
      </c>
      <c r="L114" s="34">
        <f>SUMIFS([7]BV_Data_An_Cour!$O:$O,[7]BV_Data_An_Cour!$U:$U,$B114,[7]BV_Data_An_Cour!$V:$V,$C114,[7]BV_Data_An_Cour!$W:$W,$L$2)</f>
        <v>424.37</v>
      </c>
      <c r="M114" s="42"/>
      <c r="N114" s="60">
        <f t="shared" si="56"/>
        <v>-3331.1589884386913</v>
      </c>
      <c r="O114" s="42"/>
      <c r="P114" s="83">
        <f t="shared" si="57"/>
        <v>0</v>
      </c>
      <c r="Q114" s="34">
        <f>SUMIFS([7]BV_Data_An_Prec!$O:$O,[7]BV_Data_An_Prec!$U:$U,$B114,[7]BV_Data_An_Prec!$V:$V,$C114,[7]BV_Data_An_Prec!$W:$W,$L$2)</f>
        <v>0</v>
      </c>
      <c r="R114" s="42"/>
      <c r="S114" s="86">
        <f t="shared" si="58"/>
        <v>424.37</v>
      </c>
      <c r="T114" s="14"/>
      <c r="U114" s="14"/>
      <c r="V114" s="14"/>
      <c r="W114" s="31">
        <f>L112-W112</f>
        <v>0.60499999999592546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2"/>
        <v>Véhicules usagésEntretien stock</v>
      </c>
      <c r="B115" s="12" t="s">
        <v>74</v>
      </c>
      <c r="C115" s="88" t="s">
        <v>36</v>
      </c>
      <c r="D115" s="89"/>
      <c r="E115" s="90">
        <f t="shared" si="53"/>
        <v>60.999999999999993</v>
      </c>
      <c r="F115" s="23">
        <f>+INDEX('[7]Budget original'!$A$2:$AO$496,MATCH($A115,'[7]Budget original'!$A$2:$A$496,0),MATCH(F$2,'[7]Budget original'!$A$2:$AO$2,0))</f>
        <v>2181.7835075691441</v>
      </c>
      <c r="G115" s="91"/>
      <c r="H115" s="90">
        <f t="shared" si="54"/>
        <v>60.999999999999993</v>
      </c>
      <c r="I115" s="23">
        <f>+INDEX('[7]Budget révisé'!$A$2:$AO$496,MATCH($A115,'[7]Budget révisé'!$A$2:$A$496,0),MATCH(I$2,'[7]Budget révisé'!$A$2:$AO$2,0))</f>
        <v>2181.7835075691441</v>
      </c>
      <c r="J115" s="24"/>
      <c r="K115" s="90">
        <f t="shared" si="55"/>
        <v>88.182432432432435</v>
      </c>
      <c r="L115" s="49">
        <f>SUMIFS([7]BV_Data_An_Cour!$O:$O,[7]BV_Data_An_Cour!$U:$U,$B115,[7]BV_Data_An_Cour!$V:$V,$C115,[7]BV_Data_An_Cour!$W:$W,$L$2)</f>
        <v>3262.75</v>
      </c>
      <c r="M115" s="24"/>
      <c r="N115" s="94">
        <f t="shared" si="56"/>
        <v>1080.9664924308559</v>
      </c>
      <c r="O115" s="24"/>
      <c r="P115" s="90">
        <f t="shared" si="57"/>
        <v>65</v>
      </c>
      <c r="Q115" s="49">
        <f>SUMIFS([7]BV_Data_An_Prec!$O:$O,[7]BV_Data_An_Prec!$U:$U,$B115,[7]BV_Data_An_Prec!$V:$V,$C115,[7]BV_Data_An_Prec!$W:$W,$L$2)</f>
        <v>2470</v>
      </c>
      <c r="R115" s="24"/>
      <c r="S115" s="95">
        <f t="shared" si="58"/>
        <v>792.75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9.5" customHeight="1">
      <c r="A116" t="str">
        <f t="shared" si="32"/>
        <v>Véhicules usagésPublicité 1</v>
      </c>
      <c r="B116" s="12" t="s">
        <v>74</v>
      </c>
      <c r="C116" s="30" t="s">
        <v>37</v>
      </c>
      <c r="D116" s="82"/>
      <c r="E116" s="83">
        <f t="shared" si="53"/>
        <v>27.410526315789468</v>
      </c>
      <c r="F116" s="31">
        <f>+INDEX('[7]Budget original'!$A$2:$AO$496,MATCH($A116,'[7]Budget original'!$A$2:$A$496,0),MATCH(F$2,'[7]Budget original'!$A$2:$AO$2,0))</f>
        <v>980.39072540294228</v>
      </c>
      <c r="G116" s="84"/>
      <c r="H116" s="83">
        <f t="shared" si="54"/>
        <v>27.410526315789468</v>
      </c>
      <c r="I116" s="31">
        <f>+INDEX('[7]Budget révisé'!$A$2:$AO$496,MATCH($A116,'[7]Budget révisé'!$A$2:$A$496,0),MATCH(I$2,'[7]Budget révisé'!$A$2:$AO$2,0))</f>
        <v>980.39072540294228</v>
      </c>
      <c r="J116" s="42"/>
      <c r="K116" s="83">
        <f t="shared" si="55"/>
        <v>40.017027027027027</v>
      </c>
      <c r="L116" s="34">
        <f>SUMIFS([7]BV_Data_An_Cour!$O:$O,[7]BV_Data_An_Cour!$U:$U,$B116,[7]BV_Data_An_Cour!$V:$V,$C116,[7]BV_Data_An_Cour!$W:$W,$L$2)</f>
        <v>1480.63</v>
      </c>
      <c r="M116" s="42"/>
      <c r="N116" s="60">
        <f t="shared" si="56"/>
        <v>500.23927459705783</v>
      </c>
      <c r="O116" s="42"/>
      <c r="P116" s="83">
        <f t="shared" si="57"/>
        <v>196.05263157894737</v>
      </c>
      <c r="Q116" s="34">
        <f>SUMIFS([7]BV_Data_An_Prec!$O:$O,[7]BV_Data_An_Prec!$U:$U,$B116,[7]BV_Data_An_Prec!$V:$V,$C116,[7]BV_Data_An_Prec!$W:$W,$L$2)</f>
        <v>7450</v>
      </c>
      <c r="R116" s="42"/>
      <c r="S116" s="86">
        <f t="shared" si="58"/>
        <v>-5969.37</v>
      </c>
      <c r="T116" s="14"/>
      <c r="U116" s="14"/>
      <c r="V116" s="14"/>
      <c r="W116" s="12" t="s">
        <v>243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2"/>
        <v>Véhicules usagésIntérêt de gros</v>
      </c>
      <c r="B117" s="12" t="s">
        <v>74</v>
      </c>
      <c r="C117" s="30" t="s">
        <v>38</v>
      </c>
      <c r="D117" s="82"/>
      <c r="E117" s="83">
        <f t="shared" si="53"/>
        <v>37.759628304838067</v>
      </c>
      <c r="F117" s="31">
        <f>+INDEX('[7]Budget original'!$A$2:$AO$496,MATCH($A117,'[7]Budget original'!$A$2:$A$496,0),MATCH(F$2,'[7]Budget original'!$A$2:$AO$2,0))</f>
        <v>1350.5464637284711</v>
      </c>
      <c r="G117" s="84"/>
      <c r="H117" s="83">
        <f t="shared" si="54"/>
        <v>37.759628304838067</v>
      </c>
      <c r="I117" s="31">
        <f>+INDEX('[7]Budget révisé'!$A$2:$AO$496,MATCH($A117,'[7]Budget révisé'!$A$2:$A$496,0),MATCH(I$2,'[7]Budget révisé'!$A$2:$AO$2,0))</f>
        <v>1350.5464637284711</v>
      </c>
      <c r="J117" s="42"/>
      <c r="K117" s="83">
        <f t="shared" si="55"/>
        <v>16.415135135135134</v>
      </c>
      <c r="L117" s="34">
        <f>SUMIFS([7]BV_Data_An_Cour!$O:$O,[7]BV_Data_An_Cour!$U:$U,$B117,[7]BV_Data_An_Cour!$V:$V,$C117,[7]BV_Data_An_Cour!$W:$W,$L$2)</f>
        <v>607.36</v>
      </c>
      <c r="M117" s="42"/>
      <c r="N117" s="60">
        <f t="shared" si="56"/>
        <v>-743.18646372847104</v>
      </c>
      <c r="O117" s="42"/>
      <c r="P117" s="83">
        <f t="shared" si="57"/>
        <v>8.0426315789473684</v>
      </c>
      <c r="Q117" s="34">
        <f>SUMIFS([7]BV_Data_An_Prec!$O:$O,[7]BV_Data_An_Prec!$U:$U,$B117,[7]BV_Data_An_Prec!$V:$V,$C117,[7]BV_Data_An_Prec!$W:$W,$L$2)</f>
        <v>305.62</v>
      </c>
      <c r="R117" s="42"/>
      <c r="S117" s="86">
        <f t="shared" si="58"/>
        <v>301.74</v>
      </c>
      <c r="T117" s="14"/>
      <c r="U117" s="14"/>
      <c r="V117" s="14"/>
      <c r="W117" s="31">
        <f>W114+W35</f>
        <v>0.35199999999531428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2"/>
        <v>Véhicules usagés[...]</v>
      </c>
      <c r="B118" s="12" t="s">
        <v>74</v>
      </c>
      <c r="C118" s="30" t="s">
        <v>21</v>
      </c>
      <c r="D118" s="82"/>
      <c r="E118" s="83">
        <f t="shared" si="53"/>
        <v>0</v>
      </c>
      <c r="F118" s="31">
        <f>+INDEX('[7]Budget original'!$A$2:$AO$496,MATCH($A118,'[7]Budget original'!$A$2:$A$496,0),MATCH(F$2,'[7]Budget original'!$A$2:$AO$2,0))</f>
        <v>0</v>
      </c>
      <c r="G118" s="84"/>
      <c r="H118" s="83">
        <f t="shared" si="54"/>
        <v>0</v>
      </c>
      <c r="I118" s="31">
        <f>+INDEX('[7]Budget révisé'!$A$2:$AO$496,MATCH($A118,'[7]Budget révisé'!$A$2:$A$496,0),MATCH(I$2,'[7]Budget révisé'!$A$2:$AO$2,0))</f>
        <v>0</v>
      </c>
      <c r="J118" s="42"/>
      <c r="K118" s="83">
        <f t="shared" si="55"/>
        <v>0</v>
      </c>
      <c r="L118" s="34">
        <f>SUMIFS([7]BV_Data_An_Cour!$O:$O,[7]BV_Data_An_Cour!$U:$U,$B118,[7]BV_Data_An_Cour!$V:$V,$C118,[7]BV_Data_An_Cour!$W:$W,$L$2)</f>
        <v>0</v>
      </c>
      <c r="M118" s="42"/>
      <c r="N118" s="60">
        <f t="shared" si="56"/>
        <v>0</v>
      </c>
      <c r="O118" s="42"/>
      <c r="P118" s="83">
        <f t="shared" si="57"/>
        <v>0</v>
      </c>
      <c r="Q118" s="34">
        <f>SUMIFS([7]BV_Data_An_Prec!$O:$O,[7]BV_Data_An_Prec!$U:$U,$B118,[7]BV_Data_An_Prec!$V:$V,$C118,[7]BV_Data_An_Prec!$W:$W,$L$2)</f>
        <v>0</v>
      </c>
      <c r="R118" s="42"/>
      <c r="S118" s="86">
        <f t="shared" si="58"/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2"/>
        <v>Véhicules usagés[...]</v>
      </c>
      <c r="B119" s="12" t="s">
        <v>74</v>
      </c>
      <c r="C119" s="30" t="s">
        <v>21</v>
      </c>
      <c r="D119" s="82"/>
      <c r="E119" s="83">
        <f t="shared" si="53"/>
        <v>0</v>
      </c>
      <c r="F119" s="31">
        <f>+INDEX('[7]Budget original'!$A$2:$AO$496,MATCH($A119,'[7]Budget original'!$A$2:$A$496,0),MATCH(F$2,'[7]Budget original'!$A$2:$AO$2,0))</f>
        <v>0</v>
      </c>
      <c r="G119" s="84"/>
      <c r="H119" s="83">
        <f t="shared" si="54"/>
        <v>0</v>
      </c>
      <c r="I119" s="31">
        <f>+INDEX('[7]Budget révisé'!$A$2:$AO$496,MATCH($A119,'[7]Budget révisé'!$A$2:$A$496,0),MATCH(I$2,'[7]Budget révisé'!$A$2:$AO$2,0))</f>
        <v>0</v>
      </c>
      <c r="J119" s="42"/>
      <c r="K119" s="83">
        <f t="shared" si="55"/>
        <v>0</v>
      </c>
      <c r="L119" s="34">
        <f>SUMIFS([7]BV_Data_An_Cour!$O:$O,[7]BV_Data_An_Cour!$U:$U,$B119,[7]BV_Data_An_Cour!$V:$V,$C119,[7]BV_Data_An_Cour!$W:$W,$L$2)</f>
        <v>0</v>
      </c>
      <c r="M119" s="42"/>
      <c r="N119" s="60">
        <f t="shared" si="56"/>
        <v>0</v>
      </c>
      <c r="O119" s="42"/>
      <c r="P119" s="83">
        <f t="shared" si="57"/>
        <v>0</v>
      </c>
      <c r="Q119" s="34">
        <f>SUMIFS([7]BV_Data_An_Prec!$O:$O,[7]BV_Data_An_Prec!$U:$U,$B119,[7]BV_Data_An_Prec!$V:$V,$C119,[7]BV_Data_An_Prec!$W:$W,$L$2)</f>
        <v>0</v>
      </c>
      <c r="R119" s="42"/>
      <c r="S119" s="86">
        <f t="shared" si="58"/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2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+INDEX('[7]Budget original'!$A$2:$AO$496,MATCH($A120,'[7]Budget original'!$A$2:$A$496,0),MATCH(F$2,'[7]Budget original'!$A$2:$AO$2,0))</f>
        <v>0</v>
      </c>
      <c r="G120" s="84"/>
      <c r="H120" s="83">
        <f>I120/G$96</f>
        <v>0</v>
      </c>
      <c r="I120" s="31">
        <f>+INDEX('[7]Budget révisé'!$A$2:$AO$496,MATCH($A120,'[7]Budget révisé'!$A$2:$A$496,0),MATCH(I$2,'[7]Budget révisé'!$A$2:$AO$2,0))</f>
        <v>0</v>
      </c>
      <c r="J120" s="42"/>
      <c r="K120" s="83">
        <f>IF($J$96=0,0,L120/(J$94+J$95))</f>
        <v>0</v>
      </c>
      <c r="L120" s="34">
        <f>SUMIFS([7]BV_Data_An_Cour!$O:$O,[7]BV_Data_An_Cour!$U:$U,$B120,[7]BV_Data_An_Cour!$V:$V,$C120,[7]BV_Data_An_Cour!$W:$W,$L$2)</f>
        <v>0</v>
      </c>
      <c r="M120" s="42"/>
      <c r="N120" s="60">
        <f t="shared" si="56"/>
        <v>0</v>
      </c>
      <c r="O120" s="42"/>
      <c r="P120" s="83">
        <f>IF($J$96=0,0,Q120/(O$94+O$95))</f>
        <v>0</v>
      </c>
      <c r="Q120" s="34">
        <f>SUMIFS([7]BV_Data_An_Prec!$O:$O,[7]BV_Data_An_Prec!$U:$U,$B120,[7]BV_Data_An_Prec!$V:$V,$C120,[7]BV_Data_An_Prec!$W:$W,$L$2)</f>
        <v>0</v>
      </c>
      <c r="R120" s="42"/>
      <c r="S120" s="86">
        <f t="shared" si="58"/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2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0.4743469760948183</v>
      </c>
      <c r="F121" s="102">
        <f>SUM(F111:F120)</f>
        <v>43552.992993088315</v>
      </c>
      <c r="G121" s="103" t="s">
        <v>40</v>
      </c>
      <c r="H121" s="101">
        <f>I121/I$107</f>
        <v>0.4743469760948183</v>
      </c>
      <c r="I121" s="102">
        <f>SUM(I111:I120)</f>
        <v>43552.992993088315</v>
      </c>
      <c r="J121" s="103" t="s">
        <v>40</v>
      </c>
      <c r="K121" s="101">
        <f>L121/L$107</f>
        <v>0.40076471788779922</v>
      </c>
      <c r="L121" s="102">
        <f>SUM(L111:L120)</f>
        <v>50308.5</v>
      </c>
      <c r="M121" s="106"/>
      <c r="N121" s="102">
        <f t="shared" si="56"/>
        <v>6755.5070069116846</v>
      </c>
      <c r="O121" s="103" t="s">
        <v>40</v>
      </c>
      <c r="P121" s="101">
        <f>Q121/Q$107</f>
        <v>0.49842194018382369</v>
      </c>
      <c r="Q121" s="102">
        <f>SUM(Q111:Q120)</f>
        <v>38984.720000000001</v>
      </c>
      <c r="R121" s="106"/>
      <c r="S121" s="107">
        <f t="shared" si="58"/>
        <v>11323.779999999999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25">
      <c r="A122" t="str">
        <f t="shared" si="32"/>
        <v>Véhicules usagésSalaires cadres</v>
      </c>
      <c r="B122" s="12" t="s">
        <v>74</v>
      </c>
      <c r="C122" s="108" t="s">
        <v>42</v>
      </c>
      <c r="D122" s="14"/>
      <c r="E122" s="14"/>
      <c r="F122" s="31">
        <f>+INDEX('[7]Budget original'!$A$2:$AO$496,MATCH($A122,'[7]Budget original'!$A$2:$A$496,0),MATCH(F$2,'[7]Budget original'!$A$2:$AO$2,0))</f>
        <v>6544.9093869731805</v>
      </c>
      <c r="G122" s="42"/>
      <c r="H122" s="14"/>
      <c r="I122" s="31">
        <f>+INDEX('[7]Budget révisé'!$A$2:$AO$496,MATCH($A122,'[7]Budget révisé'!$A$2:$A$496,0),MATCH(I$2,'[7]Budget révisé'!$A$2:$AO$2,0))</f>
        <v>6544.9093869731805</v>
      </c>
      <c r="J122" s="42"/>
      <c r="K122" s="14"/>
      <c r="L122" s="34">
        <f>SUMIFS([7]BV_Data_An_Cour!$O:$O,[7]BV_Data_An_Cour!$U:$U,$B122,[7]BV_Data_An_Cour!$V:$V,$C122,[7]BV_Data_An_Cour!$W:$W,$L$2)</f>
        <v>16217.46</v>
      </c>
      <c r="M122" s="42"/>
      <c r="N122" s="60">
        <f t="shared" si="56"/>
        <v>9672.5506130268186</v>
      </c>
      <c r="O122" s="42"/>
      <c r="P122" s="14"/>
      <c r="Q122" s="34">
        <f>SUMIFS([7]BV_Data_An_Prec!$O:$O,[7]BV_Data_An_Prec!$U:$U,$B122,[7]BV_Data_An_Prec!$V:$V,$C122,[7]BV_Data_An_Prec!$W:$W,$L$2)</f>
        <v>7464.96</v>
      </c>
      <c r="R122" s="42"/>
      <c r="S122" s="86">
        <f t="shared" si="58"/>
        <v>8752.5</v>
      </c>
      <c r="T122" s="14"/>
      <c r="U122" s="14"/>
      <c r="V122" s="14" t="s">
        <v>244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25">
      <c r="A123" t="str">
        <f t="shared" si="32"/>
        <v>Véhicules usagésSalaires commis</v>
      </c>
      <c r="B123" s="12" t="s">
        <v>74</v>
      </c>
      <c r="C123" s="109" t="s">
        <v>43</v>
      </c>
      <c r="D123" s="82"/>
      <c r="E123" s="14"/>
      <c r="F123" s="23">
        <f>+INDEX('[7]Budget original'!$A$2:$AO$496,MATCH($A123,'[7]Budget original'!$A$2:$A$496,0),MATCH(F$2,'[7]Budget original'!$A$2:$AO$2,0))</f>
        <v>2228.7467866973179</v>
      </c>
      <c r="G123" s="84"/>
      <c r="H123" s="14"/>
      <c r="I123" s="23">
        <f>+INDEX('[7]Budget révisé'!$A$2:$AO$496,MATCH($A123,'[7]Budget révisé'!$A$2:$A$496,0),MATCH(I$2,'[7]Budget révisé'!$A$2:$AO$2,0))</f>
        <v>2228.7467866973179</v>
      </c>
      <c r="J123" s="42"/>
      <c r="K123" s="14"/>
      <c r="L123" s="23">
        <f>SUMIFS([7]BV_Data_An_Cour!$O:$O,[7]BV_Data_An_Cour!$U:$U,$B123,[7]BV_Data_An_Cour!$V:$V,$C123,[7]BV_Data_An_Cour!$W:$W,$L$2)</f>
        <v>2005.49</v>
      </c>
      <c r="M123" s="42"/>
      <c r="N123" s="60">
        <f t="shared" si="56"/>
        <v>-223.25678669731792</v>
      </c>
      <c r="O123" s="42"/>
      <c r="P123" s="14"/>
      <c r="Q123" s="23">
        <f>SUMIFS([7]BV_Data_An_Prec!$O:$O,[7]BV_Data_An_Prec!$U:$U,$B123,[7]BV_Data_An_Prec!$V:$V,$C123,[7]BV_Data_An_Prec!$W:$W,$L$2)</f>
        <v>3423.71</v>
      </c>
      <c r="R123" s="42"/>
      <c r="S123" s="86">
        <f t="shared" si="58"/>
        <v>-1418.22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25">
      <c r="A124" t="str">
        <f t="shared" si="32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+INDEX('[7]Budget original'!$A$2:$AO$496,MATCH($A124,'[7]Budget original'!$A$2:$A$496,0),MATCH(F$2,'[7]Budget original'!$A$2:$AO$2,0))</f>
        <v>7027.5993604413807</v>
      </c>
      <c r="G124" s="112"/>
      <c r="H124" s="111"/>
      <c r="I124" s="31">
        <f>+INDEX('[7]Budget révisé'!$A$2:$AO$496,MATCH($A124,'[7]Budget révisé'!$A$2:$A$496,0),MATCH(I$2,'[7]Budget révisé'!$A$2:$AO$2,0))</f>
        <v>7027.5993604413807</v>
      </c>
      <c r="J124" s="113"/>
      <c r="K124" s="111"/>
      <c r="L124" s="34">
        <f>SUMIFS([7]BV_Data_An_Cour!$O:$O,[7]BV_Data_An_Cour!$U:$U,$B124,[7]BV_Data_An_Cour!$V:$V,$C124,[7]BV_Data_An_Cour!$W:$W,$L$2)</f>
        <v>8226.7999999999993</v>
      </c>
      <c r="M124" s="113"/>
      <c r="N124" s="115">
        <f t="shared" si="56"/>
        <v>1199.2006395586186</v>
      </c>
      <c r="O124" s="113"/>
      <c r="P124" s="111"/>
      <c r="Q124" s="34">
        <f>SUMIFS([7]BV_Data_An_Prec!$O:$O,[7]BV_Data_An_Prec!$U:$U,$B124,[7]BV_Data_An_Prec!$V:$V,$C124,[7]BV_Data_An_Prec!$W:$W,$L$2)</f>
        <v>14461.09</v>
      </c>
      <c r="R124" s="113"/>
      <c r="S124" s="116">
        <f t="shared" si="58"/>
        <v>-6234.2900000000009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2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+INDEX('[7]Budget original'!$A$2:$AO$496,MATCH($A125,'[7]Budget original'!$A$2:$A$496,0),MATCH(F$2,'[7]Budget original'!$A$2:$AO$2,0))</f>
        <v>0</v>
      </c>
      <c r="G125" s="84"/>
      <c r="H125" s="14"/>
      <c r="I125" s="31">
        <f>+INDEX('[7]Budget révisé'!$A$2:$AO$496,MATCH($A125,'[7]Budget révisé'!$A$2:$A$496,0),MATCH(I$2,'[7]Budget révisé'!$A$2:$AO$2,0))</f>
        <v>0</v>
      </c>
      <c r="J125" s="42"/>
      <c r="K125" s="14"/>
      <c r="L125" s="34">
        <f>SUMIFS([7]BV_Data_An_Cour!$O:$O,[7]BV_Data_An_Cour!$U:$U,$B125,[7]BV_Data_An_Cour!$V:$V,$C125,[7]BV_Data_An_Cour!$W:$W,$L$2)</f>
        <v>0</v>
      </c>
      <c r="M125" s="42"/>
      <c r="N125" s="60">
        <f t="shared" si="56"/>
        <v>0</v>
      </c>
      <c r="O125" s="42"/>
      <c r="P125" s="14"/>
      <c r="Q125" s="34">
        <f>SUMIFS([7]BV_Data_An_Prec!$O:$O,[7]BV_Data_An_Prec!$U:$U,$B125,[7]BV_Data_An_Prec!$V:$V,$C125,[7]BV_Data_An_Prec!$W:$W,$L$2)</f>
        <v>0</v>
      </c>
      <c r="R125" s="42"/>
      <c r="S125" s="86">
        <f t="shared" si="58"/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2"/>
        <v>Véhicules usagés[...]</v>
      </c>
      <c r="B126" s="12" t="s">
        <v>74</v>
      </c>
      <c r="C126" s="108" t="s">
        <v>21</v>
      </c>
      <c r="D126" s="82"/>
      <c r="E126" s="14"/>
      <c r="F126" s="31">
        <f>+INDEX('[7]Budget original'!$A$2:$AO$496,MATCH($A126,'[7]Budget original'!$A$2:$A$496,0),MATCH(F$2,'[7]Budget original'!$A$2:$AO$2,0))</f>
        <v>0</v>
      </c>
      <c r="G126" s="84"/>
      <c r="H126" s="14"/>
      <c r="I126" s="31">
        <f>+INDEX('[7]Budget révisé'!$A$2:$AO$496,MATCH($A126,'[7]Budget révisé'!$A$2:$A$496,0),MATCH(I$2,'[7]Budget révisé'!$A$2:$AO$2,0))</f>
        <v>0</v>
      </c>
      <c r="J126" s="42"/>
      <c r="K126" s="14"/>
      <c r="L126" s="34">
        <f>SUMIFS([7]BV_Data_An_Cour!$O:$O,[7]BV_Data_An_Cour!$U:$U,$B126,[7]BV_Data_An_Cour!$V:$V,$C126,[7]BV_Data_An_Cour!$W:$W,$L$2)</f>
        <v>0</v>
      </c>
      <c r="M126" s="42"/>
      <c r="N126" s="60">
        <f t="shared" si="56"/>
        <v>0</v>
      </c>
      <c r="O126" s="42"/>
      <c r="P126" s="14"/>
      <c r="Q126" s="34">
        <f>SUMIFS([7]BV_Data_An_Prec!$O:$O,[7]BV_Data_An_Prec!$U:$U,$B126,[7]BV_Data_An_Prec!$V:$V,$C126,[7]BV_Data_An_Prec!$W:$W,$L$2)</f>
        <v>0</v>
      </c>
      <c r="R126" s="42"/>
      <c r="S126" s="86">
        <f t="shared" si="58"/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2"/>
        <v>Véhicules usagés[...]</v>
      </c>
      <c r="B127" s="12" t="s">
        <v>74</v>
      </c>
      <c r="C127" s="108" t="s">
        <v>21</v>
      </c>
      <c r="D127" s="82"/>
      <c r="E127" s="14"/>
      <c r="F127" s="31">
        <f>+INDEX('[7]Budget original'!$A$2:$AO$496,MATCH($A127,'[7]Budget original'!$A$2:$A$496,0),MATCH(F$2,'[7]Budget original'!$A$2:$AO$2,0))</f>
        <v>0</v>
      </c>
      <c r="G127" s="84"/>
      <c r="H127" s="14"/>
      <c r="I127" s="31">
        <f>+INDEX('[7]Budget révisé'!$A$2:$AO$496,MATCH($A127,'[7]Budget révisé'!$A$2:$A$496,0),MATCH(I$2,'[7]Budget révisé'!$A$2:$AO$2,0))</f>
        <v>0</v>
      </c>
      <c r="J127" s="42"/>
      <c r="K127" s="14"/>
      <c r="L127" s="34">
        <f>SUMIFS([7]BV_Data_An_Cour!$O:$O,[7]BV_Data_An_Cour!$U:$U,$B127,[7]BV_Data_An_Cour!$V:$V,$C127,[7]BV_Data_An_Cour!$W:$W,$L$2)</f>
        <v>0</v>
      </c>
      <c r="M127" s="42"/>
      <c r="N127" s="60">
        <f t="shared" si="56"/>
        <v>0</v>
      </c>
      <c r="O127" s="42"/>
      <c r="P127" s="14"/>
      <c r="Q127" s="34">
        <f>SUMIFS([7]BV_Data_An_Prec!$O:$O,[7]BV_Data_An_Prec!$U:$U,$B127,[7]BV_Data_An_Prec!$V:$V,$C127,[7]BV_Data_An_Prec!$W:$W,$L$2)</f>
        <v>0</v>
      </c>
      <c r="R127" s="42"/>
      <c r="S127" s="86">
        <f t="shared" si="58"/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2"/>
        <v>Véhicules usagés[...]</v>
      </c>
      <c r="B128" s="12" t="s">
        <v>74</v>
      </c>
      <c r="C128" s="108" t="s">
        <v>21</v>
      </c>
      <c r="D128" s="82"/>
      <c r="E128" s="14"/>
      <c r="F128" s="31">
        <f>+INDEX('[7]Budget original'!$A$2:$AO$496,MATCH($A128,'[7]Budget original'!$A$2:$A$496,0),MATCH(F$2,'[7]Budget original'!$A$2:$AO$2,0))</f>
        <v>0</v>
      </c>
      <c r="G128" s="84"/>
      <c r="H128" s="14"/>
      <c r="I128" s="31">
        <f>+INDEX('[7]Budget révisé'!$A$2:$AO$496,MATCH($A128,'[7]Budget révisé'!$A$2:$A$496,0),MATCH(I$2,'[7]Budget révisé'!$A$2:$AO$2,0))</f>
        <v>0</v>
      </c>
      <c r="J128" s="42"/>
      <c r="K128" s="14"/>
      <c r="L128" s="34">
        <f>SUMIFS([7]BV_Data_An_Cour!$O:$O,[7]BV_Data_An_Cour!$U:$U,$B128,[7]BV_Data_An_Cour!$V:$V,$C128,[7]BV_Data_An_Cour!$W:$W,$L$2)</f>
        <v>0</v>
      </c>
      <c r="M128" s="42"/>
      <c r="N128" s="60">
        <f t="shared" si="56"/>
        <v>0</v>
      </c>
      <c r="O128" s="42"/>
      <c r="P128" s="14"/>
      <c r="Q128" s="34">
        <f>SUMIFS([7]BV_Data_An_Prec!$O:$O,[7]BV_Data_An_Prec!$U:$U,$B128,[7]BV_Data_An_Prec!$V:$V,$C128,[7]BV_Data_An_Prec!$W:$W,$L$2)</f>
        <v>0</v>
      </c>
      <c r="R128" s="42"/>
      <c r="S128" s="86">
        <f t="shared" si="58"/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2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+INDEX('[7]Budget original'!$A$2:$AO$496,MATCH($A129,'[7]Budget original'!$A$2:$A$496,0),MATCH(F$2,'[7]Budget original'!$A$2:$AO$2,0))</f>
        <v>5898.5500720465261</v>
      </c>
      <c r="G129" s="84"/>
      <c r="H129" s="14"/>
      <c r="I129" s="31">
        <f>+INDEX('[7]Budget révisé'!$A$2:$AO$496,MATCH($A129,'[7]Budget révisé'!$A$2:$A$496,0),MATCH(I$2,'[7]Budget révisé'!$A$2:$AO$2,0))</f>
        <v>5898.5500720465261</v>
      </c>
      <c r="J129" s="42"/>
      <c r="K129" s="14"/>
      <c r="L129" s="34">
        <f>SUMIFS([7]BV_Data_An_Cour!$O:$O,[7]BV_Data_An_Cour!$U:$U,$B129,[7]BV_Data_An_Cour!$V:$V,$C129,[7]BV_Data_An_Cour!$W:$W,$L$2)</f>
        <v>4228.84</v>
      </c>
      <c r="M129" s="42"/>
      <c r="N129" s="60">
        <f t="shared" si="56"/>
        <v>-1669.710072046526</v>
      </c>
      <c r="O129" s="42"/>
      <c r="P129" s="14"/>
      <c r="Q129" s="34">
        <f>SUMIFS([7]BV_Data_An_Prec!$O:$O,[7]BV_Data_An_Prec!$U:$U,$B129,[7]BV_Data_An_Prec!$V:$V,$C129,[7]BV_Data_An_Prec!$W:$W,$L$2)</f>
        <v>5737.96</v>
      </c>
      <c r="R129" s="42"/>
      <c r="S129" s="86">
        <f t="shared" si="58"/>
        <v>-1509.12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2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+INDEX('[7]Budget original'!$A$2:$AO$496,MATCH($A130,'[7]Budget original'!$A$2:$A$496,0),MATCH(F$2,'[7]Budget original'!$A$2:$AO$2,0))</f>
        <v>5898.5500720465261</v>
      </c>
      <c r="G130" s="112"/>
      <c r="H130" s="111"/>
      <c r="I130" s="55">
        <f>+INDEX('[7]Budget révisé'!$A$2:$AO$496,MATCH($A130,'[7]Budget révisé'!$A$2:$A$496,0),MATCH(I$2,'[7]Budget révisé'!$A$2:$AO$2,0))</f>
        <v>5898.5500720465261</v>
      </c>
      <c r="J130" s="113"/>
      <c r="K130" s="111"/>
      <c r="L130" s="56">
        <f>SUMIFS([7]BV_Data_An_Cour!$O:$O,[7]BV_Data_An_Cour!$U:$U,$B130,[7]BV_Data_An_Cour!$V:$V,$C130,[7]BV_Data_An_Cour!$W:$W,$L$2)</f>
        <v>7449.83</v>
      </c>
      <c r="M130" s="113"/>
      <c r="N130" s="115">
        <f t="shared" si="56"/>
        <v>1551.2799279534738</v>
      </c>
      <c r="O130" s="113"/>
      <c r="P130" s="111"/>
      <c r="Q130" s="56">
        <f>SUMIFS([7]BV_Data_An_Prec!$O:$O,[7]BV_Data_An_Prec!$U:$U,$B130,[7]BV_Data_An_Prec!$V:$V,$C130,[7]BV_Data_An_Prec!$W:$W,$L$2)</f>
        <v>5904.08</v>
      </c>
      <c r="R130" s="113"/>
      <c r="S130" s="116">
        <f t="shared" si="58"/>
        <v>1545.75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2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+INDEX('[7]Budget original'!$A$2:$AO$496,MATCH($A131,'[7]Budget original'!$A$2:$A$496,0),MATCH(F$2,'[7]Budget original'!$A$2:$AO$2,0))</f>
        <v>4227.2942183000105</v>
      </c>
      <c r="G131" s="84"/>
      <c r="H131" s="14"/>
      <c r="I131" s="31">
        <f>+INDEX('[7]Budget révisé'!$A$2:$AO$496,MATCH($A131,'[7]Budget révisé'!$A$2:$A$496,0),MATCH(I$2,'[7]Budget révisé'!$A$2:$AO$2,0))</f>
        <v>4227.2942183000105</v>
      </c>
      <c r="J131" s="42"/>
      <c r="K131" s="14"/>
      <c r="L131" s="34">
        <f>SUMIFS([7]BV_Data_An_Cour!$O:$O,[7]BV_Data_An_Cour!$U:$U,$B131,[7]BV_Data_An_Cour!$V:$V,$C131,[7]BV_Data_An_Cour!$W:$W,$L$2)</f>
        <v>5339.04</v>
      </c>
      <c r="M131" s="42"/>
      <c r="N131" s="60">
        <f t="shared" si="56"/>
        <v>1111.7457816999895</v>
      </c>
      <c r="O131" s="42"/>
      <c r="P131" s="14"/>
      <c r="Q131" s="34">
        <f>SUMIFS([7]BV_Data_An_Prec!$O:$O,[7]BV_Data_An_Prec!$U:$U,$B131,[7]BV_Data_An_Prec!$V:$V,$C131,[7]BV_Data_An_Prec!$W:$W,$L$2)</f>
        <v>3696.06</v>
      </c>
      <c r="R131" s="42"/>
      <c r="S131" s="86">
        <f t="shared" si="58"/>
        <v>1642.98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2"/>
        <v>Véhicules usagésCsst</v>
      </c>
      <c r="B132" s="12" t="s">
        <v>74</v>
      </c>
      <c r="C132" s="108" t="s">
        <v>49</v>
      </c>
      <c r="D132" s="82"/>
      <c r="E132" s="14"/>
      <c r="F132" s="31">
        <f>+INDEX('[7]Budget original'!$A$2:$AO$496,MATCH($A132,'[7]Budget original'!$A$2:$A$496,0),MATCH(F$2,'[7]Budget original'!$A$2:$AO$2,0))</f>
        <v>983.09167867442113</v>
      </c>
      <c r="G132" s="84"/>
      <c r="H132" s="14"/>
      <c r="I132" s="31">
        <f>+INDEX('[7]Budget révisé'!$A$2:$AO$496,MATCH($A132,'[7]Budget révisé'!$A$2:$A$496,0),MATCH(I$2,'[7]Budget révisé'!$A$2:$AO$2,0))</f>
        <v>983.09167867442113</v>
      </c>
      <c r="J132" s="42"/>
      <c r="K132" s="14"/>
      <c r="L132" s="34">
        <f>SUMIFS([7]BV_Data_An_Cour!$O:$O,[7]BV_Data_An_Cour!$U:$U,$B132,[7]BV_Data_An_Cour!$V:$V,$C132,[7]BV_Data_An_Cour!$W:$W,$L$2)</f>
        <v>1241.6400000000001</v>
      </c>
      <c r="M132" s="42"/>
      <c r="N132" s="60">
        <f t="shared" si="56"/>
        <v>258.54832132557897</v>
      </c>
      <c r="O132" s="42"/>
      <c r="P132" s="14"/>
      <c r="Q132" s="34">
        <f>SUMIFS([7]BV_Data_An_Prec!$O:$O,[7]BV_Data_An_Prec!$U:$U,$B132,[7]BV_Data_An_Prec!$V:$V,$C132,[7]BV_Data_An_Prec!$W:$W,$L$2)</f>
        <v>1337.25</v>
      </c>
      <c r="R132" s="42"/>
      <c r="S132" s="86">
        <f t="shared" si="58"/>
        <v>-95.6099999999999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2"/>
        <v>Véhicules usagés[...]</v>
      </c>
      <c r="B133" s="12" t="s">
        <v>74</v>
      </c>
      <c r="C133" s="30" t="s">
        <v>21</v>
      </c>
      <c r="D133" s="89"/>
      <c r="E133" s="117"/>
      <c r="F133" s="31">
        <f>+INDEX('[7]Budget original'!$A$2:$AO$496,MATCH($A133,'[7]Budget original'!$A$2:$A$496,0),MATCH(F$2,'[7]Budget original'!$A$2:$AO$2,0))</f>
        <v>0</v>
      </c>
      <c r="G133" s="91"/>
      <c r="H133" s="117"/>
      <c r="I133" s="31">
        <f>+INDEX('[7]Budget révisé'!$A$2:$AO$496,MATCH($A133,'[7]Budget révisé'!$A$2:$A$496,0),MATCH(I$2,'[7]Budget révisé'!$A$2:$AO$2,0))</f>
        <v>0</v>
      </c>
      <c r="J133" s="24"/>
      <c r="K133" s="117"/>
      <c r="L133" s="34">
        <f>SUMIFS([7]BV_Data_An_Cour!$O:$O,[7]BV_Data_An_Cour!$U:$U,$B133,[7]BV_Data_An_Cour!$V:$V,$C133,[7]BV_Data_An_Cour!$W:$W,$L$2)</f>
        <v>0</v>
      </c>
      <c r="M133" s="24"/>
      <c r="N133" s="153">
        <f t="shared" si="56"/>
        <v>0</v>
      </c>
      <c r="O133" s="24"/>
      <c r="P133" s="117"/>
      <c r="Q133" s="34">
        <f>SUMIFS([7]BV_Data_An_Prec!$O:$O,[7]BV_Data_An_Prec!$U:$U,$B133,[7]BV_Data_An_Prec!$V:$V,$C133,[7]BV_Data_An_Prec!$W:$W,$L$2)</f>
        <v>0</v>
      </c>
      <c r="R133" s="24"/>
      <c r="S133" s="95">
        <f t="shared" si="58"/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2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0.35732853900838507</v>
      </c>
      <c r="F134" s="102">
        <f>+SUM(F122:F133)</f>
        <v>32808.741575179367</v>
      </c>
      <c r="G134" s="103" t="s">
        <v>40</v>
      </c>
      <c r="H134" s="101">
        <f>I134/I$107</f>
        <v>0.35732853900838507</v>
      </c>
      <c r="I134" s="102">
        <f>+SUM(I122:I133)</f>
        <v>32808.741575179367</v>
      </c>
      <c r="J134" s="103" t="s">
        <v>40</v>
      </c>
      <c r="K134" s="101">
        <f>L134/L$107</f>
        <v>0.35615909535202606</v>
      </c>
      <c r="L134" s="102">
        <f>SUM(L122:L133)</f>
        <v>44709.1</v>
      </c>
      <c r="M134" s="154"/>
      <c r="N134" s="119">
        <f t="shared" si="56"/>
        <v>11900.358424820632</v>
      </c>
      <c r="O134" s="103" t="s">
        <v>40</v>
      </c>
      <c r="P134" s="101">
        <f>Q134/Q$107</f>
        <v>0.53729350531794529</v>
      </c>
      <c r="Q134" s="102">
        <f>SUM(Q122:Q133)</f>
        <v>42025.11</v>
      </c>
      <c r="R134" s="154"/>
      <c r="S134" s="120">
        <f t="shared" si="58"/>
        <v>2683.989999999998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2"/>
        <v>Véhicules usagésPublicité 2</v>
      </c>
      <c r="B135" s="12" t="s">
        <v>74</v>
      </c>
      <c r="C135" s="30" t="s">
        <v>51</v>
      </c>
      <c r="D135" s="82"/>
      <c r="E135" s="14"/>
      <c r="F135" s="31">
        <f>+INDEX('[7]Budget original'!$A$2:$AO$496,MATCH($A135,'[7]Budget original'!$A$2:$A$496,0),MATCH(F$2,'[7]Budget original'!$A$2:$AO$2,0))</f>
        <v>0</v>
      </c>
      <c r="G135" s="84"/>
      <c r="H135" s="14"/>
      <c r="I135" s="31">
        <f>+INDEX('[7]Budget révisé'!$A$2:$AO$496,MATCH($A135,'[7]Budget révisé'!$A$2:$A$496,0),MATCH(I$2,'[7]Budget révisé'!$A$2:$AO$2,0))</f>
        <v>0</v>
      </c>
      <c r="J135" s="42"/>
      <c r="K135" s="14"/>
      <c r="L135" s="34">
        <f>SUMIFS([7]BV_Data_An_Cour!$O:$O,[7]BV_Data_An_Cour!$U:$U,$B135,[7]BV_Data_An_Cour!$V:$V,$C135,[7]BV_Data_An_Cour!$W:$W,$L$2)</f>
        <v>0</v>
      </c>
      <c r="M135" s="42"/>
      <c r="N135" s="60">
        <f t="shared" si="56"/>
        <v>0</v>
      </c>
      <c r="O135" s="42"/>
      <c r="P135" s="14"/>
      <c r="Q135" s="34">
        <f>SUMIFS([7]BV_Data_An_Prec!$O:$O,[7]BV_Data_An_Prec!$U:$U,$B135,[7]BV_Data_An_Prec!$V:$V,$C135,[7]BV_Data_An_Prec!$W:$W,$L$2)</f>
        <v>0</v>
      </c>
      <c r="R135" s="42"/>
      <c r="S135" s="86">
        <f t="shared" si="58"/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2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+INDEX('[7]Budget original'!$A$2:$AO$496,MATCH($A136,'[7]Budget original'!$A$2:$A$496,0),MATCH(F$2,'[7]Budget original'!$A$2:$AO$2,0))</f>
        <v>0</v>
      </c>
      <c r="G136" s="84"/>
      <c r="H136" s="14"/>
      <c r="I136" s="31">
        <f>+INDEX('[7]Budget révisé'!$A$2:$AO$496,MATCH($A136,'[7]Budget révisé'!$A$2:$A$496,0),MATCH(I$2,'[7]Budget révisé'!$A$2:$AO$2,0))</f>
        <v>0</v>
      </c>
      <c r="J136" s="42"/>
      <c r="K136" s="14"/>
      <c r="L136" s="34">
        <f>SUMIFS([7]BV_Data_An_Cour!$O:$O,[7]BV_Data_An_Cour!$U:$U,$B136,[7]BV_Data_An_Cour!$V:$V,$C136,[7]BV_Data_An_Cour!$W:$W,$L$2)</f>
        <v>0</v>
      </c>
      <c r="M136" s="42"/>
      <c r="N136" s="60">
        <f t="shared" si="56"/>
        <v>0</v>
      </c>
      <c r="O136" s="42"/>
      <c r="P136" s="14"/>
      <c r="Q136" s="34">
        <f>SUMIFS([7]BV_Data_An_Prec!$O:$O,[7]BV_Data_An_Prec!$U:$U,$B136,[7]BV_Data_An_Prec!$V:$V,$C136,[7]BV_Data_An_Prec!$W:$W,$L$2)</f>
        <v>0</v>
      </c>
      <c r="R136" s="42"/>
      <c r="S136" s="86">
        <f t="shared" si="58"/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2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+INDEX('[7]Budget original'!$A$2:$AO$496,MATCH($A137,'[7]Budget original'!$A$2:$A$496,0),MATCH(F$2,'[7]Budget original'!$A$2:$AO$2,0))</f>
        <v>215.04</v>
      </c>
      <c r="G137" s="91"/>
      <c r="H137" s="117"/>
      <c r="I137" s="23">
        <f>+INDEX('[7]Budget révisé'!$A$2:$AO$496,MATCH($A137,'[7]Budget révisé'!$A$2:$A$496,0),MATCH(I$2,'[7]Budget révisé'!$A$2:$AO$2,0))</f>
        <v>215.04</v>
      </c>
      <c r="J137" s="24"/>
      <c r="K137" s="117"/>
      <c r="L137" s="23">
        <f>SUMIFS([7]BV_Data_An_Cour!$O:$O,[7]BV_Data_An_Cour!$U:$U,$B137,[7]BV_Data_An_Cour!$V:$V,$C137,[7]BV_Data_An_Cour!$W:$W,$L$2)</f>
        <v>200.89</v>
      </c>
      <c r="M137" s="24"/>
      <c r="N137" s="94">
        <f t="shared" si="56"/>
        <v>-14.150000000000006</v>
      </c>
      <c r="O137" s="24"/>
      <c r="P137" s="117"/>
      <c r="Q137" s="23">
        <f>SUMIFS([7]BV_Data_An_Prec!$O:$O,[7]BV_Data_An_Prec!$U:$U,$B137,[7]BV_Data_An_Prec!$V:$V,$C137,[7]BV_Data_An_Prec!$W:$W,$L$2)</f>
        <v>557.38</v>
      </c>
      <c r="R137" s="24"/>
      <c r="S137" s="95">
        <f t="shared" si="58"/>
        <v>-356.49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2"/>
        <v>Véhicules usagésInformatique</v>
      </c>
      <c r="B138" s="12" t="s">
        <v>74</v>
      </c>
      <c r="C138" s="30" t="s">
        <v>54</v>
      </c>
      <c r="D138" s="82"/>
      <c r="E138" s="14"/>
      <c r="F138" s="31">
        <f>+INDEX('[7]Budget original'!$A$2:$AO$496,MATCH($A138,'[7]Budget original'!$A$2:$A$496,0),MATCH(F$2,'[7]Budget original'!$A$2:$AO$2,0))</f>
        <v>2662.7736</v>
      </c>
      <c r="G138" s="84"/>
      <c r="H138" s="14"/>
      <c r="I138" s="31">
        <f>+INDEX('[7]Budget révisé'!$A$2:$AO$496,MATCH($A138,'[7]Budget révisé'!$A$2:$A$496,0),MATCH(I$2,'[7]Budget révisé'!$A$2:$AO$2,0))</f>
        <v>2662.7736</v>
      </c>
      <c r="J138" s="42"/>
      <c r="K138" s="14"/>
      <c r="L138" s="34">
        <f>SUMIFS([7]BV_Data_An_Cour!$O:$O,[7]BV_Data_An_Cour!$U:$U,$B138,[7]BV_Data_An_Cour!$V:$V,$C138,[7]BV_Data_An_Cour!$W:$W,$L$2)</f>
        <v>1675.51</v>
      </c>
      <c r="M138" s="42"/>
      <c r="N138" s="60">
        <f t="shared" si="56"/>
        <v>-987.2636</v>
      </c>
      <c r="O138" s="42"/>
      <c r="P138" s="14"/>
      <c r="Q138" s="34">
        <f>SUMIFS([7]BV_Data_An_Prec!$O:$O,[7]BV_Data_An_Prec!$U:$U,$B138,[7]BV_Data_An_Prec!$V:$V,$C138,[7]BV_Data_An_Prec!$W:$W,$L$2)</f>
        <v>2390.17</v>
      </c>
      <c r="R138" s="42"/>
      <c r="S138" s="86">
        <f t="shared" si="58"/>
        <v>-714.66000000000008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2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+INDEX('[7]Budget original'!$A$2:$AO$496,MATCH($A139,'[7]Budget original'!$A$2:$A$496,0),MATCH(F$2,'[7]Budget original'!$A$2:$AO$2,0))</f>
        <v>598.68629999999996</v>
      </c>
      <c r="G139" s="84"/>
      <c r="H139" s="14"/>
      <c r="I139" s="31">
        <f>+INDEX('[7]Budget révisé'!$A$2:$AO$496,MATCH($A139,'[7]Budget révisé'!$A$2:$A$496,0),MATCH(I$2,'[7]Budget révisé'!$A$2:$AO$2,0))</f>
        <v>598.68629999999996</v>
      </c>
      <c r="J139" s="42"/>
      <c r="K139" s="14"/>
      <c r="L139" s="34">
        <f>SUMIFS([7]BV_Data_An_Cour!$O:$O,[7]BV_Data_An_Cour!$U:$U,$B139,[7]BV_Data_An_Cour!$V:$V,$C139,[7]BV_Data_An_Cour!$W:$W,$L$2)</f>
        <v>283.38</v>
      </c>
      <c r="M139" s="42"/>
      <c r="N139" s="60">
        <f t="shared" si="56"/>
        <v>-315.30629999999996</v>
      </c>
      <c r="O139" s="42"/>
      <c r="P139" s="14"/>
      <c r="Q139" s="34">
        <f>SUMIFS([7]BV_Data_An_Prec!$O:$O,[7]BV_Data_An_Prec!$U:$U,$B139,[7]BV_Data_An_Prec!$V:$V,$C139,[7]BV_Data_An_Prec!$W:$W,$L$2)</f>
        <v>729.24</v>
      </c>
      <c r="R139" s="42"/>
      <c r="S139" s="86">
        <f t="shared" si="58"/>
        <v>-445.86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2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+INDEX('[7]Budget original'!$A$2:$AO$496,MATCH($A140,'[7]Budget original'!$A$2:$A$496,0),MATCH(F$2,'[7]Budget original'!$A$2:$AO$2,0))</f>
        <v>2766.5604999999996</v>
      </c>
      <c r="G140" s="91"/>
      <c r="H140" s="117"/>
      <c r="I140" s="23">
        <f>+INDEX('[7]Budget révisé'!$A$2:$AO$496,MATCH($A140,'[7]Budget révisé'!$A$2:$A$496,0),MATCH(I$2,'[7]Budget révisé'!$A$2:$AO$2,0))</f>
        <v>2766.5604999999996</v>
      </c>
      <c r="J140" s="24"/>
      <c r="K140" s="117"/>
      <c r="L140" s="23">
        <f>SUMIFS([7]BV_Data_An_Cour!$O:$O,[7]BV_Data_An_Cour!$U:$U,$B140,[7]BV_Data_An_Cour!$V:$V,$C140,[7]BV_Data_An_Cour!$W:$W,$L$2)</f>
        <v>1067.22</v>
      </c>
      <c r="M140" s="24"/>
      <c r="N140" s="94">
        <f t="shared" si="56"/>
        <v>-1699.3404999999996</v>
      </c>
      <c r="O140" s="24"/>
      <c r="P140" s="117"/>
      <c r="Q140" s="23">
        <f>SUMIFS([7]BV_Data_An_Prec!$O:$O,[7]BV_Data_An_Prec!$U:$U,$B140,[7]BV_Data_An_Prec!$V:$V,$C140,[7]BV_Data_An_Prec!$W:$W,$L$2)</f>
        <v>1765.82</v>
      </c>
      <c r="R140" s="24"/>
      <c r="S140" s="95">
        <f t="shared" si="58"/>
        <v>-698.59999999999991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2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+INDEX('[7]Budget original'!$A$2:$AO$496,MATCH($A141,'[7]Budget original'!$A$2:$A$496,0),MATCH(F$2,'[7]Budget original'!$A$2:$AO$2,0))</f>
        <v>143.06777098814061</v>
      </c>
      <c r="G141" s="84"/>
      <c r="H141" s="14"/>
      <c r="I141" s="31">
        <f>+INDEX('[7]Budget révisé'!$A$2:$AO$496,MATCH($A141,'[7]Budget révisé'!$A$2:$A$496,0),MATCH(I$2,'[7]Budget révisé'!$A$2:$AO$2,0))</f>
        <v>143.06777098814061</v>
      </c>
      <c r="J141" s="42"/>
      <c r="K141" s="14"/>
      <c r="L141" s="34">
        <f>SUMIFS([7]BV_Data_An_Cour!$O:$O,[7]BV_Data_An_Cour!$U:$U,$B141,[7]BV_Data_An_Cour!$V:$V,$C141,[7]BV_Data_An_Cour!$W:$W,$L$2)</f>
        <v>3.35</v>
      </c>
      <c r="M141" s="42"/>
      <c r="N141" s="60">
        <f t="shared" si="56"/>
        <v>-139.71777098814061</v>
      </c>
      <c r="O141" s="42"/>
      <c r="P141" s="14"/>
      <c r="Q141" s="34">
        <f>SUMIFS([7]BV_Data_An_Prec!$O:$O,[7]BV_Data_An_Prec!$U:$U,$B141,[7]BV_Data_An_Prec!$V:$V,$C141,[7]BV_Data_An_Prec!$W:$W,$L$2)</f>
        <v>135</v>
      </c>
      <c r="R141" s="42"/>
      <c r="S141" s="86">
        <f t="shared" si="58"/>
        <v>-131.65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2"/>
        <v>Véhicules usagésUniformes</v>
      </c>
      <c r="B142" s="12" t="s">
        <v>74</v>
      </c>
      <c r="C142" s="30" t="s">
        <v>58</v>
      </c>
      <c r="D142" s="82"/>
      <c r="E142" s="14"/>
      <c r="F142" s="31">
        <f>+INDEX('[7]Budget original'!$A$2:$AO$496,MATCH($A142,'[7]Budget original'!$A$2:$A$496,0),MATCH(F$2,'[7]Budget original'!$A$2:$AO$2,0))</f>
        <v>10</v>
      </c>
      <c r="G142" s="84"/>
      <c r="H142" s="14"/>
      <c r="I142" s="31">
        <f>+INDEX('[7]Budget révisé'!$A$2:$AO$496,MATCH($A142,'[7]Budget révisé'!$A$2:$A$496,0),MATCH(I$2,'[7]Budget révisé'!$A$2:$AO$2,0))</f>
        <v>10</v>
      </c>
      <c r="J142" s="42"/>
      <c r="K142" s="14"/>
      <c r="L142" s="34">
        <f>SUMIFS([7]BV_Data_An_Cour!$O:$O,[7]BV_Data_An_Cour!$U:$U,$B142,[7]BV_Data_An_Cour!$V:$V,$C142,[7]BV_Data_An_Cour!$W:$W,$L$2)</f>
        <v>0</v>
      </c>
      <c r="M142" s="42"/>
      <c r="N142" s="60">
        <f t="shared" si="56"/>
        <v>-10</v>
      </c>
      <c r="O142" s="42"/>
      <c r="P142" s="14"/>
      <c r="Q142" s="34">
        <f>SUMIFS([7]BV_Data_An_Prec!$O:$O,[7]BV_Data_An_Prec!$U:$U,$B142,[7]BV_Data_An_Prec!$V:$V,$C142,[7]BV_Data_An_Prec!$W:$W,$L$2)</f>
        <v>10</v>
      </c>
      <c r="R142" s="42"/>
      <c r="S142" s="86">
        <f t="shared" si="58"/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2"/>
        <v>Véhicules usagésPapeterie</v>
      </c>
      <c r="B143" s="12" t="s">
        <v>74</v>
      </c>
      <c r="C143" s="30" t="s">
        <v>59</v>
      </c>
      <c r="D143" s="82"/>
      <c r="E143" s="14"/>
      <c r="F143" s="31">
        <f>+INDEX('[7]Budget original'!$A$2:$AO$496,MATCH($A143,'[7]Budget original'!$A$2:$A$496,0),MATCH(F$2,'[7]Budget original'!$A$2:$AO$2,0))</f>
        <v>261.59999999999997</v>
      </c>
      <c r="G143" s="84"/>
      <c r="H143" s="14"/>
      <c r="I143" s="31">
        <f>+INDEX('[7]Budget révisé'!$A$2:$AO$496,MATCH($A143,'[7]Budget révisé'!$A$2:$A$496,0),MATCH(I$2,'[7]Budget révisé'!$A$2:$AO$2,0))</f>
        <v>261.59999999999997</v>
      </c>
      <c r="J143" s="42"/>
      <c r="K143" s="14"/>
      <c r="L143" s="33">
        <f>SUMIFS([7]BV_Data_An_Cour!$O:$O,[7]BV_Data_An_Cour!$U:$U,$B143,[7]BV_Data_An_Cour!$V:$V,$C143,[7]BV_Data_An_Cour!$W:$W,$L$2)</f>
        <v>239.91</v>
      </c>
      <c r="M143" s="42"/>
      <c r="N143" s="60">
        <f t="shared" si="56"/>
        <v>-21.689999999999969</v>
      </c>
      <c r="O143" s="42"/>
      <c r="P143" s="14"/>
      <c r="Q143" s="33">
        <f>SUMIFS([7]BV_Data_An_Prec!$O:$O,[7]BV_Data_An_Prec!$U:$U,$B143,[7]BV_Data_An_Prec!$V:$V,$C143,[7]BV_Data_An_Prec!$W:$W,$L$2)</f>
        <v>222</v>
      </c>
      <c r="R143" s="42"/>
      <c r="S143" s="86">
        <f t="shared" si="58"/>
        <v>17.909999999999997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2"/>
        <v>Véhicules usagésTéléphone</v>
      </c>
      <c r="B144" s="12" t="s">
        <v>74</v>
      </c>
      <c r="C144" s="30" t="s">
        <v>60</v>
      </c>
      <c r="D144" s="82"/>
      <c r="E144" s="14"/>
      <c r="F144" s="31">
        <f>+INDEX('[7]Budget original'!$A$2:$AO$496,MATCH($A144,'[7]Budget original'!$A$2:$A$496,0),MATCH(F$2,'[7]Budget original'!$A$2:$AO$2,0))</f>
        <v>268.09199999999998</v>
      </c>
      <c r="G144" s="84"/>
      <c r="H144" s="14"/>
      <c r="I144" s="31">
        <f>+INDEX('[7]Budget révisé'!$A$2:$AO$496,MATCH($A144,'[7]Budget révisé'!$A$2:$A$496,0),MATCH(I$2,'[7]Budget révisé'!$A$2:$AO$2,0))</f>
        <v>268.09199999999998</v>
      </c>
      <c r="J144" s="42"/>
      <c r="K144" s="14"/>
      <c r="L144" s="34">
        <f>SUMIFS([7]BV_Data_An_Cour!$O:$O,[7]BV_Data_An_Cour!$U:$U,$B144,[7]BV_Data_An_Cour!$V:$V,$C144,[7]BV_Data_An_Cour!$W:$W,$L$2)</f>
        <v>37.659999999999997</v>
      </c>
      <c r="M144" s="42"/>
      <c r="N144" s="60">
        <f t="shared" si="56"/>
        <v>-230.43199999999999</v>
      </c>
      <c r="O144" s="42"/>
      <c r="P144" s="14"/>
      <c r="Q144" s="34">
        <f>SUMIFS([7]BV_Data_An_Prec!$O:$O,[7]BV_Data_An_Prec!$U:$U,$B144,[7]BV_Data_An_Prec!$V:$V,$C144,[7]BV_Data_An_Prec!$W:$W,$L$2)</f>
        <v>136.69999999999999</v>
      </c>
      <c r="R144" s="42"/>
      <c r="S144" s="86">
        <f t="shared" si="58"/>
        <v>-99.039999999999992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2"/>
        <v>Véhicules usagésFrais postaux</v>
      </c>
      <c r="B145" s="12" t="s">
        <v>74</v>
      </c>
      <c r="C145" s="30" t="s">
        <v>61</v>
      </c>
      <c r="D145" s="82"/>
      <c r="E145" s="14"/>
      <c r="F145" s="31">
        <f>+INDEX('[7]Budget original'!$A$2:$AO$496,MATCH($A145,'[7]Budget original'!$A$2:$A$496,0),MATCH(F$2,'[7]Budget original'!$A$2:$AO$2,0))</f>
        <v>103.8</v>
      </c>
      <c r="G145" s="84"/>
      <c r="H145" s="14"/>
      <c r="I145" s="31">
        <f>+INDEX('[7]Budget révisé'!$A$2:$AO$496,MATCH($A145,'[7]Budget révisé'!$A$2:$A$496,0),MATCH(I$2,'[7]Budget révisé'!$A$2:$AO$2,0))</f>
        <v>103.8</v>
      </c>
      <c r="J145" s="42"/>
      <c r="K145" s="14"/>
      <c r="L145" s="34">
        <f>SUMIFS([7]BV_Data_An_Cour!$O:$O,[7]BV_Data_An_Cour!$U:$U,$B145,[7]BV_Data_An_Cour!$V:$V,$C145,[7]BV_Data_An_Cour!$W:$W,$L$2)</f>
        <v>71.8</v>
      </c>
      <c r="M145" s="42"/>
      <c r="N145" s="60">
        <f t="shared" si="56"/>
        <v>-32</v>
      </c>
      <c r="O145" s="42"/>
      <c r="P145" s="14"/>
      <c r="Q145" s="34">
        <f>SUMIFS([7]BV_Data_An_Prec!$O:$O,[7]BV_Data_An_Prec!$U:$U,$B145,[7]BV_Data_An_Prec!$V:$V,$C145,[7]BV_Data_An_Prec!$W:$W,$L$2)</f>
        <v>24.8</v>
      </c>
      <c r="R145" s="42"/>
      <c r="S145" s="86">
        <f t="shared" si="58"/>
        <v>47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2"/>
        <v>Véhicules usagésDivers</v>
      </c>
      <c r="B146" s="12" t="s">
        <v>74</v>
      </c>
      <c r="C146" s="30" t="s">
        <v>62</v>
      </c>
      <c r="D146" s="82"/>
      <c r="E146" s="14"/>
      <c r="F146" s="31">
        <f>+INDEX('[7]Budget original'!$A$2:$AO$496,MATCH($A146,'[7]Budget original'!$A$2:$A$496,0),MATCH(F$2,'[7]Budget original'!$A$2:$AO$2,0))</f>
        <v>430.91999999999996</v>
      </c>
      <c r="G146" s="84"/>
      <c r="H146" s="14"/>
      <c r="I146" s="31">
        <f>+INDEX('[7]Budget révisé'!$A$2:$AO$496,MATCH($A146,'[7]Budget révisé'!$A$2:$A$496,0),MATCH(I$2,'[7]Budget révisé'!$A$2:$AO$2,0))</f>
        <v>430.91999999999996</v>
      </c>
      <c r="J146" s="42"/>
      <c r="K146" s="14"/>
      <c r="L146" s="34">
        <f>SUMIFS([7]BV_Data_An_Cour!$O:$O,[7]BV_Data_An_Cour!$U:$U,$B146,[7]BV_Data_An_Cour!$V:$V,$C146,[7]BV_Data_An_Cour!$W:$W,$L$2)</f>
        <v>15.36</v>
      </c>
      <c r="M146" s="42"/>
      <c r="N146" s="60">
        <f t="shared" si="56"/>
        <v>-415.55999999999995</v>
      </c>
      <c r="O146" s="42"/>
      <c r="P146" s="14"/>
      <c r="Q146" s="34">
        <f>SUMIFS([7]BV_Data_An_Prec!$O:$O,[7]BV_Data_An_Prec!$U:$U,$B146,[7]BV_Data_An_Prec!$V:$V,$C146,[7]BV_Data_An_Prec!$W:$W,$L$2)</f>
        <v>689.82</v>
      </c>
      <c r="R146" s="42"/>
      <c r="S146" s="86">
        <f t="shared" si="58"/>
        <v>-674.46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2"/>
        <v>Véhicules usagésFormation</v>
      </c>
      <c r="B147" s="12" t="s">
        <v>74</v>
      </c>
      <c r="C147" s="30" t="s">
        <v>63</v>
      </c>
      <c r="D147" s="82"/>
      <c r="E147" s="14"/>
      <c r="F147" s="31">
        <f>+INDEX('[7]Budget original'!$A$2:$AO$496,MATCH($A147,'[7]Budget original'!$A$2:$A$496,0),MATCH(F$2,'[7]Budget original'!$A$2:$AO$2,0))</f>
        <v>70.63</v>
      </c>
      <c r="G147" s="84"/>
      <c r="H147" s="14"/>
      <c r="I147" s="31">
        <f>+INDEX('[7]Budget révisé'!$A$2:$AO$496,MATCH($A147,'[7]Budget révisé'!$A$2:$A$496,0),MATCH(I$2,'[7]Budget révisé'!$A$2:$AO$2,0))</f>
        <v>70.63</v>
      </c>
      <c r="J147" s="42"/>
      <c r="K147" s="14"/>
      <c r="L147" s="34">
        <f>SUMIFS([7]BV_Data_An_Cour!$O:$O,[7]BV_Data_An_Cour!$U:$U,$B147,[7]BV_Data_An_Cour!$V:$V,$C147,[7]BV_Data_An_Cour!$W:$W,$L$2)</f>
        <v>10.62</v>
      </c>
      <c r="M147" s="42"/>
      <c r="N147" s="60">
        <f t="shared" si="56"/>
        <v>-60.01</v>
      </c>
      <c r="O147" s="42"/>
      <c r="P147" s="14"/>
      <c r="Q147" s="34">
        <f>SUMIFS([7]BV_Data_An_Prec!$O:$O,[7]BV_Data_An_Prec!$U:$U,$B147,[7]BV_Data_An_Prec!$V:$V,$C147,[7]BV_Data_An_Prec!$W:$W,$L$2)</f>
        <v>60</v>
      </c>
      <c r="R147" s="42"/>
      <c r="S147" s="86">
        <f t="shared" si="58"/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2"/>
        <v>Véhicules usagésFrais bancaires</v>
      </c>
      <c r="B148" s="12" t="s">
        <v>74</v>
      </c>
      <c r="C148" s="30" t="s">
        <v>64</v>
      </c>
      <c r="D148" s="82"/>
      <c r="E148" s="14"/>
      <c r="F148" s="31">
        <f>+INDEX('[7]Budget original'!$A$2:$AO$496,MATCH($A148,'[7]Budget original'!$A$2:$A$496,0),MATCH(F$2,'[7]Budget original'!$A$2:$AO$2,0))</f>
        <v>909.82048235324567</v>
      </c>
      <c r="G148" s="84"/>
      <c r="H148" s="14"/>
      <c r="I148" s="31">
        <f>+INDEX('[7]Budget révisé'!$A$2:$AO$496,MATCH($A148,'[7]Budget révisé'!$A$2:$A$496,0),MATCH(I$2,'[7]Budget révisé'!$A$2:$AO$2,0))</f>
        <v>909.82048235324567</v>
      </c>
      <c r="J148" s="42"/>
      <c r="K148" s="14"/>
      <c r="L148" s="34">
        <f>AF447*W4</f>
        <v>589.58600000000001</v>
      </c>
      <c r="M148" s="42"/>
      <c r="N148" s="60">
        <f t="shared" si="56"/>
        <v>-320.23448235324565</v>
      </c>
      <c r="O148" s="42"/>
      <c r="P148" s="14"/>
      <c r="Q148" s="34">
        <f>AL447*W4</f>
        <v>818.02500000000009</v>
      </c>
      <c r="R148" s="42"/>
      <c r="S148" s="86">
        <f t="shared" si="58"/>
        <v>-228.43900000000008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2"/>
        <v>Véhicules usagés[...]</v>
      </c>
      <c r="B149" s="12" t="s">
        <v>74</v>
      </c>
      <c r="C149" s="30" t="s">
        <v>21</v>
      </c>
      <c r="D149" s="82"/>
      <c r="E149" s="14"/>
      <c r="F149" s="31">
        <f>+INDEX('[7]Budget original'!$A$2:$AO$496,MATCH($A149,'[7]Budget original'!$A$2:$A$496,0),MATCH(F$2,'[7]Budget original'!$A$2:$AO$2,0))</f>
        <v>0</v>
      </c>
      <c r="G149" s="84"/>
      <c r="H149" s="14"/>
      <c r="I149" s="31">
        <f>+INDEX('[7]Budget révisé'!$A$2:$AO$496,MATCH($A149,'[7]Budget révisé'!$A$2:$A$496,0),MATCH(I$2,'[7]Budget révisé'!$A$2:$AO$2,0))</f>
        <v>0</v>
      </c>
      <c r="J149" s="42"/>
      <c r="K149" s="14"/>
      <c r="L149" s="34">
        <f>SUMIFS([7]BV_Data_An_Cour!$O:$O,[7]BV_Data_An_Cour!$U:$U,$B149,[7]BV_Data_An_Cour!$V:$V,$C149,[7]BV_Data_An_Cour!$W:$W,$L$2)</f>
        <v>0</v>
      </c>
      <c r="M149" s="42"/>
      <c r="N149" s="60">
        <f t="shared" si="56"/>
        <v>0</v>
      </c>
      <c r="O149" s="42"/>
      <c r="P149" s="14"/>
      <c r="Q149" s="34">
        <f>SUMIFS([7]BV_Data_An_Prec!$O:$O,[7]BV_Data_An_Prec!$U:$U,$B149,[7]BV_Data_An_Prec!$V:$V,$C149,[7]BV_Data_An_Prec!$W:$W,$L$2)</f>
        <v>0</v>
      </c>
      <c r="R149" s="42"/>
      <c r="S149" s="86">
        <f t="shared" si="58"/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2"/>
        <v>Véhicules usagés[...]</v>
      </c>
      <c r="B150" s="12" t="s">
        <v>74</v>
      </c>
      <c r="C150" s="30" t="s">
        <v>21</v>
      </c>
      <c r="D150" s="82"/>
      <c r="E150" s="14"/>
      <c r="F150" s="31">
        <f>+INDEX('[7]Budget original'!$A$2:$AO$496,MATCH($A150,'[7]Budget original'!$A$2:$A$496,0),MATCH(F$2,'[7]Budget original'!$A$2:$AO$2,0))</f>
        <v>0</v>
      </c>
      <c r="G150" s="84"/>
      <c r="H150" s="14"/>
      <c r="I150" s="31">
        <f>+INDEX('[7]Budget révisé'!$A$2:$AO$496,MATCH($A150,'[7]Budget révisé'!$A$2:$A$496,0),MATCH(I$2,'[7]Budget révisé'!$A$2:$AO$2,0))</f>
        <v>0</v>
      </c>
      <c r="J150" s="42"/>
      <c r="K150" s="14"/>
      <c r="L150" s="34">
        <f>SUMIFS([7]BV_Data_An_Cour!$O:$O,[7]BV_Data_An_Cour!$U:$U,$B150,[7]BV_Data_An_Cour!$V:$V,$C150,[7]BV_Data_An_Cour!$W:$W,$L$2)</f>
        <v>0</v>
      </c>
      <c r="M150" s="42"/>
      <c r="N150" s="60">
        <f t="shared" si="56"/>
        <v>0</v>
      </c>
      <c r="O150" s="42"/>
      <c r="P150" s="14"/>
      <c r="Q150" s="34">
        <f>SUMIFS([7]BV_Data_An_Prec!$O:$O,[7]BV_Data_An_Prec!$U:$U,$B150,[7]BV_Data_An_Prec!$V:$V,$C150,[7]BV_Data_An_Prec!$W:$W,$L$2)</f>
        <v>0</v>
      </c>
      <c r="R150" s="42"/>
      <c r="S150" s="86">
        <f t="shared" si="58"/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2"/>
        <v>Véhicules usagés[...]</v>
      </c>
      <c r="B151" s="12" t="s">
        <v>74</v>
      </c>
      <c r="C151" s="30" t="s">
        <v>21</v>
      </c>
      <c r="D151" s="82"/>
      <c r="E151" s="14"/>
      <c r="F151" s="31">
        <f>+INDEX('[7]Budget original'!$A$2:$AO$496,MATCH($A151,'[7]Budget original'!$A$2:$A$496,0),MATCH(F$2,'[7]Budget original'!$A$2:$AO$2,0))</f>
        <v>0</v>
      </c>
      <c r="G151" s="84"/>
      <c r="H151" s="14"/>
      <c r="I151" s="31">
        <f>+INDEX('[7]Budget révisé'!$A$2:$AO$496,MATCH($A151,'[7]Budget révisé'!$A$2:$A$496,0),MATCH(I$2,'[7]Budget révisé'!$A$2:$AO$2,0))</f>
        <v>0</v>
      </c>
      <c r="J151" s="42"/>
      <c r="K151" s="14"/>
      <c r="L151" s="34">
        <f>SUMIFS([7]BV_Data_An_Cour!$O:$O,[7]BV_Data_An_Cour!$U:$U,$B151,[7]BV_Data_An_Cour!$V:$V,$C151,[7]BV_Data_An_Cour!$W:$W,$L$2)</f>
        <v>0</v>
      </c>
      <c r="M151" s="42"/>
      <c r="N151" s="60">
        <f t="shared" si="56"/>
        <v>0</v>
      </c>
      <c r="O151" s="42"/>
      <c r="P151" s="14"/>
      <c r="Q151" s="34">
        <f>SUMIFS([7]BV_Data_An_Prec!$O:$O,[7]BV_Data_An_Prec!$U:$U,$B151,[7]BV_Data_An_Prec!$V:$V,$C151,[7]BV_Data_An_Prec!$W:$W,$L$2)</f>
        <v>0</v>
      </c>
      <c r="R151" s="42"/>
      <c r="S151" s="86">
        <f t="shared" si="58"/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2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9.1933024954049036E-2</v>
      </c>
      <c r="F152" s="102">
        <f>+SUM(F135:F151)</f>
        <v>8440.990653341385</v>
      </c>
      <c r="G152" s="103" t="s">
        <v>40</v>
      </c>
      <c r="H152" s="101">
        <f>I152/I$107</f>
        <v>9.1933024954049036E-2</v>
      </c>
      <c r="I152" s="102">
        <f>+SUM(I135:I151)</f>
        <v>8440.990653341385</v>
      </c>
      <c r="J152" s="103" t="s">
        <v>40</v>
      </c>
      <c r="K152" s="101">
        <f>L152/L$107</f>
        <v>3.3420249266995314E-2</v>
      </c>
      <c r="L152" s="102">
        <f>+SUM(L135:L151)</f>
        <v>4195.2860000000001</v>
      </c>
      <c r="M152" s="106"/>
      <c r="N152" s="102">
        <f t="shared" si="56"/>
        <v>-4245.704653341385</v>
      </c>
      <c r="O152" s="103" t="s">
        <v>40</v>
      </c>
      <c r="P152" s="101">
        <f>Q152/Q$107</f>
        <v>9.6385983484260973E-2</v>
      </c>
      <c r="Q152" s="102">
        <f>+SUM(Q135:Q151)</f>
        <v>7538.9549999999999</v>
      </c>
      <c r="R152" s="106"/>
      <c r="S152" s="107">
        <f t="shared" si="58"/>
        <v>-3343.6689999999999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2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2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0.92360854005725246</v>
      </c>
      <c r="F154" s="102">
        <f>F121+F134+F152</f>
        <v>84802.725221609071</v>
      </c>
      <c r="G154" s="103" t="s">
        <v>40</v>
      </c>
      <c r="H154" s="101">
        <f>I154/I$107</f>
        <v>0.92360854005725246</v>
      </c>
      <c r="I154" s="102">
        <f>I121+I134+I152</f>
        <v>84802.725221609071</v>
      </c>
      <c r="J154" s="103" t="s">
        <v>40</v>
      </c>
      <c r="K154" s="101">
        <f>L154/L$107</f>
        <v>0.79034406250682054</v>
      </c>
      <c r="L154" s="102">
        <f>L121+L134+L152</f>
        <v>99212.885999999999</v>
      </c>
      <c r="M154" s="106"/>
      <c r="N154" s="119">
        <f>L154-I154</f>
        <v>14410.160778390928</v>
      </c>
      <c r="O154" s="103" t="s">
        <v>40</v>
      </c>
      <c r="P154" s="101">
        <f>Q154/Q$107</f>
        <v>1.1321014289860301</v>
      </c>
      <c r="Q154" s="102">
        <f>Q121+Q134+Q152</f>
        <v>88548.785000000003</v>
      </c>
      <c r="R154" s="106"/>
      <c r="S154" s="120">
        <f>L154-Q154</f>
        <v>10664.100999999995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2"/>
        <v>Véhicules usagésProgramme used 1</v>
      </c>
      <c r="B155" s="494" t="s">
        <v>74</v>
      </c>
      <c r="C155" s="30" t="s">
        <v>216</v>
      </c>
      <c r="D155" s="156"/>
      <c r="E155" s="157"/>
      <c r="F155" s="31">
        <f>+INDEX('[7]Budget original'!$A$2:$AO$496,MATCH($A155,'[7]Budget original'!$A$2:$A$496,0),MATCH(F$2,'[7]Budget original'!$A$2:$AO$2,0))</f>
        <v>8500</v>
      </c>
      <c r="G155" s="158"/>
      <c r="H155" s="157"/>
      <c r="I155" s="31">
        <f>+INDEX('[7]Budget révisé'!$A$2:$AO$496,MATCH($A155,'[7]Budget révisé'!$A$2:$A$496,0),MATCH(I$2,'[7]Budget révisé'!$A$2:$AO$2,0))</f>
        <v>8500</v>
      </c>
      <c r="J155" s="158"/>
      <c r="K155" s="157"/>
      <c r="L155" s="33">
        <v>8500</v>
      </c>
      <c r="M155" s="42"/>
      <c r="N155" s="60">
        <f t="shared" ref="N155:N161" si="59">L155-I155</f>
        <v>0</v>
      </c>
      <c r="O155" s="158"/>
      <c r="P155" s="157"/>
      <c r="Q155" s="34">
        <f>-SUMIFS([7]BV_Data_An_Prec!$O:$O,[7]BV_Data_An_Prec!$U:$U,$B155,[7]BV_Data_An_Prec!$V:$V,$C155,[7]BV_Data_An_Prec!$W:$W,$L$2)</f>
        <v>0</v>
      </c>
      <c r="R155" s="42"/>
      <c r="S155" s="86">
        <f t="shared" ref="S155:S161" si="60">L155-Q155</f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2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+INDEX('[7]Budget original'!$A$2:$AO$496,MATCH($A156,'[7]Budget original'!$A$2:$A$496,0),MATCH(F$2,'[7]Budget original'!$A$2:$AO$2,0))</f>
        <v>0</v>
      </c>
      <c r="G156" s="158"/>
      <c r="H156" s="157"/>
      <c r="I156" s="31">
        <f>+INDEX('[7]Budget révisé'!$A$2:$AO$496,MATCH($A156,'[7]Budget révisé'!$A$2:$A$496,0),MATCH(I$2,'[7]Budget révisé'!$A$2:$AO$2,0))</f>
        <v>0</v>
      </c>
      <c r="J156" s="158"/>
      <c r="K156" s="157"/>
      <c r="L156" s="34">
        <f>-SUMIFS([7]BV_Data_An_Cour!$O:$O,[7]BV_Data_An_Cour!$U:$U,$B156,[7]BV_Data_An_Cour!$V:$V,$C156,[7]BV_Data_An_Cour!$W:$W,$L$2)</f>
        <v>0</v>
      </c>
      <c r="M156" s="42"/>
      <c r="N156" s="60">
        <f t="shared" si="59"/>
        <v>0</v>
      </c>
      <c r="O156" s="158"/>
      <c r="P156" s="157"/>
      <c r="Q156" s="34">
        <f>-SUMIFS([7]BV_Data_An_Prec!$O:$O,[7]BV_Data_An_Prec!$U:$U,$B156,[7]BV_Data_An_Prec!$V:$V,$C156,[7]BV_Data_An_Prec!$W:$W,$L$2)</f>
        <v>0</v>
      </c>
      <c r="R156" s="42"/>
      <c r="S156" s="86">
        <f t="shared" si="60"/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2"/>
        <v>Véhicules usagésProgramme used 3</v>
      </c>
      <c r="B157" s="12" t="s">
        <v>74</v>
      </c>
      <c r="C157" s="30" t="s">
        <v>83</v>
      </c>
      <c r="D157" s="82"/>
      <c r="E157" s="14"/>
      <c r="F157" s="31">
        <f>+INDEX('[7]Budget original'!$A$2:$AO$496,MATCH($A157,'[7]Budget original'!$A$2:$A$496,0),MATCH(F$2,'[7]Budget original'!$A$2:$AO$2,0))</f>
        <v>0</v>
      </c>
      <c r="G157" s="84"/>
      <c r="H157" s="14"/>
      <c r="I157" s="31">
        <f>+INDEX('[7]Budget révisé'!$A$2:$AO$496,MATCH($A157,'[7]Budget révisé'!$A$2:$A$496,0),MATCH(I$2,'[7]Budget révisé'!$A$2:$AO$2,0))</f>
        <v>0</v>
      </c>
      <c r="J157" s="42"/>
      <c r="K157" s="14"/>
      <c r="L157" s="34">
        <f>-SUMIFS([7]BV_Data_An_Cour!$O:$O,[7]BV_Data_An_Cour!$U:$U,$B157,[7]BV_Data_An_Cour!$V:$V,$C157,[7]BV_Data_An_Cour!$W:$W,$L$2)</f>
        <v>0</v>
      </c>
      <c r="M157" s="42"/>
      <c r="N157" s="60">
        <f t="shared" si="59"/>
        <v>0</v>
      </c>
      <c r="O157" s="42"/>
      <c r="P157" s="14"/>
      <c r="Q157" s="34">
        <f>-SUMIFS([7]BV_Data_An_Prec!$O:$O,[7]BV_Data_An_Prec!$U:$U,$B157,[7]BV_Data_An_Prec!$V:$V,$C157,[7]BV_Data_An_Prec!$W:$W,$L$2)</f>
        <v>0</v>
      </c>
      <c r="R157" s="42"/>
      <c r="S157" s="86">
        <f t="shared" si="60"/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1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+INDEX('[7]Budget original'!$A$2:$AO$496,MATCH($A158,'[7]Budget original'!$A$2:$A$496,0),MATCH(F$2,'[7]Budget original'!$A$2:$AO$2,0))</f>
        <v>11234.396716843741</v>
      </c>
      <c r="G158" s="84"/>
      <c r="H158" s="14"/>
      <c r="I158" s="31">
        <f>+INDEX('[7]Budget révisé'!$A$2:$AO$496,MATCH($A158,'[7]Budget révisé'!$A$2:$A$496,0),MATCH(I$2,'[7]Budget révisé'!$A$2:$AO$2,0))</f>
        <v>11234.396716843741</v>
      </c>
      <c r="J158" s="42"/>
      <c r="K158" s="14"/>
      <c r="L158" s="33">
        <f>349*J96</f>
        <v>12913</v>
      </c>
      <c r="M158" s="42"/>
      <c r="N158" s="60">
        <f t="shared" si="59"/>
        <v>1678.6032831562588</v>
      </c>
      <c r="O158" s="42"/>
      <c r="P158" s="14"/>
      <c r="Q158" s="34">
        <f>349*O96</f>
        <v>13262</v>
      </c>
      <c r="R158" s="42"/>
      <c r="S158" s="86">
        <f t="shared" si="60"/>
        <v>-349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1"/>
        <v>Véhicules usagés[...]</v>
      </c>
      <c r="B159" s="12" t="s">
        <v>74</v>
      </c>
      <c r="C159" s="30" t="s">
        <v>21</v>
      </c>
      <c r="D159" s="82"/>
      <c r="E159" s="14"/>
      <c r="F159" s="31">
        <f>+INDEX('[7]Budget original'!$A$2:$AO$496,MATCH($A159,'[7]Budget original'!$A$2:$A$496,0),MATCH(F$2,'[7]Budget original'!$A$2:$AO$2,0))</f>
        <v>0</v>
      </c>
      <c r="G159" s="84"/>
      <c r="H159" s="14"/>
      <c r="I159" s="31">
        <f>+INDEX('[7]Budget révisé'!$A$2:$AO$496,MATCH($A159,'[7]Budget révisé'!$A$2:$A$496,0),MATCH(I$2,'[7]Budget révisé'!$A$2:$AO$2,0))</f>
        <v>0</v>
      </c>
      <c r="J159" s="42"/>
      <c r="K159" s="14"/>
      <c r="L159" s="33">
        <f>-SUMIFS([7]BV_Data_An_Cour!$O:$O,[7]BV_Data_An_Cour!$U:$U,$B159,[7]BV_Data_An_Cour!$V:$V,$C159,[7]BV_Data_An_Cour!$W:$W,$L$2)</f>
        <v>0</v>
      </c>
      <c r="M159" s="42"/>
      <c r="N159" s="60">
        <f t="shared" si="59"/>
        <v>0</v>
      </c>
      <c r="O159" s="42"/>
      <c r="P159" s="14"/>
      <c r="Q159" s="34">
        <f>-SUMIFS([7]BV_Data_An_Prec!$O:$O,[7]BV_Data_An_Prec!$U:$U,$B159,[7]BV_Data_An_Prec!$V:$V,$C159,[7]BV_Data_An_Prec!$W:$W,$L$2)</f>
        <v>0</v>
      </c>
      <c r="R159" s="42"/>
      <c r="S159" s="86">
        <f t="shared" si="60"/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1"/>
        <v>Véhicules usagés[...]</v>
      </c>
      <c r="B160" s="12" t="s">
        <v>74</v>
      </c>
      <c r="C160" s="30" t="s">
        <v>21</v>
      </c>
      <c r="D160" s="82"/>
      <c r="E160" s="14"/>
      <c r="F160" s="31">
        <f>+INDEX('[7]Budget original'!$A$2:$AO$496,MATCH($A160,'[7]Budget original'!$A$2:$A$496,0),MATCH(F$2,'[7]Budget original'!$A$2:$AO$2,0))</f>
        <v>0</v>
      </c>
      <c r="G160" s="84"/>
      <c r="H160" s="14"/>
      <c r="I160" s="31">
        <f>+INDEX('[7]Budget révisé'!$A$2:$AO$496,MATCH($A160,'[7]Budget révisé'!$A$2:$A$496,0),MATCH(I$2,'[7]Budget révisé'!$A$2:$AO$2,0))</f>
        <v>0</v>
      </c>
      <c r="J160" s="42"/>
      <c r="K160" s="14"/>
      <c r="L160" s="33">
        <f>-SUMIFS([7]BV_Data_An_Cour!$O:$O,[7]BV_Data_An_Cour!$U:$U,$B160,[7]BV_Data_An_Cour!$V:$V,$C160,[7]BV_Data_An_Cour!$W:$W,$L$2)</f>
        <v>0</v>
      </c>
      <c r="M160" s="42"/>
      <c r="N160" s="60">
        <f t="shared" si="59"/>
        <v>0</v>
      </c>
      <c r="O160" s="42"/>
      <c r="P160" s="14"/>
      <c r="Q160" s="34">
        <f>-SUMIFS([7]BV_Data_An_Prec!$O:$O,[7]BV_Data_An_Prec!$U:$U,$B160,[7]BV_Data_An_Prec!$V:$V,$C160,[7]BV_Data_An_Prec!$W:$W,$L$2)</f>
        <v>0</v>
      </c>
      <c r="R160" s="42"/>
      <c r="S160" s="86">
        <f t="shared" si="60"/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1"/>
        <v>Véhicules usagés[...]</v>
      </c>
      <c r="B161" s="12" t="s">
        <v>74</v>
      </c>
      <c r="C161" s="88" t="s">
        <v>21</v>
      </c>
      <c r="D161" s="89"/>
      <c r="E161" s="117"/>
      <c r="F161" s="31">
        <f>+INDEX('[7]Budget original'!$A$2:$AO$496,MATCH($A161,'[7]Budget original'!$A$2:$A$496,0),MATCH(F$2,'[7]Budget original'!$A$2:$AO$2,0))</f>
        <v>0</v>
      </c>
      <c r="G161" s="84"/>
      <c r="H161" s="14"/>
      <c r="I161" s="31">
        <f>+INDEX('[7]Budget révisé'!$A$2:$AO$496,MATCH($A161,'[7]Budget révisé'!$A$2:$A$496,0),MATCH(I$2,'[7]Budget révisé'!$A$2:$AO$2,0))</f>
        <v>0</v>
      </c>
      <c r="J161" s="42"/>
      <c r="K161" s="14"/>
      <c r="L161" s="33">
        <f>-SUMIFS([7]BV_Data_An_Cour!$O:$O,[7]BV_Data_An_Cour!$U:$U,$B161,[7]BV_Data_An_Cour!$V:$V,$C161,[7]BV_Data_An_Cour!$W:$W,$L$2)</f>
        <v>0</v>
      </c>
      <c r="M161" s="42"/>
      <c r="N161" s="60">
        <f t="shared" si="59"/>
        <v>0</v>
      </c>
      <c r="O161" s="42"/>
      <c r="P161" s="14"/>
      <c r="Q161" s="34">
        <f>-SUMIFS([7]BV_Data_An_Prec!$O:$O,[7]BV_Data_An_Prec!$U:$U,$B161,[7]BV_Data_An_Prec!$V:$V,$C161,[7]BV_Data_An_Prec!$W:$W,$L$2)</f>
        <v>0</v>
      </c>
      <c r="R161" s="42"/>
      <c r="S161" s="86">
        <f t="shared" si="60"/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19734.396716843741</v>
      </c>
      <c r="G162" s="103"/>
      <c r="H162" s="101"/>
      <c r="I162" s="102">
        <f>+SUM(I155:I161)</f>
        <v>19734.396716843741</v>
      </c>
      <c r="J162" s="103"/>
      <c r="K162" s="101"/>
      <c r="L162" s="102">
        <f>+SUM(L155:L161)</f>
        <v>21413</v>
      </c>
      <c r="M162" s="106"/>
      <c r="N162" s="102">
        <f>SUM(N157:N157)</f>
        <v>0</v>
      </c>
      <c r="O162" s="103"/>
      <c r="P162" s="101"/>
      <c r="Q162" s="102">
        <f>+SUM(Q155:Q161)</f>
        <v>13262</v>
      </c>
      <c r="R162" s="106"/>
      <c r="S162" s="107">
        <f>+SUM(S155:S161)</f>
        <v>8151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26748.411535720155</v>
      </c>
      <c r="G164" s="160"/>
      <c r="H164" s="131"/>
      <c r="I164" s="133">
        <f>I107-I154+I162</f>
        <v>26748.411535720155</v>
      </c>
      <c r="J164" s="161"/>
      <c r="K164" s="132"/>
      <c r="L164" s="133">
        <f>L107-L154+L162</f>
        <v>47731.374000000069</v>
      </c>
      <c r="M164" s="161"/>
      <c r="N164" s="133">
        <f>L164-I164</f>
        <v>20982.962464279914</v>
      </c>
      <c r="O164" s="161"/>
      <c r="P164" s="132"/>
      <c r="Q164" s="133">
        <f>Q107-Q154+Q162</f>
        <v>2929.5149999999849</v>
      </c>
      <c r="R164" s="161"/>
      <c r="S164" s="135">
        <f>L164-Q164</f>
        <v>44801.859000000084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Volks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Réalisé, Juin 2021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519" t="s">
        <v>5</v>
      </c>
      <c r="E169" s="520"/>
      <c r="F169" s="521"/>
      <c r="G169" s="522" t="s">
        <v>75</v>
      </c>
      <c r="H169" s="520"/>
      <c r="I169" s="521"/>
      <c r="J169" s="522" t="s">
        <v>7</v>
      </c>
      <c r="K169" s="520"/>
      <c r="L169" s="521"/>
      <c r="M169" s="522" t="s">
        <v>8</v>
      </c>
      <c r="N169" s="521"/>
      <c r="O169" s="519" t="s">
        <v>9</v>
      </c>
      <c r="P169" s="520"/>
      <c r="Q169" s="521"/>
      <c r="R169" s="522" t="s">
        <v>10</v>
      </c>
      <c r="S169" s="523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2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2"/>
        <v>ServiceM/O Client</v>
      </c>
      <c r="B171" s="12" t="s">
        <v>84</v>
      </c>
      <c r="C171" s="30" t="s">
        <v>87</v>
      </c>
      <c r="D171" s="14">
        <f>+INDEX('[7]Budget original'!$A$2:$AO$496,MATCH($A171,'[7]Budget original'!$A$2:$A$496,0),MATCH(D$2,'[7]Budget original'!$A$2:$AO$2,0))</f>
        <v>386.59597116892093</v>
      </c>
      <c r="E171" s="83">
        <f>+INDEX('[7]Budget original'!$A$2:$AO$496,MATCH($A171,'[7]Budget original'!$A$2:$A$496,0),MATCH(E$2,'[7]Budget original'!$A$2:$AO$2,0))</f>
        <v>94885.529781787787</v>
      </c>
      <c r="F171" s="83">
        <f>+INDEX('[7]Budget original'!$A$2:$AO$496,MATCH($A171,'[7]Budget original'!$A$2:$A$496,0),MATCH(F$2,'[7]Budget original'!$A$2:$AO$2,0))</f>
        <v>71212.153087851053</v>
      </c>
      <c r="G171" s="163">
        <f>+INDEX('[7]Budget révisé'!$A$2:$AO$496,MATCH($A171,'[7]Budget révisé'!$A$2:$A$496,0),MATCH(G$2,'[7]Budget révisé'!$A$2:$AO$2,0))</f>
        <v>386.59597116892093</v>
      </c>
      <c r="H171" s="83">
        <f>+INDEX('[7]Budget révisé'!$A$2:$AO$496,MATCH($A171,'[7]Budget révisé'!$A$2:$A$496,0),MATCH(H$2,'[7]Budget révisé'!$A$2:$AO$2,0))</f>
        <v>94885.529781787787</v>
      </c>
      <c r="I171" s="83">
        <f>+INDEX('[7]Budget révisé'!$A$2:$AO$496,MATCH($A171,'[7]Budget révisé'!$A$2:$A$496,0),MATCH(I$2,'[7]Budget révisé'!$A$2:$AO$2,0))</f>
        <v>71212.153087851053</v>
      </c>
      <c r="J171" s="61">
        <f>-SUMIFS([7]BV_Data_An_Cour!$O:$O,[7]BV_Data_An_Cour!$U:$U,$B171,[7]BV_Data_An_Cour!$V:$V,$C171,[7]BV_Data_An_Cour!$W:$W,J$2)</f>
        <v>386</v>
      </c>
      <c r="K171" s="31">
        <f>-SUMIFS([7]BV_Data_An_Cour!$O:$O,[7]BV_Data_An_Cour!$X:$X,"Oui",[7]BV_Data_An_Cour!$U:$U,$B171,[7]BV_Data_An_Cour!$V:$V,$C171)</f>
        <v>84026.27</v>
      </c>
      <c r="L171" s="34">
        <f>-SUMIFS([7]BV_Data_An_Cour!$O:$O,[7]BV_Data_An_Cour!$U:$U,$B171,[7]BV_Data_An_Cour!$V:$V,$C171,[7]BV_Data_An_Cour!$W:$W,$L$2)</f>
        <v>64061.95</v>
      </c>
      <c r="M171" s="164">
        <f>(K171-H171)/H171</f>
        <v>-0.11444589925103729</v>
      </c>
      <c r="N171" s="60">
        <f>L171-I171</f>
        <v>-7150.2030878510559</v>
      </c>
      <c r="O171" s="61">
        <f>-SUMIFS([7]BV_Data_An_Prec!$O:$O,[7]BV_Data_An_Prec!$U:$U,$B171,[7]BV_Data_An_Prec!$V:$V,$C171,[7]BV_Data_An_Prec!$W:$W,O$2)</f>
        <v>654</v>
      </c>
      <c r="P171" s="31">
        <f>-SUMIFS([7]BV_Data_An_Prec!$O:$O,[7]BV_Data_An_Prec!$X:$X,"Oui",[7]BV_Data_An_Prec!$U:$U,$B171,[7]BV_Data_An_Prec!$V:$V,$C171)</f>
        <v>147912.38</v>
      </c>
      <c r="Q171" s="34">
        <f>-SUMIFS([7]BV_Data_An_Prec!$O:$O,[7]BV_Data_An_Prec!$U:$U,$B171,[7]BV_Data_An_Prec!$V:$V,$C171,[7]BV_Data_An_Prec!$W:$W,$L$2)</f>
        <v>111951.71</v>
      </c>
      <c r="R171" s="164">
        <f>IF(O171=0,0,J171/O171)</f>
        <v>0.59021406727828751</v>
      </c>
      <c r="S171" s="86">
        <f>L171-Q171</f>
        <v>-47889.760000000009</v>
      </c>
      <c r="T171" s="83"/>
      <c r="U171" s="14">
        <f>K171*I172</f>
        <v>63062.2141901094</v>
      </c>
      <c r="V171" s="31">
        <f>U171-L171</f>
        <v>-999.73580989059701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2"/>
        <v>Service% profit / ventes</v>
      </c>
      <c r="B172" s="12" t="s">
        <v>84</v>
      </c>
      <c r="C172" s="30" t="s">
        <v>88</v>
      </c>
      <c r="D172" s="14"/>
      <c r="E172" s="150"/>
      <c r="F172" s="165">
        <f>F171/E171</f>
        <v>0.75050593332429727</v>
      </c>
      <c r="G172" s="42"/>
      <c r="H172" s="150"/>
      <c r="I172" s="165">
        <f>I171/H171</f>
        <v>0.75050593332429727</v>
      </c>
      <c r="J172" s="61"/>
      <c r="K172" s="14"/>
      <c r="L172" s="165">
        <f>IF(L171=0,0,L171/K171)</f>
        <v>0.76240382918342076</v>
      </c>
      <c r="M172" s="164"/>
      <c r="N172" s="60"/>
      <c r="O172" s="61"/>
      <c r="P172" s="14"/>
      <c r="Q172" s="165">
        <f>IF(Q171=0,0,Q171/P171)</f>
        <v>0.75687856553995014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2"/>
        <v>Service</v>
      </c>
      <c r="B173" s="12" t="s">
        <v>84</v>
      </c>
      <c r="C173" s="88"/>
      <c r="D173" s="117"/>
      <c r="E173" s="166">
        <f t="shared" ref="E173" si="63">IFERROR(E171/D171,0)</f>
        <v>245.43848580441644</v>
      </c>
      <c r="F173" s="167"/>
      <c r="G173" s="24"/>
      <c r="H173" s="166">
        <f t="shared" ref="H173" si="64">IFERROR(H171/G171,0)</f>
        <v>245.43848580441644</v>
      </c>
      <c r="I173" s="167"/>
      <c r="J173" s="168"/>
      <c r="K173" s="169">
        <f t="shared" ref="K173" si="65">IFERROR(K171/J171,0)</f>
        <v>217.68463730569948</v>
      </c>
      <c r="L173" s="167"/>
      <c r="M173" s="170"/>
      <c r="N173" s="94"/>
      <c r="O173" s="168"/>
      <c r="P173" s="169">
        <f t="shared" ref="P173" si="66">IFERROR(P171/O171,0)</f>
        <v>226.16571865443424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2"/>
        <v>ServiceM/O Garantie</v>
      </c>
      <c r="B174" s="12" t="s">
        <v>84</v>
      </c>
      <c r="C174" s="15" t="s">
        <v>89</v>
      </c>
      <c r="D174" s="171">
        <f>+INDEX('[7]Budget original'!$A$2:$AO$496,MATCH($A174,'[7]Budget original'!$A$2:$A$496,0),MATCH(D$2,'[7]Budget original'!$A$2:$AO$2,0))</f>
        <v>354.43283158799522</v>
      </c>
      <c r="E174" s="83">
        <f>+INDEX('[7]Budget original'!$A$2:$AO$496,MATCH($A174,'[7]Budget original'!$A$2:$A$496,0),MATCH(E$2,'[7]Budget original'!$A$2:$AO$2,0))</f>
        <v>62640.332947290139</v>
      </c>
      <c r="F174" s="83">
        <f>+INDEX('[7]Budget original'!$A$2:$AO$496,MATCH($A174,'[7]Budget original'!$A$2:$A$496,0),MATCH(F$2,'[7]Budget original'!$A$2:$AO$2,0))</f>
        <v>43733.246217656502</v>
      </c>
      <c r="G174" s="172">
        <f>+INDEX('[7]Budget révisé'!$A$2:$AO$496,MATCH($A174,'[7]Budget révisé'!$A$2:$A$496,0),MATCH(G$2,'[7]Budget révisé'!$A$2:$AO$2,0))</f>
        <v>354.43283158799522</v>
      </c>
      <c r="H174" s="83">
        <f>+INDEX('[7]Budget révisé'!$A$2:$AO$496,MATCH($A174,'[7]Budget révisé'!$A$2:$A$496,0),MATCH(H$2,'[7]Budget révisé'!$A$2:$AO$2,0))</f>
        <v>62640.332947290139</v>
      </c>
      <c r="I174" s="83">
        <f>+INDEX('[7]Budget révisé'!$A$2:$AO$496,MATCH($A174,'[7]Budget révisé'!$A$2:$A$496,0),MATCH(I$2,'[7]Budget révisé'!$A$2:$AO$2,0))</f>
        <v>43733.246217656502</v>
      </c>
      <c r="J174" s="172">
        <f>-SUMIFS([7]BV_Data_An_Cour!$O:$O,[7]BV_Data_An_Cour!$U:$U,$B174,[7]BV_Data_An_Cour!$V:$V,$C174,[7]BV_Data_An_Cour!$W:$W,J$2)</f>
        <v>231</v>
      </c>
      <c r="K174" s="173">
        <f>-SUMIFS([7]BV_Data_An_Cour!$O:$O,[7]BV_Data_An_Cour!$X:$X,"Oui",[7]BV_Data_An_Cour!$U:$U,$B174,[7]BV_Data_An_Cour!$V:$V,$C174)</f>
        <v>69686.649999999994</v>
      </c>
      <c r="L174" s="34">
        <f>-SUMIFS([7]BV_Data_An_Cour!$O:$O,[7]BV_Data_An_Cour!$U:$U,$B174,[7]BV_Data_An_Cour!$V:$V,$C174,[7]BV_Data_An_Cour!$W:$W,$L$2)</f>
        <v>49652.409999999989</v>
      </c>
      <c r="M174" s="164">
        <f>(K174-H174)/H174</f>
        <v>0.11248849936093265</v>
      </c>
      <c r="N174" s="115">
        <f>L174-I174</f>
        <v>5919.1637823434867</v>
      </c>
      <c r="O174" s="172">
        <f>-SUMIFS([7]BV_Data_An_Prec!$O:$O,[7]BV_Data_An_Prec!$U:$U,$B174,[7]BV_Data_An_Prec!$V:$V,$C174,[7]BV_Data_An_Prec!$W:$W,O$2)</f>
        <v>467</v>
      </c>
      <c r="P174" s="173">
        <f>-SUMIFS([7]BV_Data_An_Prec!$O:$O,[7]BV_Data_An_Prec!$X:$X,"Oui",[7]BV_Data_An_Prec!$U:$U,$B174,[7]BV_Data_An_Prec!$V:$V,$C174)</f>
        <v>93955.59</v>
      </c>
      <c r="Q174" s="34">
        <f>-SUMIFS([7]BV_Data_An_Prec!$O:$O,[7]BV_Data_An_Prec!$U:$U,$B174,[7]BV_Data_An_Prec!$V:$V,$C174,[7]BV_Data_An_Prec!$W:$W,$L$2)</f>
        <v>61668.539999999994</v>
      </c>
      <c r="R174" s="164">
        <f>IF(O174=0,0,J174/O174)</f>
        <v>0.49464668094218417</v>
      </c>
      <c r="S174" s="86">
        <f>L174-Q174</f>
        <v>-12016.130000000005</v>
      </c>
      <c r="T174" s="83"/>
      <c r="U174" s="14">
        <f>K174*I175</f>
        <v>48652.733456862865</v>
      </c>
      <c r="V174" s="31">
        <f>U174-L174</f>
        <v>-999.6765431371241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2"/>
        <v>Service% profit / ventes</v>
      </c>
      <c r="B175" s="12" t="s">
        <v>84</v>
      </c>
      <c r="C175" s="30" t="s">
        <v>88</v>
      </c>
      <c r="D175" s="14"/>
      <c r="E175" s="14"/>
      <c r="F175" s="165">
        <f>F174/E174</f>
        <v>0.69816433214773377</v>
      </c>
      <c r="G175" s="42"/>
      <c r="H175" s="14"/>
      <c r="I175" s="165">
        <f>I174/H174</f>
        <v>0.69816433214773377</v>
      </c>
      <c r="J175" s="42"/>
      <c r="K175" s="14"/>
      <c r="L175" s="165">
        <f>IF(L174=0,0,L174/K174)</f>
        <v>0.71250964137320405</v>
      </c>
      <c r="M175" s="43"/>
      <c r="N175" s="44"/>
      <c r="O175" s="42"/>
      <c r="P175" s="14"/>
      <c r="Q175" s="165">
        <f>IF(Q174=0,0,Q174/P174)</f>
        <v>0.65635839230002169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2"/>
        <v>Service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2"/>
        <v>ServiceM/O Interne</v>
      </c>
      <c r="B177" s="12" t="s">
        <v>84</v>
      </c>
      <c r="C177" s="30" t="s">
        <v>90</v>
      </c>
      <c r="D177" s="14">
        <f>+INDEX('[7]Budget original'!$A$2:$AO$496,MATCH($A177,'[7]Budget original'!$A$2:$A$496,0),MATCH(D$2,'[7]Budget original'!$A$2:$AO$2,0))</f>
        <v>246.35764538800652</v>
      </c>
      <c r="E177" s="83">
        <f>+INDEX('[7]Budget original'!$A$2:$AO$496,MATCH($A177,'[7]Budget original'!$A$2:$A$496,0),MATCH(E$2,'[7]Budget original'!$A$2:$AO$2,0))</f>
        <v>58096.595667611946</v>
      </c>
      <c r="F177" s="83">
        <f>+INDEX('[7]Budget original'!$A$2:$AO$496,MATCH($A177,'[7]Budget original'!$A$2:$A$496,0),MATCH(F$2,'[7]Budget original'!$A$2:$AO$2,0))</f>
        <v>42597.96833014633</v>
      </c>
      <c r="G177" s="42">
        <f>+INDEX('[7]Budget révisé'!$A$2:$AO$496,MATCH($A177,'[7]Budget révisé'!$A$2:$A$496,0),MATCH(G$2,'[7]Budget révisé'!$A$2:$AO$2,0))</f>
        <v>246.35764538800652</v>
      </c>
      <c r="H177" s="83">
        <f>+INDEX('[7]Budget révisé'!$A$2:$AO$496,MATCH($A177,'[7]Budget révisé'!$A$2:$A$496,0),MATCH(H$2,'[7]Budget révisé'!$A$2:$AO$2,0))</f>
        <v>58096.595667611946</v>
      </c>
      <c r="I177" s="83">
        <f>+INDEX('[7]Budget révisé'!$A$2:$AO$496,MATCH($A177,'[7]Budget révisé'!$A$2:$A$496,0),MATCH(I$2,'[7]Budget révisé'!$A$2:$AO$2,0))</f>
        <v>42597.96833014633</v>
      </c>
      <c r="J177" s="61">
        <f>-SUMIFS([7]BV_Data_An_Cour!$O:$O,[7]BV_Data_An_Cour!$U:$U,$B177,[7]BV_Data_An_Cour!$V:$V,$C177,[7]BV_Data_An_Cour!$W:$W,J$2)</f>
        <v>335</v>
      </c>
      <c r="K177" s="173">
        <f>-SUMIFS([7]BV_Data_An_Cour!$O:$O,[7]BV_Data_An_Cour!$X:$X,"Oui",[7]BV_Data_An_Cour!$U:$U,$B177,[7]BV_Data_An_Cour!$V:$V,$C177)</f>
        <v>79554.489999999991</v>
      </c>
      <c r="L177" s="34">
        <f>-SUMIFS([7]BV_Data_An_Cour!$O:$O,[7]BV_Data_An_Cour!$U:$U,$B177,[7]BV_Data_An_Cour!$V:$V,$C177,[7]BV_Data_An_Cour!$W:$W,$L$2)</f>
        <v>59331.359999999986</v>
      </c>
      <c r="M177" s="164">
        <f>(K177-H177)/H177</f>
        <v>0.36934856656928911</v>
      </c>
      <c r="N177" s="60">
        <f t="shared" ref="N177:N178" si="67">L177-I177</f>
        <v>16733.391669853656</v>
      </c>
      <c r="O177" s="61">
        <f>-SUMIFS([7]BV_Data_An_Prec!$O:$O,[7]BV_Data_An_Prec!$U:$U,$B177,[7]BV_Data_An_Prec!$V:$V,$C177,[7]BV_Data_An_Prec!$W:$W,O$2)</f>
        <v>262</v>
      </c>
      <c r="P177" s="173">
        <f>-SUMIFS([7]BV_Data_An_Prec!$O:$O,[7]BV_Data_An_Prec!$X:$X,"Oui",[7]BV_Data_An_Prec!$U:$U,$B177,[7]BV_Data_An_Prec!$V:$V,$C177)</f>
        <v>49785.77</v>
      </c>
      <c r="Q177" s="34">
        <f>-SUMIFS([7]BV_Data_An_Prec!$O:$O,[7]BV_Data_An_Prec!$U:$U,$B177,[7]BV_Data_An_Prec!$V:$V,$C177,[7]BV_Data_An_Prec!$W:$W,$L$2)</f>
        <v>32856.47</v>
      </c>
      <c r="R177" s="164">
        <f>IF(O177=0,0,J177/O177)</f>
        <v>1.2786259541984732</v>
      </c>
      <c r="S177" s="86">
        <f>L177-Q177</f>
        <v>26474.889999999985</v>
      </c>
      <c r="T177" s="83"/>
      <c r="U177" s="14">
        <f>K177*I178</f>
        <v>58331.466871649849</v>
      </c>
      <c r="V177" s="31">
        <f>U177-L177</f>
        <v>-999.89312835013698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2"/>
        <v>Service% profit / ventes</v>
      </c>
      <c r="B178" s="12" t="s">
        <v>84</v>
      </c>
      <c r="C178" s="30" t="s">
        <v>88</v>
      </c>
      <c r="D178" s="14"/>
      <c r="E178" s="150"/>
      <c r="F178" s="165">
        <f>F177/E177</f>
        <v>0.73322658308349231</v>
      </c>
      <c r="G178" s="42"/>
      <c r="H178" s="150"/>
      <c r="I178" s="165">
        <f>I177/H177</f>
        <v>0.73322658308349231</v>
      </c>
      <c r="J178" s="61"/>
      <c r="K178" s="150"/>
      <c r="L178" s="165">
        <f>IF(L177=0,0,L177/K177)</f>
        <v>0.74579524046977097</v>
      </c>
      <c r="M178" s="164"/>
      <c r="N178" s="60">
        <f t="shared" si="67"/>
        <v>1.2568657386278659E-2</v>
      </c>
      <c r="O178" s="61"/>
      <c r="P178" s="150"/>
      <c r="Q178" s="165">
        <f>IF(Q177=0,0,Q177/P177)</f>
        <v>0.65995705198493471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2"/>
        <v>Service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2"/>
        <v>ServiceM/O Esthétique</v>
      </c>
      <c r="B180" s="12" t="s">
        <v>84</v>
      </c>
      <c r="C180" s="15" t="s">
        <v>91</v>
      </c>
      <c r="D180" s="111">
        <f>+INDEX('[7]Budget original'!$A$2:$AO$496,MATCH($A180,'[7]Budget original'!$A$2:$A$496,0),MATCH(D$2,'[7]Budget original'!$A$2:$AO$2,0))</f>
        <v>0</v>
      </c>
      <c r="E180" s="83">
        <f>+INDEX('[7]Budget original'!$A$2:$AO$496,MATCH($A180,'[7]Budget original'!$A$2:$A$496,0),MATCH(E$2,'[7]Budget original'!$A$2:$AO$2,0))</f>
        <v>57.469847928683798</v>
      </c>
      <c r="F180" s="83">
        <f>+INDEX('[7]Budget original'!$A$2:$AO$496,MATCH($A180,'[7]Budget original'!$A$2:$A$496,0),MATCH(F$2,'[7]Budget original'!$A$2:$AO$2,0))</f>
        <v>42.527687467226009</v>
      </c>
      <c r="G180" s="113">
        <f>+INDEX('[7]Budget révisé'!$A$2:$AO$496,MATCH($A180,'[7]Budget révisé'!$A$2:$A$496,0),MATCH(G$2,'[7]Budget révisé'!$A$2:$AO$2,0))</f>
        <v>0</v>
      </c>
      <c r="H180" s="83">
        <f>+INDEX('[7]Budget révisé'!$A$2:$AO$496,MATCH($A180,'[7]Budget révisé'!$A$2:$A$496,0),MATCH(H$2,'[7]Budget révisé'!$A$2:$AO$2,0))</f>
        <v>57.469847928683798</v>
      </c>
      <c r="I180" s="83">
        <f>+INDEX('[7]Budget révisé'!$A$2:$AO$496,MATCH($A180,'[7]Budget révisé'!$A$2:$A$496,0),MATCH(I$2,'[7]Budget révisé'!$A$2:$AO$2,0))</f>
        <v>42.527687467226009</v>
      </c>
      <c r="J180" s="172">
        <f>-SUMIFS([7]BV_Data_An_Cour!$O:$O,[7]BV_Data_An_Cour!$U:$U,$B180,[7]BV_Data_An_Cour!$V:$V,$C180,[7]BV_Data_An_Cour!$W:$W,J$2)</f>
        <v>0</v>
      </c>
      <c r="K180" s="173">
        <f>-SUMIFS([7]BV_Data_An_Cour!$O:$O,[7]BV_Data_An_Cour!$X:$X,"Oui",[7]BV_Data_An_Cour!$U:$U,$B180,[7]BV_Data_An_Cour!$V:$V,$C180)</f>
        <v>794.2</v>
      </c>
      <c r="L180" s="114">
        <f>-SUMIFS([7]BV_Data_An_Cour!$O:$O,[7]BV_Data_An_Cour!$U:$U,$B180,[7]BV_Data_An_Cour!$V:$V,$C180,[7]BV_Data_An_Cour!$W:$W,$L$2)</f>
        <v>653.80000000000007</v>
      </c>
      <c r="M180" s="182">
        <f>IF(H180=0,0,(K180-H180)/H180)</f>
        <v>12.819420594005202</v>
      </c>
      <c r="N180" s="115">
        <f>L180-I180</f>
        <v>611.27231253277409</v>
      </c>
      <c r="O180" s="172">
        <f>-SUMIFS([7]BV_Data_An_Prec!$O:$O,[7]BV_Data_An_Prec!$U:$U,$B180,[7]BV_Data_An_Prec!$V:$V,$C180,[7]BV_Data_An_Prec!$W:$W,O$2)</f>
        <v>0</v>
      </c>
      <c r="P180" s="173">
        <f>-SUMIFS([7]BV_Data_An_Prec!$O:$O,[7]BV_Data_An_Prec!$X:$X,"Oui",[7]BV_Data_An_Prec!$U:$U,$B180,[7]BV_Data_An_Prec!$V:$V,$C180)</f>
        <v>0.01</v>
      </c>
      <c r="Q180" s="114">
        <f>-SUMIFS([7]BV_Data_An_Prec!$O:$O,[7]BV_Data_An_Prec!$U:$U,$B180,[7]BV_Data_An_Prec!$V:$V,$C180,[7]BV_Data_An_Prec!$W:$W,$L$2)</f>
        <v>0.01</v>
      </c>
      <c r="R180" s="164">
        <f>IF(O180=0,0,J180/O180)</f>
        <v>0</v>
      </c>
      <c r="S180" s="116">
        <f>L180-Q180</f>
        <v>653.79000000000008</v>
      </c>
      <c r="T180" s="83"/>
      <c r="U180" s="14">
        <f>K180*I181</f>
        <v>587.70799999999997</v>
      </c>
      <c r="V180" s="31">
        <f>U180-L180</f>
        <v>-66.092000000000098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2"/>
        <v>Service% profit / ventes</v>
      </c>
      <c r="B181" s="12" t="s">
        <v>84</v>
      </c>
      <c r="C181" s="30" t="s">
        <v>88</v>
      </c>
      <c r="D181" s="77"/>
      <c r="E181" s="183"/>
      <c r="F181" s="165">
        <f>IFERROR(F180/E180,0)</f>
        <v>0.74</v>
      </c>
      <c r="G181" s="79"/>
      <c r="H181" s="183"/>
      <c r="I181" s="165">
        <f>IFERROR(I180/H180,0)</f>
        <v>0.74</v>
      </c>
      <c r="J181" s="184"/>
      <c r="K181" s="183">
        <f>IF(J181&lt;=0,0,L181/J181)</f>
        <v>0</v>
      </c>
      <c r="L181" s="165">
        <f>IF(L180=0,0,L180/K180)</f>
        <v>0.82321833291362378</v>
      </c>
      <c r="M181" s="61">
        <f>J181-G181</f>
        <v>0</v>
      </c>
      <c r="N181" s="185"/>
      <c r="O181" s="184"/>
      <c r="P181" s="183">
        <f>IF(O181&lt;=0,0,Q181/O181)</f>
        <v>0</v>
      </c>
      <c r="Q181" s="165">
        <f>IF(Q180=0,0,Q180/P180)</f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2"/>
        <v>Service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2"/>
        <v>ServiceAjustement M/O</v>
      </c>
      <c r="B183" s="12" t="s">
        <v>84</v>
      </c>
      <c r="C183" s="30" t="s">
        <v>92</v>
      </c>
      <c r="D183" s="14"/>
      <c r="E183" s="14"/>
      <c r="F183" s="60">
        <f>+INDEX('[7]Budget original'!$A$2:$AO$496,MATCH($A183,'[7]Budget original'!$A$2:$A$496,0),MATCH(F$2,'[7]Budget original'!$A$2:$AO$2,0))</f>
        <v>-3776.1121398973351</v>
      </c>
      <c r="G183" s="42"/>
      <c r="H183" s="83"/>
      <c r="I183" s="83">
        <f>+INDEX('[7]Budget révisé'!$A$2:$AO$496,MATCH($A183,'[7]Budget révisé'!$A$2:$A$496,0),MATCH(I$2,'[7]Budget révisé'!$A$2:$AO$2,0))</f>
        <v>-3776.1121398973351</v>
      </c>
      <c r="J183" s="61"/>
      <c r="K183" s="83"/>
      <c r="L183" s="83">
        <f>-SUMIFS([7]BV_Data_An_Cour!$O:$O,[7]BV_Data_An_Cour!$U:$U,$B183,[7]BV_Data_An_Cour!$V:$V,$C183,[7]BV_Data_An_Cour!$W:$W,$L$2)</f>
        <v>-3592.65</v>
      </c>
      <c r="M183" s="184"/>
      <c r="N183" s="60">
        <f t="shared" ref="N183:N184" si="68">L183-I183</f>
        <v>183.46213989733496</v>
      </c>
      <c r="O183" s="61"/>
      <c r="P183" s="83"/>
      <c r="Q183" s="34">
        <f>-SUMIFS([7]BV_Data_An_Prec!$O:$O,[7]BV_Data_An_Prec!$U:$U,$B183,[7]BV_Data_An_Prec!$V:$V,$C183,[7]BV_Data_An_Prec!$W:$W,$L$2)</f>
        <v>-6115.94</v>
      </c>
      <c r="R183" s="193"/>
      <c r="S183" s="86">
        <f t="shared" ref="S183:S184" si="69">L183-Q183</f>
        <v>2523.2899999999995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2"/>
        <v>ServiceSous-total M/O</v>
      </c>
      <c r="B184" s="12" t="s">
        <v>84</v>
      </c>
      <c r="C184" s="194" t="s">
        <v>93</v>
      </c>
      <c r="D184" s="195"/>
      <c r="E184" s="195">
        <f t="shared" ref="E184:F184" si="70">E171+E174+E177+E180+E183</f>
        <v>215679.92824461855</v>
      </c>
      <c r="F184" s="196">
        <f t="shared" si="70"/>
        <v>153809.78318322377</v>
      </c>
      <c r="G184" s="197"/>
      <c r="H184" s="195">
        <f t="shared" ref="H184:L184" si="71">H171+H174+H177+H180+H183</f>
        <v>215679.92824461855</v>
      </c>
      <c r="I184" s="196">
        <f t="shared" si="71"/>
        <v>153809.78318322377</v>
      </c>
      <c r="J184" s="197">
        <f t="shared" si="71"/>
        <v>952</v>
      </c>
      <c r="K184" s="195">
        <f t="shared" si="71"/>
        <v>234061.61</v>
      </c>
      <c r="L184" s="196">
        <f t="shared" si="71"/>
        <v>170106.86999999997</v>
      </c>
      <c r="M184" s="198">
        <f>(K184-H184)/H184</f>
        <v>8.5226668540678521E-2</v>
      </c>
      <c r="N184" s="196">
        <f t="shared" si="68"/>
        <v>16297.086816776195</v>
      </c>
      <c r="O184" s="197">
        <f t="shared" ref="O184:Q184" si="72">O171+O174+O177+O180+O183</f>
        <v>1383</v>
      </c>
      <c r="P184" s="195">
        <f t="shared" si="72"/>
        <v>291653.75</v>
      </c>
      <c r="Q184" s="196">
        <f t="shared" si="72"/>
        <v>200360.79</v>
      </c>
      <c r="R184" s="43">
        <f>IF(O184=0,0,J184/O184)</f>
        <v>0.68835864063629792</v>
      </c>
      <c r="S184" s="199">
        <f t="shared" si="69"/>
        <v>-30253.920000000042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2"/>
        <v>Service% protit / ventes</v>
      </c>
      <c r="B185" s="12" t="s">
        <v>84</v>
      </c>
      <c r="C185" s="200" t="s">
        <v>94</v>
      </c>
      <c r="D185" s="201"/>
      <c r="E185" s="201"/>
      <c r="F185" s="202">
        <f>F184/E184</f>
        <v>0.71313906878148037</v>
      </c>
      <c r="G185" s="203"/>
      <c r="H185" s="530">
        <f>IF(G184=0,0,H184/G184)</f>
        <v>0</v>
      </c>
      <c r="I185" s="44">
        <f>I184/H184</f>
        <v>0.71313906878148037</v>
      </c>
      <c r="J185" s="203"/>
      <c r="K185" s="530">
        <f>IF(J184=0,0,K184/J184)</f>
        <v>245.8630357142857</v>
      </c>
      <c r="L185" s="44">
        <f>IF(L184=0,0,L184/K184)</f>
        <v>0.72676108653614735</v>
      </c>
      <c r="M185" s="203"/>
      <c r="N185" s="202">
        <f>N184/I184</f>
        <v>0.10595611332058454</v>
      </c>
      <c r="O185" s="203"/>
      <c r="P185" s="530">
        <f>IF(O184=0,0,P184/O184)</f>
        <v>210.88485177151119</v>
      </c>
      <c r="Q185" s="44">
        <f>IF(Q184=0,0,Q184/P184)</f>
        <v>0.68698170347543963</v>
      </c>
      <c r="R185" s="203"/>
      <c r="S185" s="45">
        <f>IF(R184=0,0,S184/R184)</f>
        <v>-43950.810252100899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2"/>
        <v>Service</v>
      </c>
      <c r="B186" s="12" t="s">
        <v>84</v>
      </c>
      <c r="C186" s="36"/>
      <c r="D186" s="204"/>
      <c r="E186" s="205"/>
      <c r="F186" s="206"/>
      <c r="G186" s="207"/>
      <c r="H186" s="205"/>
      <c r="I186" s="206"/>
      <c r="J186" s="207"/>
      <c r="K186" s="205"/>
      <c r="L186" s="206"/>
      <c r="M186" s="207"/>
      <c r="N186" s="206"/>
      <c r="O186" s="207"/>
      <c r="P186" s="205"/>
      <c r="Q186" s="206"/>
      <c r="R186" s="207"/>
      <c r="S186" s="208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9.5" customHeight="1">
      <c r="A187" t="str">
        <f t="shared" si="62"/>
        <v>ServiceSous-traitement</v>
      </c>
      <c r="B187" s="12" t="s">
        <v>84</v>
      </c>
      <c r="C187" s="30" t="s">
        <v>95</v>
      </c>
      <c r="D187" s="83"/>
      <c r="E187" s="83">
        <f>+INDEX('[7]Budget original'!$A$2:$AO$496,MATCH($A187,'[7]Budget original'!$A$2:$A$496,0),MATCH(E$2,'[7]Budget original'!$A$2:$AO$2,0))</f>
        <v>27930.607628183541</v>
      </c>
      <c r="F187" s="83">
        <f>+INDEX('[7]Budget original'!$A$2:$AO$496,MATCH($A187,'[7]Budget original'!$A$2:$A$496,0),MATCH(F$2,'[7]Budget original'!$A$2:$AO$2,0))</f>
        <v>6703.3458307640494</v>
      </c>
      <c r="G187" s="61"/>
      <c r="H187" s="83">
        <f>+INDEX('[7]Budget révisé'!$A$2:$AO$496,MATCH($A187,'[7]Budget révisé'!$A$2:$A$496,0),MATCH(H$2,'[7]Budget révisé'!$A$2:$AO$2,0))</f>
        <v>27930.607628183541</v>
      </c>
      <c r="I187" s="83">
        <f>+INDEX('[7]Budget révisé'!$A$2:$AO$496,MATCH($A187,'[7]Budget révisé'!$A$2:$A$496,0),MATCH(I$2,'[7]Budget révisé'!$A$2:$AO$2,0))</f>
        <v>6703.3458307640494</v>
      </c>
      <c r="J187" s="61"/>
      <c r="K187" s="31">
        <f>-SUMIFS([7]BV_Data_An_Cour!$O:$O,[7]BV_Data_An_Cour!$X:$X,"Oui",[7]BV_Data_An_Cour!$U:$U,$B187,[7]BV_Data_An_Cour!$V:$V,$C187)</f>
        <v>27060.03</v>
      </c>
      <c r="L187" s="34">
        <f>-SUMIFS([7]BV_Data_An_Cour!$O:$O,[7]BV_Data_An_Cour!$U:$U,$B187,[7]BV_Data_An_Cour!$V:$V,$C187,[7]BV_Data_An_Cour!$W:$W,$L$2)</f>
        <v>5608.0999999999985</v>
      </c>
      <c r="M187" s="85">
        <f>IF(H187=0,0,(K187-H187)/H187)</f>
        <v>-3.1169305006636554E-2</v>
      </c>
      <c r="N187" s="60">
        <f>L187-I187</f>
        <v>-1095.2458307640509</v>
      </c>
      <c r="O187" s="61"/>
      <c r="P187" s="31">
        <f>-SUMIFS([7]BV_Data_An_Prec!$O:$O,[7]BV_Data_An_Prec!$X:$X,"Oui",[7]BV_Data_An_Prec!$U:$U,$B187,[7]BV_Data_An_Prec!$V:$V,$C187)</f>
        <v>52150.06</v>
      </c>
      <c r="Q187" s="34">
        <f>-SUMIFS([7]BV_Data_An_Prec!$O:$O,[7]BV_Data_An_Prec!$U:$U,$B187,[7]BV_Data_An_Prec!$V:$V,$C187,[7]BV_Data_An_Prec!$W:$W,$L$2)</f>
        <v>12165.36</v>
      </c>
      <c r="R187" s="164">
        <f>IF(O187=0,0,J187/O187)</f>
        <v>0</v>
      </c>
      <c r="S187" s="86">
        <f>L187-Q187</f>
        <v>-6557.260000000002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1" customHeight="1">
      <c r="A188" t="str">
        <f t="shared" si="62"/>
        <v>Service% profit / ventes</v>
      </c>
      <c r="B188" s="12" t="s">
        <v>84</v>
      </c>
      <c r="C188" s="30" t="s">
        <v>88</v>
      </c>
      <c r="D188" s="14"/>
      <c r="E188" s="150"/>
      <c r="F188" s="165">
        <f>IFERROR(F187/E187,0)</f>
        <v>0.24</v>
      </c>
      <c r="G188" s="42"/>
      <c r="H188" s="150"/>
      <c r="I188" s="165">
        <f>IFERROR(I187/H187,0)</f>
        <v>0.24</v>
      </c>
      <c r="J188" s="184"/>
      <c r="K188" s="183"/>
      <c r="L188" s="165">
        <f>IF(L187=0,0,L187/K187)</f>
        <v>0.20724662906877778</v>
      </c>
      <c r="M188" s="184"/>
      <c r="N188" s="185"/>
      <c r="O188" s="184"/>
      <c r="P188" s="183"/>
      <c r="Q188" s="165">
        <f>IF(Q187=0,0,Q187/P187)</f>
        <v>0.23327604992209022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2"/>
        <v>Service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2"/>
        <v>ServiceM.O. Recond. MCPA</v>
      </c>
      <c r="B190" s="12" t="s">
        <v>84</v>
      </c>
      <c r="C190" s="30" t="s">
        <v>96</v>
      </c>
      <c r="D190" s="14"/>
      <c r="E190" s="83">
        <f>+INDEX('[7]Budget original'!$A$2:$AO$496,MATCH($A190,'[7]Budget original'!$A$2:$A$496,0),MATCH(E$2,'[7]Budget original'!$A$2:$AO$2,0))</f>
        <v>0</v>
      </c>
      <c r="F190" s="83">
        <f>+INDEX('[7]Budget original'!$A$2:$AO$496,MATCH($A190,'[7]Budget original'!$A$2:$A$496,0),MATCH(F$2,'[7]Budget original'!$A$2:$AO$2,0))</f>
        <v>0</v>
      </c>
      <c r="G190" s="42"/>
      <c r="H190" s="83">
        <f>+INDEX('[7]Budget révisé'!$A$2:$AO$496,MATCH($A190,'[7]Budget révisé'!$A$2:$A$496,0),MATCH(H$2,'[7]Budget révisé'!$A$2:$AO$2,0))</f>
        <v>0</v>
      </c>
      <c r="I190" s="83">
        <f>+INDEX('[7]Budget révisé'!$A$2:$AO$496,MATCH($A190,'[7]Budget révisé'!$A$2:$A$496,0),MATCH(I$2,'[7]Budget révisé'!$A$2:$AO$2,0))</f>
        <v>0</v>
      </c>
      <c r="J190" s="184"/>
      <c r="K190" s="31">
        <f>-SUMIFS([7]BV_Data_An_Cour!$O:$O,[7]BV_Data_An_Cour!$X:$X,"Oui",[7]BV_Data_An_Cour!$U:$U,$B190,[7]BV_Data_An_Cour!$V:$V,$C190)</f>
        <v>0</v>
      </c>
      <c r="L190" s="165"/>
      <c r="M190" s="184"/>
      <c r="N190" s="185"/>
      <c r="O190" s="184"/>
      <c r="P190" s="31">
        <f>-SUMIFS([7]BV_Data_An_Prec!$O:$O,[7]BV_Data_An_Prec!$X:$X,"Oui",[7]BV_Data_An_Prec!$U:$U,$B190,[7]BV_Data_An_Prec!$V:$V,$C190)</f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2"/>
        <v>Service% profit / ventes</v>
      </c>
      <c r="B191" s="12" t="s">
        <v>84</v>
      </c>
      <c r="C191" s="30" t="s">
        <v>88</v>
      </c>
      <c r="D191" s="14"/>
      <c r="E191" s="150"/>
      <c r="F191" s="165">
        <f>IF(F190=0,0,F190/E190)</f>
        <v>0</v>
      </c>
      <c r="G191" s="42"/>
      <c r="H191" s="150"/>
      <c r="I191" s="165">
        <f>IF(I190=0,0,I190/H190)</f>
        <v>0</v>
      </c>
      <c r="J191" s="184"/>
      <c r="K191" s="183"/>
      <c r="L191" s="165">
        <f>IF(L190=0,0,L190/K190)</f>
        <v>0</v>
      </c>
      <c r="M191" s="184"/>
      <c r="N191" s="185"/>
      <c r="O191" s="184"/>
      <c r="P191" s="183"/>
      <c r="Q191" s="165">
        <f>IF(Q190=0,0,Q190/P190)</f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2"/>
        <v>Service</v>
      </c>
      <c r="B192" s="12" t="s">
        <v>84</v>
      </c>
      <c r="C192" s="209"/>
      <c r="D192" s="210"/>
      <c r="E192" s="211"/>
      <c r="F192" s="212"/>
      <c r="G192" s="213"/>
      <c r="H192" s="211"/>
      <c r="I192" s="212"/>
      <c r="J192" s="213"/>
      <c r="K192" s="211"/>
      <c r="L192" s="212"/>
      <c r="M192" s="213"/>
      <c r="N192" s="212"/>
      <c r="O192" s="213"/>
      <c r="P192" s="211"/>
      <c r="Q192" s="212"/>
      <c r="R192" s="213"/>
      <c r="S192" s="214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4.75" customHeight="1" thickTop="1">
      <c r="A193" t="str">
        <f t="shared" si="62"/>
        <v>ServiceTotal Mécanique</v>
      </c>
      <c r="B193" s="12" t="s">
        <v>84</v>
      </c>
      <c r="C193" s="63" t="s">
        <v>97</v>
      </c>
      <c r="D193" s="64"/>
      <c r="E193" s="64">
        <f t="shared" ref="E193:F193" si="73">E184+E187+E190</f>
        <v>243610.53587280208</v>
      </c>
      <c r="F193" s="66">
        <f t="shared" si="73"/>
        <v>160513.12901398781</v>
      </c>
      <c r="G193" s="67"/>
      <c r="H193" s="64">
        <f t="shared" ref="H193:I193" si="74">H184+H187+H190</f>
        <v>243610.53587280208</v>
      </c>
      <c r="I193" s="66">
        <f t="shared" si="74"/>
        <v>160513.12901398781</v>
      </c>
      <c r="J193" s="67"/>
      <c r="K193" s="64">
        <f>K184+K187+K190</f>
        <v>261121.63999999998</v>
      </c>
      <c r="L193" s="66">
        <f t="shared" ref="L193" si="75">L184+L187+L190</f>
        <v>175714.96999999997</v>
      </c>
      <c r="M193" s="215">
        <f>L194-I194</f>
        <v>1.4031421058559257E-2</v>
      </c>
      <c r="N193" s="66">
        <f>L193-I193</f>
        <v>15201.840986012161</v>
      </c>
      <c r="O193" s="67"/>
      <c r="P193" s="64">
        <f>P184+P187+P190</f>
        <v>343803.81</v>
      </c>
      <c r="Q193" s="66">
        <f t="shared" ref="Q193" si="76">Q184+Q187+Q190</f>
        <v>212526.15000000002</v>
      </c>
      <c r="R193" s="215">
        <f>L194-Q194</f>
        <v>5.476268926667216E-2</v>
      </c>
      <c r="S193" s="69">
        <f>L193-Q193</f>
        <v>-36811.180000000051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4" customHeight="1" thickBot="1">
      <c r="A194" t="str">
        <f t="shared" si="62"/>
        <v>Service</v>
      </c>
      <c r="B194" s="12" t="s">
        <v>84</v>
      </c>
      <c r="C194" s="70"/>
      <c r="D194" s="71"/>
      <c r="E194" s="71"/>
      <c r="F194" s="75">
        <f>F193/E193</f>
        <v>0.65889239329861149</v>
      </c>
      <c r="G194" s="73"/>
      <c r="H194" s="71"/>
      <c r="I194" s="75">
        <f>I193/H193</f>
        <v>0.65889239329861149</v>
      </c>
      <c r="J194" s="73"/>
      <c r="K194" s="71"/>
      <c r="L194" s="75">
        <f>L193/K193</f>
        <v>0.67292381435717075</v>
      </c>
      <c r="M194" s="74"/>
      <c r="N194" s="75">
        <f>N193/I193</f>
        <v>9.4707772998976342E-2</v>
      </c>
      <c r="O194" s="73"/>
      <c r="P194" s="71"/>
      <c r="Q194" s="75">
        <f>Q193/P193</f>
        <v>0.61816112509049859</v>
      </c>
      <c r="R194" s="74"/>
      <c r="S194" s="76">
        <f>L193/S193</f>
        <v>-4.7734131315540473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2"/>
        <v>Service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2"/>
        <v>ServiceDEPENSES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2"/>
        <v>ServiceSalaires cadres</v>
      </c>
      <c r="B197" s="12" t="s">
        <v>84</v>
      </c>
      <c r="C197" s="108" t="s">
        <v>42</v>
      </c>
      <c r="D197" s="14"/>
      <c r="E197" s="14"/>
      <c r="F197" s="31">
        <f>+INDEX('[7]Budget original'!$A$2:$AO$496,MATCH($A197,'[7]Budget original'!$A$2:$A$496,0),MATCH(F$2,'[7]Budget original'!$A$2:$AO$2,0))</f>
        <v>12520.167657931033</v>
      </c>
      <c r="G197" s="42"/>
      <c r="H197" s="14"/>
      <c r="I197" s="31">
        <f>+INDEX('[7]Budget révisé'!$A$2:$AO$496,MATCH($A197,'[7]Budget révisé'!$A$2:$A$496,0),MATCH(I$2,'[7]Budget révisé'!$A$2:$AO$2,0))</f>
        <v>12520.167657931033</v>
      </c>
      <c r="J197" s="42"/>
      <c r="K197" s="14"/>
      <c r="L197" s="34">
        <f>SUMIFS([7]BV_Data_An_Cour!$O:$O,[7]BV_Data_An_Cour!$U:$U,$B197,[7]BV_Data_An_Cour!$V:$V,$C197,[7]BV_Data_An_Cour!$W:$W,$L$2)</f>
        <v>11329.02</v>
      </c>
      <c r="M197" s="42"/>
      <c r="N197" s="60">
        <f t="shared" ref="N197:N228" si="77">L197-I197</f>
        <v>-1191.1476579310329</v>
      </c>
      <c r="O197" s="42"/>
      <c r="P197" s="14"/>
      <c r="Q197" s="34">
        <f>SUMIFS([7]BV_Data_An_Prec!$O:$O,[7]BV_Data_An_Prec!$U:$U,$B197,[7]BV_Data_An_Prec!$V:$V,$C197,[7]BV_Data_An_Prec!$W:$W,$L$2)</f>
        <v>12050.77</v>
      </c>
      <c r="R197" s="42"/>
      <c r="S197" s="35">
        <f>L197-Q197</f>
        <v>-721.75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2"/>
        <v>ServiceSalaires commis</v>
      </c>
      <c r="B198" s="12" t="s">
        <v>84</v>
      </c>
      <c r="C198" s="109" t="s">
        <v>43</v>
      </c>
      <c r="D198" s="82"/>
      <c r="E198" s="14"/>
      <c r="F198" s="23">
        <f>+INDEX('[7]Budget original'!$A$2:$AO$496,MATCH($A198,'[7]Budget original'!$A$2:$A$496,0),MATCH(F$2,'[7]Budget original'!$A$2:$AO$2,0))</f>
        <v>9162.5139436321842</v>
      </c>
      <c r="G198" s="84"/>
      <c r="H198" s="14"/>
      <c r="I198" s="23">
        <f>+INDEX('[7]Budget révisé'!$A$2:$AO$496,MATCH($A198,'[7]Budget révisé'!$A$2:$A$496,0),MATCH(I$2,'[7]Budget révisé'!$A$2:$AO$2,0))</f>
        <v>9162.5139436321842</v>
      </c>
      <c r="J198" s="42"/>
      <c r="K198" s="14"/>
      <c r="L198" s="34">
        <f>SUMIFS([7]BV_Data_An_Cour!$O:$O,[7]BV_Data_An_Cour!$U:$U,$B198,[7]BV_Data_An_Cour!$V:$V,$C198,[7]BV_Data_An_Cour!$W:$W,$L$2)</f>
        <v>8980.89</v>
      </c>
      <c r="M198" s="42"/>
      <c r="N198" s="60">
        <f t="shared" si="77"/>
        <v>-181.62394363218482</v>
      </c>
      <c r="O198" s="42"/>
      <c r="P198" s="14"/>
      <c r="Q198" s="34">
        <f>SUMIFS([7]BV_Data_An_Prec!$O:$O,[7]BV_Data_An_Prec!$U:$U,$B198,[7]BV_Data_An_Prec!$V:$V,$C198,[7]BV_Data_An_Prec!$W:$W,$L$2)</f>
        <v>11378.31</v>
      </c>
      <c r="R198" s="42"/>
      <c r="S198" s="86">
        <f t="shared" ref="S198:S228" si="78">L198-Q198</f>
        <v>-2397.42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9.25" customHeight="1">
      <c r="A199" t="str">
        <f t="shared" si="62"/>
        <v>ServiceSalaires autres</v>
      </c>
      <c r="B199" s="12" t="s">
        <v>84</v>
      </c>
      <c r="C199" s="108" t="s">
        <v>44</v>
      </c>
      <c r="D199" s="110"/>
      <c r="E199" s="111"/>
      <c r="F199" s="31">
        <f>+INDEX('[7]Budget original'!$A$2:$AO$496,MATCH($A199,'[7]Budget original'!$A$2:$A$496,0),MATCH(F$2,'[7]Budget original'!$A$2:$AO$2,0))</f>
        <v>12376.948915567818</v>
      </c>
      <c r="G199" s="112"/>
      <c r="H199" s="111"/>
      <c r="I199" s="31">
        <f>+INDEX('[7]Budget révisé'!$A$2:$AO$496,MATCH($A199,'[7]Budget révisé'!$A$2:$A$496,0),MATCH(I$2,'[7]Budget révisé'!$A$2:$AO$2,0))</f>
        <v>12376.948915567818</v>
      </c>
      <c r="J199" s="113"/>
      <c r="K199" s="111"/>
      <c r="L199" s="114">
        <f>SUMIFS([7]BV_Data_An_Cour!$O:$O,[7]BV_Data_An_Cour!$U:$U,$B199,[7]BV_Data_An_Cour!$V:$V,$C199,[7]BV_Data_An_Cour!$W:$W,$L$2)</f>
        <v>8753.6200000000008</v>
      </c>
      <c r="M199" s="113"/>
      <c r="N199" s="115">
        <f t="shared" si="77"/>
        <v>-3623.3289155678176</v>
      </c>
      <c r="O199" s="113"/>
      <c r="P199" s="111"/>
      <c r="Q199" s="114">
        <f>SUMIFS([7]BV_Data_An_Prec!$O:$O,[7]BV_Data_An_Prec!$U:$U,$B199,[7]BV_Data_An_Prec!$V:$V,$C199,[7]BV_Data_An_Prec!$W:$W,$L$2)</f>
        <v>10353.65</v>
      </c>
      <c r="R199" s="113"/>
      <c r="S199" s="116">
        <f t="shared" si="78"/>
        <v>-1600.0299999999988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1.75" customHeight="1">
      <c r="A200" t="str">
        <f t="shared" si="62"/>
        <v>ServiceSalaires spécialistes</v>
      </c>
      <c r="B200" s="12" t="s">
        <v>84</v>
      </c>
      <c r="C200" s="108" t="s">
        <v>45</v>
      </c>
      <c r="D200" s="82"/>
      <c r="E200" s="14"/>
      <c r="F200" s="31">
        <f>+INDEX('[7]Budget original'!$A$2:$AO$496,MATCH($A200,'[7]Budget original'!$A$2:$A$496,0),MATCH(F$2,'[7]Budget original'!$A$2:$AO$2,0))</f>
        <v>31130.499641379309</v>
      </c>
      <c r="G200" s="84"/>
      <c r="H200" s="14"/>
      <c r="I200" s="31">
        <f>+INDEX('[7]Budget révisé'!$A$2:$AO$496,MATCH($A200,'[7]Budget révisé'!$A$2:$A$496,0),MATCH(I$2,'[7]Budget révisé'!$A$2:$AO$2,0))</f>
        <v>31130.499641379309</v>
      </c>
      <c r="J200" s="42"/>
      <c r="K200" s="14"/>
      <c r="L200" s="34">
        <f>SUMIFS([7]BV_Data_An_Cour!$O:$O,[7]BV_Data_An_Cour!$U:$U,$B200,[7]BV_Data_An_Cour!$V:$V,$C200,[7]BV_Data_An_Cour!$W:$W,$L$2)</f>
        <v>27905.55</v>
      </c>
      <c r="M200" s="42"/>
      <c r="N200" s="60">
        <f t="shared" si="77"/>
        <v>-3224.9496413793095</v>
      </c>
      <c r="O200" s="42"/>
      <c r="P200" s="14"/>
      <c r="Q200" s="34">
        <f>SUMIFS([7]BV_Data_An_Prec!$O:$O,[7]BV_Data_An_Prec!$U:$U,$B200,[7]BV_Data_An_Prec!$V:$V,$C200,[7]BV_Data_An_Prec!$W:$W,$L$2)</f>
        <v>24692.68</v>
      </c>
      <c r="R200" s="42"/>
      <c r="S200" s="86">
        <f t="shared" si="78"/>
        <v>3212.869999999999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2"/>
        <v>Service[...]</v>
      </c>
      <c r="B201" s="12" t="s">
        <v>84</v>
      </c>
      <c r="C201" s="30" t="s">
        <v>21</v>
      </c>
      <c r="D201" s="82"/>
      <c r="E201" s="14"/>
      <c r="F201" s="31">
        <f>+INDEX('[7]Budget original'!$A$2:$AO$496,MATCH($A201,'[7]Budget original'!$A$2:$A$496,0),MATCH(F$2,'[7]Budget original'!$A$2:$AO$2,0))</f>
        <v>0</v>
      </c>
      <c r="G201" s="84"/>
      <c r="H201" s="14"/>
      <c r="I201" s="31">
        <f>+INDEX('[7]Budget révisé'!$A$2:$AO$496,MATCH($A201,'[7]Budget révisé'!$A$2:$A$496,0),MATCH(I$2,'[7]Budget révisé'!$A$2:$AO$2,0))</f>
        <v>0</v>
      </c>
      <c r="J201" s="42"/>
      <c r="K201" s="14"/>
      <c r="L201" s="34">
        <f>SUMIFS([7]BV_Data_An_Cour!$O:$O,[7]BV_Data_An_Cour!$U:$U,$B201,[7]BV_Data_An_Cour!$V:$V,$C201,[7]BV_Data_An_Cour!$W:$W,$L$2)</f>
        <v>0</v>
      </c>
      <c r="M201" s="42"/>
      <c r="N201" s="60">
        <f t="shared" si="77"/>
        <v>0</v>
      </c>
      <c r="O201" s="42"/>
      <c r="P201" s="14"/>
      <c r="Q201" s="34">
        <f>SUMIFS([7]BV_Data_An_Prec!$O:$O,[7]BV_Data_An_Prec!$U:$U,$B201,[7]BV_Data_An_Prec!$V:$V,$C201,[7]BV_Data_An_Prec!$W:$W,$L$2)</f>
        <v>0</v>
      </c>
      <c r="R201" s="42"/>
      <c r="S201" s="86">
        <f t="shared" si="78"/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2"/>
        <v>Service[...]</v>
      </c>
      <c r="B202" s="12" t="s">
        <v>84</v>
      </c>
      <c r="C202" s="30" t="s">
        <v>21</v>
      </c>
      <c r="D202" s="82"/>
      <c r="E202" s="14"/>
      <c r="F202" s="31">
        <f>+INDEX('[7]Budget original'!$A$2:$AO$496,MATCH($A202,'[7]Budget original'!$A$2:$A$496,0),MATCH(F$2,'[7]Budget original'!$A$2:$AO$2,0))</f>
        <v>0</v>
      </c>
      <c r="G202" s="84"/>
      <c r="H202" s="14"/>
      <c r="I202" s="31">
        <f>+INDEX('[7]Budget révisé'!$A$2:$AO$496,MATCH($A202,'[7]Budget révisé'!$A$2:$A$496,0),MATCH(I$2,'[7]Budget révisé'!$A$2:$AO$2,0))</f>
        <v>0</v>
      </c>
      <c r="J202" s="42"/>
      <c r="K202" s="14"/>
      <c r="L202" s="34">
        <f>SUMIFS([7]BV_Data_An_Cour!$O:$O,[7]BV_Data_An_Cour!$U:$U,$B202,[7]BV_Data_An_Cour!$V:$V,$C202,[7]BV_Data_An_Cour!$W:$W,$L$2)</f>
        <v>0</v>
      </c>
      <c r="M202" s="42"/>
      <c r="N202" s="60">
        <f t="shared" si="77"/>
        <v>0</v>
      </c>
      <c r="O202" s="42"/>
      <c r="P202" s="14"/>
      <c r="Q202" s="34">
        <f>SUMIFS([7]BV_Data_An_Prec!$O:$O,[7]BV_Data_An_Prec!$U:$U,$B202,[7]BV_Data_An_Prec!$V:$V,$C202,[7]BV_Data_An_Prec!$W:$W,$L$2)</f>
        <v>0</v>
      </c>
      <c r="R202" s="42"/>
      <c r="S202" s="86">
        <f t="shared" si="78"/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2"/>
        <v>Service[...]</v>
      </c>
      <c r="B203" s="12" t="s">
        <v>84</v>
      </c>
      <c r="C203" s="30" t="s">
        <v>21</v>
      </c>
      <c r="D203" s="82"/>
      <c r="E203" s="14"/>
      <c r="F203" s="31">
        <f>+INDEX('[7]Budget original'!$A$2:$AO$496,MATCH($A203,'[7]Budget original'!$A$2:$A$496,0),MATCH(F$2,'[7]Budget original'!$A$2:$AO$2,0))</f>
        <v>0</v>
      </c>
      <c r="G203" s="84"/>
      <c r="H203" s="14"/>
      <c r="I203" s="31">
        <f>+INDEX('[7]Budget révisé'!$A$2:$AO$496,MATCH($A203,'[7]Budget révisé'!$A$2:$A$496,0),MATCH(I$2,'[7]Budget révisé'!$A$2:$AO$2,0))</f>
        <v>0</v>
      </c>
      <c r="J203" s="42"/>
      <c r="K203" s="14"/>
      <c r="L203" s="34">
        <f>SUMIFS([7]BV_Data_An_Cour!$O:$O,[7]BV_Data_An_Cour!$U:$U,$B203,[7]BV_Data_An_Cour!$V:$V,$C203,[7]BV_Data_An_Cour!$W:$W,$L$2)</f>
        <v>0</v>
      </c>
      <c r="M203" s="42"/>
      <c r="N203" s="60">
        <f t="shared" si="77"/>
        <v>0</v>
      </c>
      <c r="O203" s="42"/>
      <c r="P203" s="14"/>
      <c r="Q203" s="34">
        <f>SUMIFS([7]BV_Data_An_Prec!$O:$O,[7]BV_Data_An_Prec!$U:$U,$B203,[7]BV_Data_An_Prec!$V:$V,$C203,[7]BV_Data_An_Prec!$W:$W,$L$2)</f>
        <v>0</v>
      </c>
      <c r="R203" s="42"/>
      <c r="S203" s="86">
        <f t="shared" si="78"/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1.75" customHeight="1">
      <c r="A204" t="str">
        <f t="shared" si="62"/>
        <v>ServiceSalaires en absences</v>
      </c>
      <c r="B204" s="12" t="s">
        <v>84</v>
      </c>
      <c r="C204" s="109" t="s">
        <v>46</v>
      </c>
      <c r="D204" s="82"/>
      <c r="E204" s="14"/>
      <c r="F204" s="31">
        <f>+INDEX('[7]Budget original'!$A$2:$AO$496,MATCH($A204,'[7]Budget original'!$A$2:$A$496,0),MATCH(F$2,'[7]Budget original'!$A$2:$AO$2,0))</f>
        <v>16922.636419021241</v>
      </c>
      <c r="G204" s="84"/>
      <c r="H204" s="14"/>
      <c r="I204" s="31">
        <f>+INDEX('[7]Budget révisé'!$A$2:$AO$496,MATCH($A204,'[7]Budget révisé'!$A$2:$A$496,0),MATCH(I$2,'[7]Budget révisé'!$A$2:$AO$2,0))</f>
        <v>16922.636419021241</v>
      </c>
      <c r="J204" s="42"/>
      <c r="K204" s="14"/>
      <c r="L204" s="34">
        <f>SUMIFS([7]BV_Data_An_Cour!$O:$O,[7]BV_Data_An_Cour!$U:$U,$B204,[7]BV_Data_An_Cour!$V:$V,$C204,[7]BV_Data_An_Cour!$W:$W,$L$2)</f>
        <v>14695.77</v>
      </c>
      <c r="M204" s="42"/>
      <c r="N204" s="60">
        <f t="shared" si="77"/>
        <v>-2226.8664190212403</v>
      </c>
      <c r="O204" s="42"/>
      <c r="P204" s="14"/>
      <c r="Q204" s="34">
        <f>SUMIFS([7]BV_Data_An_Prec!$O:$O,[7]BV_Data_An_Prec!$U:$U,$B204,[7]BV_Data_An_Prec!$V:$V,$C204,[7]BV_Data_An_Prec!$W:$W,$L$2)</f>
        <v>17938.189999999999</v>
      </c>
      <c r="R204" s="42"/>
      <c r="S204" s="86">
        <f t="shared" si="78"/>
        <v>-3242.4199999999983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2"/>
        <v>ServiceDéduction à la source</v>
      </c>
      <c r="B205" s="12" t="s">
        <v>84</v>
      </c>
      <c r="C205" s="108" t="s">
        <v>47</v>
      </c>
      <c r="D205" s="110"/>
      <c r="E205" s="111"/>
      <c r="F205" s="56">
        <f>+INDEX('[7]Budget original'!$A$2:$AO$496,MATCH($A205,'[7]Budget original'!$A$2:$A$496,0),MATCH(F$2,'[7]Budget original'!$A$2:$AO$2,0))</f>
        <v>16922.636419021241</v>
      </c>
      <c r="G205" s="112"/>
      <c r="H205" s="111"/>
      <c r="I205" s="56">
        <f>+INDEX('[7]Budget révisé'!$A$2:$AO$496,MATCH($A205,'[7]Budget révisé'!$A$2:$A$496,0),MATCH(I$2,'[7]Budget révisé'!$A$2:$AO$2,0))</f>
        <v>16922.636419021241</v>
      </c>
      <c r="J205" s="113"/>
      <c r="K205" s="111"/>
      <c r="L205" s="114">
        <f>SUMIFS([7]BV_Data_An_Cour!$O:$O,[7]BV_Data_An_Cour!$U:$U,$B205,[7]BV_Data_An_Cour!$V:$V,$C205,[7]BV_Data_An_Cour!$W:$W,$L$2)</f>
        <v>16699.61</v>
      </c>
      <c r="M205" s="113"/>
      <c r="N205" s="115">
        <f t="shared" si="77"/>
        <v>-223.02641902124014</v>
      </c>
      <c r="O205" s="113"/>
      <c r="P205" s="111"/>
      <c r="Q205" s="114">
        <f>SUMIFS([7]BV_Data_An_Prec!$O:$O,[7]BV_Data_An_Prec!$U:$U,$B205,[7]BV_Data_An_Prec!$V:$V,$C205,[7]BV_Data_An_Prec!$W:$W,$L$2)</f>
        <v>14557.74</v>
      </c>
      <c r="R205" s="113"/>
      <c r="S205" s="116">
        <f t="shared" si="78"/>
        <v>2141.8700000000008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2"/>
        <v>ServiceBénéfices marginaux</v>
      </c>
      <c r="B206" s="12" t="s">
        <v>84</v>
      </c>
      <c r="C206" s="108" t="s">
        <v>48</v>
      </c>
      <c r="D206" s="82"/>
      <c r="E206" s="14"/>
      <c r="F206" s="31">
        <f>+INDEX('[7]Budget original'!$A$2:$AO$496,MATCH($A206,'[7]Budget original'!$A$2:$A$496,0),MATCH(F$2,'[7]Budget original'!$A$2:$AO$2,0))</f>
        <v>12127.889433631888</v>
      </c>
      <c r="G206" s="84"/>
      <c r="H206" s="14"/>
      <c r="I206" s="31">
        <f>+INDEX('[7]Budget révisé'!$A$2:$AO$496,MATCH($A206,'[7]Budget révisé'!$A$2:$A$496,0),MATCH(I$2,'[7]Budget révisé'!$A$2:$AO$2,0))</f>
        <v>12127.889433631888</v>
      </c>
      <c r="J206" s="42"/>
      <c r="K206" s="14"/>
      <c r="L206" s="34">
        <f>SUMIFS([7]BV_Data_An_Cour!$O:$O,[7]BV_Data_An_Cour!$U:$U,$B206,[7]BV_Data_An_Cour!$V:$V,$C206,[7]BV_Data_An_Cour!$W:$W,$L$2)</f>
        <v>11968.05</v>
      </c>
      <c r="M206" s="42"/>
      <c r="N206" s="60">
        <f t="shared" si="77"/>
        <v>-159.83943363188882</v>
      </c>
      <c r="O206" s="42"/>
      <c r="P206" s="14"/>
      <c r="Q206" s="34">
        <f>SUMIFS([7]BV_Data_An_Prec!$O:$O,[7]BV_Data_An_Prec!$U:$U,$B206,[7]BV_Data_An_Prec!$V:$V,$C206,[7]BV_Data_An_Prec!$W:$W,$L$2)</f>
        <v>9555.3799999999992</v>
      </c>
      <c r="R206" s="42"/>
      <c r="S206" s="86">
        <f t="shared" si="78"/>
        <v>2412.67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2"/>
        <v>ServiceCsst</v>
      </c>
      <c r="B207" s="12" t="s">
        <v>84</v>
      </c>
      <c r="C207" s="108" t="s">
        <v>49</v>
      </c>
      <c r="D207" s="82"/>
      <c r="E207" s="14"/>
      <c r="F207" s="31">
        <f>+INDEX('[7]Budget original'!$A$2:$AO$496,MATCH($A207,'[7]Budget original'!$A$2:$A$496,0),MATCH(F$2,'[7]Budget original'!$A$2:$AO$2,0))</f>
        <v>2820.4394031702068</v>
      </c>
      <c r="G207" s="84"/>
      <c r="H207" s="14"/>
      <c r="I207" s="31">
        <f>+INDEX('[7]Budget révisé'!$A$2:$AO$496,MATCH($A207,'[7]Budget révisé'!$A$2:$A$496,0),MATCH(I$2,'[7]Budget révisé'!$A$2:$AO$2,0))</f>
        <v>2820.4394031702068</v>
      </c>
      <c r="J207" s="42"/>
      <c r="K207" s="14"/>
      <c r="L207" s="34">
        <f>SUMIFS([7]BV_Data_An_Cour!$O:$O,[7]BV_Data_An_Cour!$U:$U,$B207,[7]BV_Data_An_Cour!$V:$V,$C207,[7]BV_Data_An_Cour!$W:$W,$L$2)</f>
        <v>2783.27</v>
      </c>
      <c r="M207" s="42"/>
      <c r="N207" s="60">
        <f t="shared" si="77"/>
        <v>-37.169403170206806</v>
      </c>
      <c r="O207" s="42"/>
      <c r="P207" s="14"/>
      <c r="Q207" s="34">
        <f>SUMIFS([7]BV_Data_An_Prec!$O:$O,[7]BV_Data_An_Prec!$U:$U,$B207,[7]BV_Data_An_Prec!$V:$V,$C207,[7]BV_Data_An_Prec!$W:$W,$L$2)</f>
        <v>3304.97</v>
      </c>
      <c r="R207" s="42"/>
      <c r="S207" s="86">
        <f t="shared" si="78"/>
        <v>-521.69999999999982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2"/>
        <v>Service[...]</v>
      </c>
      <c r="B208" s="12" t="s">
        <v>84</v>
      </c>
      <c r="C208" s="30" t="s">
        <v>21</v>
      </c>
      <c r="D208" s="89"/>
      <c r="E208" s="117"/>
      <c r="F208" s="31">
        <f>+INDEX('[7]Budget original'!$A$2:$AO$496,MATCH($A208,'[7]Budget original'!$A$2:$A$496,0),MATCH(F$2,'[7]Budget original'!$A$2:$AO$2,0))</f>
        <v>0</v>
      </c>
      <c r="G208" s="91"/>
      <c r="H208" s="117"/>
      <c r="I208" s="31">
        <f>+INDEX('[7]Budget révisé'!$A$2:$AO$496,MATCH($A208,'[7]Budget révisé'!$A$2:$A$496,0),MATCH(I$2,'[7]Budget révisé'!$A$2:$AO$2,0))</f>
        <v>0</v>
      </c>
      <c r="J208" s="24"/>
      <c r="K208" s="117"/>
      <c r="L208" s="34">
        <f>SUMIFS([7]BV_Data_An_Cour!$O:$O,[7]BV_Data_An_Cour!$U:$U,$B208,[7]BV_Data_An_Cour!$V:$V,$C208,[7]BV_Data_An_Cour!$W:$W,$L$2)</f>
        <v>0</v>
      </c>
      <c r="M208" s="24"/>
      <c r="N208" s="94">
        <f t="shared" si="77"/>
        <v>0</v>
      </c>
      <c r="O208" s="24"/>
      <c r="P208" s="117"/>
      <c r="Q208" s="34">
        <f>SUMIFS([7]BV_Data_An_Prec!$O:$O,[7]BV_Data_An_Prec!$U:$U,$B208,[7]BV_Data_An_Prec!$V:$V,$C208,[7]BV_Data_An_Prec!$W:$W,$L$2)</f>
        <v>0</v>
      </c>
      <c r="R208" s="24"/>
      <c r="S208" s="95">
        <f t="shared" si="78"/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2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0.71012092614194744</v>
      </c>
      <c r="F209" s="102">
        <f>+SUM(F197:F208)</f>
        <v>113983.73183335492</v>
      </c>
      <c r="G209" s="103" t="s">
        <v>98</v>
      </c>
      <c r="H209" s="101">
        <f>I209/I$193</f>
        <v>0.71012092614194744</v>
      </c>
      <c r="I209" s="102">
        <f>+SUM(I197:I208)</f>
        <v>113983.73183335492</v>
      </c>
      <c r="J209" s="103" t="s">
        <v>98</v>
      </c>
      <c r="K209" s="101">
        <f>L209/L$193</f>
        <v>0.58683548703903843</v>
      </c>
      <c r="L209" s="102">
        <f>+SUM(L197:L208)</f>
        <v>103115.78000000001</v>
      </c>
      <c r="M209" s="154"/>
      <c r="N209" s="119">
        <f t="shared" si="77"/>
        <v>-10867.951833354906</v>
      </c>
      <c r="O209" s="103" t="s">
        <v>98</v>
      </c>
      <c r="P209" s="101">
        <f>Q209/Q$193</f>
        <v>0.48855959607794147</v>
      </c>
      <c r="Q209" s="102">
        <f>+SUM(Q197:Q208)</f>
        <v>103831.69000000002</v>
      </c>
      <c r="R209" s="154"/>
      <c r="S209" s="120">
        <f t="shared" si="78"/>
        <v>-715.91000000000349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2"/>
        <v>ServicePublicité 2</v>
      </c>
      <c r="B210" s="12" t="s">
        <v>84</v>
      </c>
      <c r="C210" s="30" t="s">
        <v>51</v>
      </c>
      <c r="D210" s="82"/>
      <c r="E210" s="14"/>
      <c r="F210" s="31">
        <f>+INDEX('[7]Budget original'!$A$2:$AO$496,MATCH($A210,'[7]Budget original'!$A$2:$A$496,0),MATCH(F$2,'[7]Budget original'!$A$2:$AO$2,0))</f>
        <v>7073.1916666666666</v>
      </c>
      <c r="G210" s="84"/>
      <c r="H210" s="14"/>
      <c r="I210" s="31">
        <f>+INDEX('[7]Budget révisé'!$A$2:$AO$496,MATCH($A210,'[7]Budget révisé'!$A$2:$A$496,0),MATCH(I$2,'[7]Budget révisé'!$A$2:$AO$2,0))</f>
        <v>7073.1916666666666</v>
      </c>
      <c r="J210" s="42"/>
      <c r="K210" s="14"/>
      <c r="L210" s="34">
        <f>SUMIFS([7]BV_Data_An_Cour!$O:$O,[7]BV_Data_An_Cour!$U:$U,$B210,[7]BV_Data_An_Cour!$V:$V,$C210,[7]BV_Data_An_Cour!$W:$W,$L$2)</f>
        <v>6624.8</v>
      </c>
      <c r="M210" s="42"/>
      <c r="N210" s="60">
        <f t="shared" si="77"/>
        <v>-448.39166666666642</v>
      </c>
      <c r="O210" s="42"/>
      <c r="P210" s="14"/>
      <c r="Q210" s="34">
        <f>SUMIFS([7]BV_Data_An_Prec!$O:$O,[7]BV_Data_An_Prec!$U:$U,$B210,[7]BV_Data_An_Prec!$V:$V,$C210,[7]BV_Data_An_Prec!$W:$W,$L$2)</f>
        <v>12055.76</v>
      </c>
      <c r="R210" s="42"/>
      <c r="S210" s="86">
        <f t="shared" si="78"/>
        <v>-5430.96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2"/>
        <v>ServiceService gratuit 2</v>
      </c>
      <c r="B211" s="12" t="s">
        <v>84</v>
      </c>
      <c r="C211" s="30" t="s">
        <v>52</v>
      </c>
      <c r="D211" s="82"/>
      <c r="E211" s="14"/>
      <c r="F211" s="31">
        <f>+INDEX('[7]Budget original'!$A$2:$AO$496,MATCH($A211,'[7]Budget original'!$A$2:$A$496,0),MATCH(F$2,'[7]Budget original'!$A$2:$AO$2,0))</f>
        <v>2199.7310759511602</v>
      </c>
      <c r="G211" s="84"/>
      <c r="H211" s="14"/>
      <c r="I211" s="31">
        <f>+INDEX('[7]Budget révisé'!$A$2:$AO$496,MATCH($A211,'[7]Budget révisé'!$A$2:$A$496,0),MATCH(I$2,'[7]Budget révisé'!$A$2:$AO$2,0))</f>
        <v>2199.7310759511602</v>
      </c>
      <c r="J211" s="42"/>
      <c r="K211" s="14"/>
      <c r="L211" s="531">
        <f>SUMIFS([7]BV_Data_An_Cour!$O:$O,[7]BV_Data_An_Cour!$U:$U,$B211,[7]BV_Data_An_Cour!$V:$V,$C211,[7]BV_Data_An_Cour!$W:$W,$L$2)</f>
        <v>3263.27</v>
      </c>
      <c r="M211" s="42"/>
      <c r="N211" s="60">
        <f t="shared" si="77"/>
        <v>1063.5389240488398</v>
      </c>
      <c r="O211" s="42"/>
      <c r="P211" s="14"/>
      <c r="Q211" s="34">
        <f>SUMIFS([7]BV_Data_An_Prec!$O:$O,[7]BV_Data_An_Prec!$U:$U,$B211,[7]BV_Data_An_Prec!$V:$V,$C211,[7]BV_Data_An_Prec!$W:$W,$L$2)</f>
        <v>2820.89</v>
      </c>
      <c r="R211" s="42"/>
      <c r="S211" s="86">
        <f t="shared" si="78"/>
        <v>442.38000000000011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2"/>
        <v>ServiceFrais véhicules de cie</v>
      </c>
      <c r="B212" s="12" t="s">
        <v>84</v>
      </c>
      <c r="C212" s="88" t="s">
        <v>53</v>
      </c>
      <c r="D212" s="89"/>
      <c r="E212" s="117"/>
      <c r="F212" s="23">
        <f>+INDEX('[7]Budget original'!$A$2:$AO$496,MATCH($A212,'[7]Budget original'!$A$2:$A$496,0),MATCH(F$2,'[7]Budget original'!$A$2:$AO$2,0))</f>
        <v>16764.080000000002</v>
      </c>
      <c r="G212" s="91"/>
      <c r="H212" s="117"/>
      <c r="I212" s="23">
        <f>+INDEX('[7]Budget révisé'!$A$2:$AO$496,MATCH($A212,'[7]Budget révisé'!$A$2:$A$496,0),MATCH(I$2,'[7]Budget révisé'!$A$2:$AO$2,0))</f>
        <v>16764.080000000002</v>
      </c>
      <c r="J212" s="24"/>
      <c r="K212" s="117"/>
      <c r="L212" s="34">
        <f>SUMIFS([7]BV_Data_An_Cour!$O:$O,[7]BV_Data_An_Cour!$U:$U,$B212,[7]BV_Data_An_Cour!$V:$V,$C212,[7]BV_Data_An_Cour!$W:$W,$L$2)</f>
        <v>16502.47</v>
      </c>
      <c r="M212" s="24"/>
      <c r="N212" s="94">
        <f t="shared" si="77"/>
        <v>-261.61000000000058</v>
      </c>
      <c r="O212" s="24"/>
      <c r="P212" s="117"/>
      <c r="Q212" s="34">
        <f>SUMIFS([7]BV_Data_An_Prec!$O:$O,[7]BV_Data_An_Prec!$U:$U,$B212,[7]BV_Data_An_Prec!$V:$V,$C212,[7]BV_Data_An_Prec!$W:$W,$L$2)</f>
        <v>16710.490000000002</v>
      </c>
      <c r="R212" s="24"/>
      <c r="S212" s="95">
        <f t="shared" si="78"/>
        <v>-208.02000000000044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2"/>
        <v>ServiceInformatique</v>
      </c>
      <c r="B213" s="12" t="s">
        <v>84</v>
      </c>
      <c r="C213" s="30" t="s">
        <v>54</v>
      </c>
      <c r="D213" s="82"/>
      <c r="E213" s="14"/>
      <c r="F213" s="31">
        <f>+INDEX('[7]Budget original'!$A$2:$AO$496,MATCH($A213,'[7]Budget original'!$A$2:$A$496,0),MATCH(F$2,'[7]Budget original'!$A$2:$AO$2,0))</f>
        <v>4425.5472</v>
      </c>
      <c r="G213" s="84"/>
      <c r="H213" s="14"/>
      <c r="I213" s="31">
        <f>+INDEX('[7]Budget révisé'!$A$2:$AO$496,MATCH($A213,'[7]Budget révisé'!$A$2:$A$496,0),MATCH(I$2,'[7]Budget révisé'!$A$2:$AO$2,0))</f>
        <v>4425.5472</v>
      </c>
      <c r="J213" s="42"/>
      <c r="K213" s="14"/>
      <c r="L213" s="114">
        <f>SUMIFS([7]BV_Data_An_Cour!$O:$O,[7]BV_Data_An_Cour!$U:$U,$B213,[7]BV_Data_An_Cour!$V:$V,$C213,[7]BV_Data_An_Cour!$W:$W,$L$2)</f>
        <v>3900.19</v>
      </c>
      <c r="M213" s="42"/>
      <c r="N213" s="60">
        <f t="shared" si="77"/>
        <v>-525.35719999999992</v>
      </c>
      <c r="O213" s="42"/>
      <c r="P213" s="14"/>
      <c r="Q213" s="114">
        <f>SUMIFS([7]BV_Data_An_Prec!$O:$O,[7]BV_Data_An_Prec!$U:$U,$B213,[7]BV_Data_An_Prec!$V:$V,$C213,[7]BV_Data_An_Prec!$W:$W,$L$2)</f>
        <v>3844.55</v>
      </c>
      <c r="R213" s="42"/>
      <c r="S213" s="86">
        <f t="shared" si="78"/>
        <v>55.639999999999873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2"/>
        <v>ServiceFrais de déplacement</v>
      </c>
      <c r="B214" s="12" t="s">
        <v>84</v>
      </c>
      <c r="C214" s="30" t="s">
        <v>55</v>
      </c>
      <c r="D214" s="82"/>
      <c r="E214" s="14"/>
      <c r="F214" s="31">
        <f>+INDEX('[7]Budget original'!$A$2:$AO$496,MATCH($A214,'[7]Budget original'!$A$2:$A$496,0),MATCH(F$2,'[7]Budget original'!$A$2:$AO$2,0))</f>
        <v>1197.3725999999999</v>
      </c>
      <c r="G214" s="84"/>
      <c r="H214" s="14"/>
      <c r="I214" s="31">
        <f>+INDEX('[7]Budget révisé'!$A$2:$AO$496,MATCH($A214,'[7]Budget révisé'!$A$2:$A$496,0),MATCH(I$2,'[7]Budget révisé'!$A$2:$AO$2,0))</f>
        <v>1197.3725999999999</v>
      </c>
      <c r="J214" s="42"/>
      <c r="K214" s="14"/>
      <c r="L214" s="34">
        <f>SUMIFS([7]BV_Data_An_Cour!$O:$O,[7]BV_Data_An_Cour!$U:$U,$B214,[7]BV_Data_An_Cour!$V:$V,$C214,[7]BV_Data_An_Cour!$W:$W,$L$2)</f>
        <v>566.75</v>
      </c>
      <c r="M214" s="42"/>
      <c r="N214" s="60">
        <f t="shared" si="77"/>
        <v>-630.62259999999992</v>
      </c>
      <c r="O214" s="42"/>
      <c r="P214" s="14"/>
      <c r="Q214" s="34">
        <f>SUMIFS([7]BV_Data_An_Prec!$O:$O,[7]BV_Data_An_Prec!$U:$U,$B214,[7]BV_Data_An_Prec!$V:$V,$C214,[7]BV_Data_An_Prec!$W:$W,$L$2)</f>
        <v>1458.48</v>
      </c>
      <c r="R214" s="42"/>
      <c r="S214" s="86">
        <f t="shared" si="78"/>
        <v>-891.73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2"/>
        <v>ServiceServices extérieurs</v>
      </c>
      <c r="B215" s="12" t="s">
        <v>84</v>
      </c>
      <c r="C215" s="88" t="s">
        <v>56</v>
      </c>
      <c r="D215" s="89"/>
      <c r="E215" s="117"/>
      <c r="F215" s="23">
        <f>+INDEX('[7]Budget original'!$A$2:$AO$496,MATCH($A215,'[7]Budget original'!$A$2:$A$496,0),MATCH(F$2,'[7]Budget original'!$A$2:$AO$2,0))</f>
        <v>3513.5209999999993</v>
      </c>
      <c r="G215" s="91"/>
      <c r="H215" s="117"/>
      <c r="I215" s="23">
        <f>+INDEX('[7]Budget révisé'!$A$2:$AO$496,MATCH($A215,'[7]Budget révisé'!$A$2:$A$496,0),MATCH(I$2,'[7]Budget révisé'!$A$2:$AO$2,0))</f>
        <v>3513.5209999999993</v>
      </c>
      <c r="J215" s="24"/>
      <c r="K215" s="117"/>
      <c r="L215" s="34">
        <f>SUMIFS([7]BV_Data_An_Cour!$O:$O,[7]BV_Data_An_Cour!$U:$U,$B215,[7]BV_Data_An_Cour!$V:$V,$C215,[7]BV_Data_An_Cour!$W:$W,$L$2)</f>
        <v>2269.59</v>
      </c>
      <c r="M215" s="24"/>
      <c r="N215" s="94">
        <f t="shared" si="77"/>
        <v>-1243.9309999999991</v>
      </c>
      <c r="O215" s="24"/>
      <c r="P215" s="117"/>
      <c r="Q215" s="34">
        <f>SUMIFS([7]BV_Data_An_Prec!$O:$O,[7]BV_Data_An_Prec!$U:$U,$B215,[7]BV_Data_An_Prec!$V:$V,$C215,[7]BV_Data_An_Prec!$W:$W,$L$2)</f>
        <v>12418.02</v>
      </c>
      <c r="R215" s="24"/>
      <c r="S215" s="95">
        <f t="shared" si="78"/>
        <v>-10148.43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2"/>
        <v>ServiceFournitures d'atelier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f>SUMIFS([7]BV_Data_An_Cour!$O:$O,[7]BV_Data_An_Cour!$U:$U,$B216,[7]BV_Data_An_Cour!$V:$V,$C216,[7]BV_Data_An_Cour!$W:$W,$L$2)</f>
        <v>0</v>
      </c>
      <c r="M216" s="42"/>
      <c r="N216" s="60">
        <f t="shared" si="77"/>
        <v>0</v>
      </c>
      <c r="O216" s="42"/>
      <c r="P216" s="14"/>
      <c r="Q216" s="114">
        <f>SUMIFS([7]BV_Data_An_Prec!$O:$O,[7]BV_Data_An_Prec!$U:$U,$B216,[7]BV_Data_An_Prec!$V:$V,$C216,[7]BV_Data_An_Prec!$W:$W,$L$2)</f>
        <v>0</v>
      </c>
      <c r="R216" s="42"/>
      <c r="S216" s="86">
        <f t="shared" si="78"/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2"/>
        <v>ServiceFournitures autres</v>
      </c>
      <c r="B217" s="12" t="s">
        <v>84</v>
      </c>
      <c r="C217" s="30" t="s">
        <v>57</v>
      </c>
      <c r="D217" s="82"/>
      <c r="E217" s="14"/>
      <c r="F217" s="31">
        <f>+INDEX('[7]Budget original'!$A$2:$AO$496,MATCH($A217,'[7]Budget original'!$A$2:$A$496,0),MATCH(F$2,'[7]Budget original'!$A$2:$AO$2,0))</f>
        <v>546</v>
      </c>
      <c r="G217" s="84"/>
      <c r="H217" s="14"/>
      <c r="I217" s="31">
        <f>+INDEX('[7]Budget révisé'!$A$2:$AO$496,MATCH($A217,'[7]Budget révisé'!$A$2:$A$496,0),MATCH(I$2,'[7]Budget révisé'!$A$2:$AO$2,0))</f>
        <v>546</v>
      </c>
      <c r="J217" s="42"/>
      <c r="K217" s="14"/>
      <c r="L217" s="34">
        <f>SUMIFS([7]BV_Data_An_Cour!$O:$O,[7]BV_Data_An_Cour!$U:$U,$B217,[7]BV_Data_An_Cour!$V:$V,$C217,[7]BV_Data_An_Cour!$W:$W,$L$2)</f>
        <v>1127.58</v>
      </c>
      <c r="M217" s="42"/>
      <c r="N217" s="60">
        <f t="shared" si="77"/>
        <v>581.57999999999993</v>
      </c>
      <c r="O217" s="42"/>
      <c r="P217" s="14"/>
      <c r="Q217" s="34">
        <f>SUMIFS([7]BV_Data_An_Prec!$O:$O,[7]BV_Data_An_Prec!$U:$U,$B217,[7]BV_Data_An_Prec!$V:$V,$C217,[7]BV_Data_An_Prec!$W:$W,$L$2)</f>
        <v>440</v>
      </c>
      <c r="R217" s="42"/>
      <c r="S217" s="86">
        <f t="shared" si="78"/>
        <v>687.57999999999993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2"/>
        <v>ServiceUniformes</v>
      </c>
      <c r="B218" s="12" t="s">
        <v>84</v>
      </c>
      <c r="C218" s="30" t="s">
        <v>58</v>
      </c>
      <c r="D218" s="82"/>
      <c r="E218" s="14"/>
      <c r="F218" s="31">
        <f>+INDEX('[7]Budget original'!$A$2:$AO$496,MATCH($A218,'[7]Budget original'!$A$2:$A$496,0),MATCH(F$2,'[7]Budget original'!$A$2:$AO$2,0))</f>
        <v>1300</v>
      </c>
      <c r="G218" s="84"/>
      <c r="H218" s="14"/>
      <c r="I218" s="31">
        <f>+INDEX('[7]Budget révisé'!$A$2:$AO$496,MATCH($A218,'[7]Budget révisé'!$A$2:$A$496,0),MATCH(I$2,'[7]Budget révisé'!$A$2:$AO$2,0))</f>
        <v>1300</v>
      </c>
      <c r="J218" s="42"/>
      <c r="K218" s="14"/>
      <c r="L218" s="34">
        <f>SUMIFS([7]BV_Data_An_Cour!$O:$O,[7]BV_Data_An_Cour!$U:$U,$B218,[7]BV_Data_An_Cour!$V:$V,$C218,[7]BV_Data_An_Cour!$W:$W,$L$2)</f>
        <v>677.03</v>
      </c>
      <c r="M218" s="42"/>
      <c r="N218" s="60">
        <f t="shared" si="77"/>
        <v>-622.97</v>
      </c>
      <c r="O218" s="42"/>
      <c r="P218" s="14"/>
      <c r="Q218" s="34">
        <f>SUMIFS([7]BV_Data_An_Prec!$O:$O,[7]BV_Data_An_Prec!$U:$U,$B218,[7]BV_Data_An_Prec!$V:$V,$C218,[7]BV_Data_An_Prec!$W:$W,$L$2)</f>
        <v>1300</v>
      </c>
      <c r="R218" s="42"/>
      <c r="S218" s="86">
        <f t="shared" si="78"/>
        <v>-622.97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2"/>
        <v>ServicePapeterie</v>
      </c>
      <c r="B219" s="12" t="s">
        <v>84</v>
      </c>
      <c r="C219" s="30" t="s">
        <v>59</v>
      </c>
      <c r="D219" s="82"/>
      <c r="E219" s="14"/>
      <c r="F219" s="31">
        <f>+INDEX('[7]Budget original'!$A$2:$AO$496,MATCH($A219,'[7]Budget original'!$A$2:$A$496,0),MATCH(F$2,'[7]Budget original'!$A$2:$AO$2,0))</f>
        <v>523.19999999999993</v>
      </c>
      <c r="G219" s="84"/>
      <c r="H219" s="14"/>
      <c r="I219" s="31">
        <f>+INDEX('[7]Budget révisé'!$A$2:$AO$496,MATCH($A219,'[7]Budget révisé'!$A$2:$A$496,0),MATCH(I$2,'[7]Budget révisé'!$A$2:$AO$2,0))</f>
        <v>523.19999999999993</v>
      </c>
      <c r="J219" s="42"/>
      <c r="K219" s="14"/>
      <c r="L219" s="33">
        <f>SUMIFS([7]BV_Data_An_Cour!$O:$O,[7]BV_Data_An_Cour!$U:$U,$B219,[7]BV_Data_An_Cour!$V:$V,$C219,[7]BV_Data_An_Cour!$W:$W,$L$2)</f>
        <v>479.8</v>
      </c>
      <c r="M219" s="42"/>
      <c r="N219" s="60">
        <f t="shared" si="77"/>
        <v>-43.39999999999992</v>
      </c>
      <c r="O219" s="42"/>
      <c r="P219" s="14"/>
      <c r="Q219" s="33">
        <f>SUMIFS([7]BV_Data_An_Prec!$O:$O,[7]BV_Data_An_Prec!$U:$U,$B219,[7]BV_Data_An_Prec!$V:$V,$C219,[7]BV_Data_An_Prec!$W:$W,$L$2)</f>
        <v>444</v>
      </c>
      <c r="R219" s="42"/>
      <c r="S219" s="86">
        <f t="shared" si="78"/>
        <v>35.800000000000011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2"/>
        <v>ServiceTéléphone</v>
      </c>
      <c r="B220" s="12" t="s">
        <v>84</v>
      </c>
      <c r="C220" s="30" t="s">
        <v>60</v>
      </c>
      <c r="D220" s="82"/>
      <c r="E220" s="14"/>
      <c r="F220" s="31">
        <f>+INDEX('[7]Budget original'!$A$2:$AO$496,MATCH($A220,'[7]Budget original'!$A$2:$A$496,0),MATCH(F$2,'[7]Budget original'!$A$2:$AO$2,0))</f>
        <v>461.18399999999997</v>
      </c>
      <c r="G220" s="84"/>
      <c r="H220" s="14"/>
      <c r="I220" s="31">
        <f>+INDEX('[7]Budget révisé'!$A$2:$AO$496,MATCH($A220,'[7]Budget révisé'!$A$2:$A$496,0),MATCH(I$2,'[7]Budget révisé'!$A$2:$AO$2,0))</f>
        <v>461.18399999999997</v>
      </c>
      <c r="J220" s="42"/>
      <c r="K220" s="14"/>
      <c r="L220" s="34">
        <f>SUMIFS([7]BV_Data_An_Cour!$O:$O,[7]BV_Data_An_Cour!$U:$U,$B220,[7]BV_Data_An_Cour!$V:$V,$C220,[7]BV_Data_An_Cour!$W:$W,$L$2)</f>
        <v>250.68</v>
      </c>
      <c r="M220" s="42"/>
      <c r="N220" s="60">
        <f t="shared" si="77"/>
        <v>-210.50399999999996</v>
      </c>
      <c r="O220" s="42"/>
      <c r="P220" s="14"/>
      <c r="Q220" s="34">
        <f>SUMIFS([7]BV_Data_An_Prec!$O:$O,[7]BV_Data_An_Prec!$U:$U,$B220,[7]BV_Data_An_Prec!$V:$V,$C220,[7]BV_Data_An_Prec!$W:$W,$L$2)</f>
        <v>544.4</v>
      </c>
      <c r="R220" s="42"/>
      <c r="S220" s="86">
        <f t="shared" si="78"/>
        <v>-293.71999999999997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2"/>
        <v>ServiceFrais postaux</v>
      </c>
      <c r="B221" s="12" t="s">
        <v>84</v>
      </c>
      <c r="C221" s="30" t="s">
        <v>61</v>
      </c>
      <c r="D221" s="82"/>
      <c r="E221" s="14"/>
      <c r="F221" s="31">
        <f>+INDEX('[7]Budget original'!$A$2:$AO$496,MATCH($A221,'[7]Budget original'!$A$2:$A$496,0),MATCH(F$2,'[7]Budget original'!$A$2:$AO$2,0))</f>
        <v>207.6</v>
      </c>
      <c r="G221" s="84"/>
      <c r="H221" s="14"/>
      <c r="I221" s="31">
        <f>+INDEX('[7]Budget révisé'!$A$2:$AO$496,MATCH($A221,'[7]Budget révisé'!$A$2:$A$496,0),MATCH(I$2,'[7]Budget révisé'!$A$2:$AO$2,0))</f>
        <v>207.6</v>
      </c>
      <c r="J221" s="42"/>
      <c r="K221" s="14"/>
      <c r="L221" s="34">
        <f>SUMIFS([7]BV_Data_An_Cour!$O:$O,[7]BV_Data_An_Cour!$U:$U,$B221,[7]BV_Data_An_Cour!$V:$V,$C221,[7]BV_Data_An_Cour!$W:$W,$L$2)</f>
        <v>149.26</v>
      </c>
      <c r="M221" s="42"/>
      <c r="N221" s="60">
        <f t="shared" si="77"/>
        <v>-58.34</v>
      </c>
      <c r="O221" s="42"/>
      <c r="P221" s="14"/>
      <c r="Q221" s="34">
        <f>SUMIFS([7]BV_Data_An_Prec!$O:$O,[7]BV_Data_An_Prec!$U:$U,$B221,[7]BV_Data_An_Prec!$V:$V,$C221,[7]BV_Data_An_Prec!$W:$W,$L$2)</f>
        <v>49.62</v>
      </c>
      <c r="R221" s="42"/>
      <c r="S221" s="86">
        <f t="shared" si="78"/>
        <v>99.639999999999986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2"/>
        <v>ServiceDivers</v>
      </c>
      <c r="B222" s="12" t="s">
        <v>84</v>
      </c>
      <c r="C222" s="30" t="s">
        <v>62</v>
      </c>
      <c r="D222" s="82"/>
      <c r="E222" s="14"/>
      <c r="F222" s="31">
        <f>+INDEX('[7]Budget original'!$A$2:$AO$496,MATCH($A222,'[7]Budget original'!$A$2:$A$496,0),MATCH(F$2,'[7]Budget original'!$A$2:$AO$2,0))</f>
        <v>961.83999999999992</v>
      </c>
      <c r="G222" s="84"/>
      <c r="H222" s="14"/>
      <c r="I222" s="31">
        <f>+INDEX('[7]Budget révisé'!$A$2:$AO$496,MATCH($A222,'[7]Budget révisé'!$A$2:$A$496,0),MATCH(I$2,'[7]Budget révisé'!$A$2:$AO$2,0))</f>
        <v>961.83999999999992</v>
      </c>
      <c r="J222" s="42"/>
      <c r="K222" s="14"/>
      <c r="L222" s="34">
        <f>SUMIFS([7]BV_Data_An_Cour!$O:$O,[7]BV_Data_An_Cour!$U:$U,$B222,[7]BV_Data_An_Cour!$V:$V,$C222,[7]BV_Data_An_Cour!$W:$W,$L$2)</f>
        <v>30.7</v>
      </c>
      <c r="M222" s="42"/>
      <c r="N222" s="60">
        <f t="shared" si="77"/>
        <v>-931.13999999999987</v>
      </c>
      <c r="O222" s="42"/>
      <c r="P222" s="14"/>
      <c r="Q222" s="34">
        <f>SUMIFS([7]BV_Data_An_Prec!$O:$O,[7]BV_Data_An_Prec!$U:$U,$B222,[7]BV_Data_An_Prec!$V:$V,$C222,[7]BV_Data_An_Prec!$W:$W,$L$2)</f>
        <v>1272.23</v>
      </c>
      <c r="R222" s="42"/>
      <c r="S222" s="86">
        <f t="shared" si="78"/>
        <v>-1241.53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2"/>
        <v>ServiceFormation</v>
      </c>
      <c r="B223" s="12" t="s">
        <v>84</v>
      </c>
      <c r="C223" s="30" t="s">
        <v>63</v>
      </c>
      <c r="D223" s="82"/>
      <c r="E223" s="14"/>
      <c r="F223" s="31">
        <f>+INDEX('[7]Budget original'!$A$2:$AO$496,MATCH($A223,'[7]Budget original'!$A$2:$A$496,0),MATCH(F$2,'[7]Budget original'!$A$2:$AO$2,0))</f>
        <v>1391.26</v>
      </c>
      <c r="G223" s="84"/>
      <c r="H223" s="14"/>
      <c r="I223" s="31">
        <f>+INDEX('[7]Budget révisé'!$A$2:$AO$496,MATCH($A223,'[7]Budget révisé'!$A$2:$A$496,0),MATCH(I$2,'[7]Budget révisé'!$A$2:$AO$2,0))</f>
        <v>1391.26</v>
      </c>
      <c r="J223" s="42"/>
      <c r="K223" s="14"/>
      <c r="L223" s="34">
        <f>SUMIFS([7]BV_Data_An_Cour!$O:$O,[7]BV_Data_An_Cour!$U:$U,$B223,[7]BV_Data_An_Cour!$V:$V,$C223,[7]BV_Data_An_Cour!$W:$W,$L$2)</f>
        <v>21.25</v>
      </c>
      <c r="M223" s="42"/>
      <c r="N223" s="60">
        <f t="shared" si="77"/>
        <v>-1370.01</v>
      </c>
      <c r="O223" s="42"/>
      <c r="P223" s="14"/>
      <c r="Q223" s="34">
        <f>SUMIFS([7]BV_Data_An_Prec!$O:$O,[7]BV_Data_An_Prec!$U:$U,$B223,[7]BV_Data_An_Prec!$V:$V,$C223,[7]BV_Data_An_Prec!$W:$W,$L$2)</f>
        <v>2786.67</v>
      </c>
      <c r="R223" s="42"/>
      <c r="S223" s="86">
        <f t="shared" si="78"/>
        <v>-2765.42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2"/>
        <v>ServiceFrais bancaires</v>
      </c>
      <c r="B224" s="12" t="s">
        <v>84</v>
      </c>
      <c r="C224" s="30" t="s">
        <v>64</v>
      </c>
      <c r="D224" s="82"/>
      <c r="E224" s="14"/>
      <c r="F224" s="31">
        <f>+INDEX('[7]Budget original'!$A$2:$AO$496,MATCH($A224,'[7]Budget original'!$A$2:$A$496,0),MATCH(F$2,'[7]Budget original'!$A$2:$AO$2,0))</f>
        <v>1819.6409647064913</v>
      </c>
      <c r="G224" s="84"/>
      <c r="H224" s="14"/>
      <c r="I224" s="31">
        <f>+INDEX('[7]Budget révisé'!$A$2:$AO$496,MATCH($A224,'[7]Budget révisé'!$A$2:$A$496,0),MATCH(I$2,'[7]Budget révisé'!$A$2:$AO$2,0))</f>
        <v>1819.6409647064913</v>
      </c>
      <c r="J224" s="42"/>
      <c r="K224" s="14"/>
      <c r="L224" s="34">
        <f>AF447*W5</f>
        <v>1326.5684999999999</v>
      </c>
      <c r="M224" s="42"/>
      <c r="N224" s="60">
        <f t="shared" si="77"/>
        <v>-493.07246470649147</v>
      </c>
      <c r="O224" s="42"/>
      <c r="P224" s="14"/>
      <c r="Q224" s="34">
        <f>AL447*W5</f>
        <v>1840.5562500000001</v>
      </c>
      <c r="R224" s="42"/>
      <c r="S224" s="86">
        <f t="shared" si="78"/>
        <v>-513.98775000000023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2"/>
        <v>Service[...]</v>
      </c>
      <c r="B225" s="12" t="s">
        <v>84</v>
      </c>
      <c r="C225" s="30" t="s">
        <v>21</v>
      </c>
      <c r="D225" s="82"/>
      <c r="E225" s="14"/>
      <c r="F225" s="31">
        <f>+INDEX('[7]Budget original'!$A$2:$AO$496,MATCH($A225,'[7]Budget original'!$A$2:$A$496,0),MATCH(F$2,'[7]Budget original'!$A$2:$AO$2,0))</f>
        <v>0</v>
      </c>
      <c r="G225" s="84"/>
      <c r="H225" s="14"/>
      <c r="I225" s="31">
        <f>+INDEX('[7]Budget révisé'!$A$2:$AO$496,MATCH($A225,'[7]Budget révisé'!$A$2:$A$496,0),MATCH(I$2,'[7]Budget révisé'!$A$2:$AO$2,0))</f>
        <v>0</v>
      </c>
      <c r="J225" s="42"/>
      <c r="K225" s="14"/>
      <c r="L225" s="34">
        <f>SUMIFS([7]BV_Data_An_Cour!$O:$O,[7]BV_Data_An_Cour!$U:$U,$B225,[7]BV_Data_An_Cour!$V:$V,$C225,[7]BV_Data_An_Cour!$W:$W,$L$2)</f>
        <v>0</v>
      </c>
      <c r="M225" s="42"/>
      <c r="N225" s="60">
        <f t="shared" si="77"/>
        <v>0</v>
      </c>
      <c r="O225" s="42"/>
      <c r="P225" s="14"/>
      <c r="Q225" s="34">
        <f>SUMIFS([7]BV_Data_An_Prec!$O:$O,[7]BV_Data_An_Prec!$U:$U,$B225,[7]BV_Data_An_Prec!$V:$V,$C225,[7]BV_Data_An_Prec!$W:$W,$L$2)</f>
        <v>0</v>
      </c>
      <c r="R225" s="42"/>
      <c r="S225" s="86">
        <f t="shared" si="78"/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tr">
        <f t="shared" si="62"/>
        <v>Service[...]</v>
      </c>
      <c r="B226" s="12" t="s">
        <v>84</v>
      </c>
      <c r="C226" s="30" t="s">
        <v>21</v>
      </c>
      <c r="D226" s="82"/>
      <c r="E226" s="14"/>
      <c r="F226" s="31">
        <f>+INDEX('[7]Budget original'!$A$2:$AO$496,MATCH($A226,'[7]Budget original'!$A$2:$A$496,0),MATCH(F$2,'[7]Budget original'!$A$2:$AO$2,0))</f>
        <v>0</v>
      </c>
      <c r="G226" s="84"/>
      <c r="H226" s="14"/>
      <c r="I226" s="31">
        <f>+INDEX('[7]Budget révisé'!$A$2:$AO$496,MATCH($A226,'[7]Budget révisé'!$A$2:$A$496,0),MATCH(I$2,'[7]Budget révisé'!$A$2:$AO$2,0))</f>
        <v>0</v>
      </c>
      <c r="J226" s="42"/>
      <c r="K226" s="14"/>
      <c r="L226" s="34">
        <f>SUMIFS([7]BV_Data_An_Cour!$O:$O,[7]BV_Data_An_Cour!$U:$U,$B226,[7]BV_Data_An_Cour!$V:$V,$C226,[7]BV_Data_An_Cour!$W:$W,$L$2)</f>
        <v>0</v>
      </c>
      <c r="M226" s="42"/>
      <c r="N226" s="60">
        <f t="shared" si="77"/>
        <v>0</v>
      </c>
      <c r="O226" s="42"/>
      <c r="P226" s="14"/>
      <c r="Q226" s="34">
        <f>SUMIFS([7]BV_Data_An_Prec!$O:$O,[7]BV_Data_An_Prec!$U:$U,$B226,[7]BV_Data_An_Prec!$V:$V,$C226,[7]BV_Data_An_Prec!$W:$W,$L$2)</f>
        <v>0</v>
      </c>
      <c r="R226" s="42"/>
      <c r="S226" s="86">
        <f t="shared" si="78"/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2"/>
        <v>Service[...]</v>
      </c>
      <c r="B227" s="12" t="s">
        <v>84</v>
      </c>
      <c r="C227" s="30" t="s">
        <v>21</v>
      </c>
      <c r="D227" s="82"/>
      <c r="E227" s="14"/>
      <c r="F227" s="31">
        <f>+INDEX('[7]Budget original'!$A$2:$AO$496,MATCH($A227,'[7]Budget original'!$A$2:$A$496,0),MATCH(F$2,'[7]Budget original'!$A$2:$AO$2,0))</f>
        <v>0</v>
      </c>
      <c r="G227" s="84"/>
      <c r="H227" s="14"/>
      <c r="I227" s="31">
        <f>+INDEX('[7]Budget révisé'!$A$2:$AO$496,MATCH($A227,'[7]Budget révisé'!$A$2:$A$496,0),MATCH(I$2,'[7]Budget révisé'!$A$2:$AO$2,0))</f>
        <v>0</v>
      </c>
      <c r="J227" s="42"/>
      <c r="K227" s="14"/>
      <c r="L227" s="34">
        <f>SUMIFS([7]BV_Data_An_Cour!$O:$O,[7]BV_Data_An_Cour!$U:$U,$B227,[7]BV_Data_An_Cour!$V:$V,$C227,[7]BV_Data_An_Cour!$W:$W,$L$2)</f>
        <v>0</v>
      </c>
      <c r="M227" s="42"/>
      <c r="N227" s="60">
        <f t="shared" si="77"/>
        <v>0</v>
      </c>
      <c r="O227" s="42"/>
      <c r="P227" s="14"/>
      <c r="Q227" s="34">
        <f>SUMIFS([7]BV_Data_An_Prec!$O:$O,[7]BV_Data_An_Prec!$U:$U,$B227,[7]BV_Data_An_Prec!$V:$V,$C227,[7]BV_Data_An_Prec!$W:$W,$L$2)</f>
        <v>0</v>
      </c>
      <c r="R227" s="42"/>
      <c r="S227" s="86">
        <f t="shared" si="78"/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0.26405421642257548</v>
      </c>
      <c r="F228" s="102">
        <f>+SUM(F210:F227)</f>
        <v>42384.168507324313</v>
      </c>
      <c r="G228" s="103" t="s">
        <v>98</v>
      </c>
      <c r="H228" s="101">
        <f>I228/I$193</f>
        <v>0.26405421642257548</v>
      </c>
      <c r="I228" s="102">
        <f>+SUM(I210:I227)</f>
        <v>42384.168507324313</v>
      </c>
      <c r="J228" s="103" t="s">
        <v>98</v>
      </c>
      <c r="K228" s="101">
        <f>L228/L$193</f>
        <v>0.21164923227656704</v>
      </c>
      <c r="L228" s="102">
        <f>+SUM(L210:L227)</f>
        <v>37189.938500000004</v>
      </c>
      <c r="M228" s="106"/>
      <c r="N228" s="102">
        <f t="shared" si="77"/>
        <v>-5194.2300073243096</v>
      </c>
      <c r="O228" s="103" t="s">
        <v>98</v>
      </c>
      <c r="P228" s="101">
        <f>Q228/Q$193</f>
        <v>0.27284014814176988</v>
      </c>
      <c r="Q228" s="102">
        <f>+SUM(Q210:Q227)</f>
        <v>57985.666250000009</v>
      </c>
      <c r="R228" s="106"/>
      <c r="S228" s="107">
        <f t="shared" si="78"/>
        <v>-20795.727750000005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0.97417514256452276</v>
      </c>
      <c r="F230" s="102">
        <f>F209+F228</f>
        <v>156367.90034067922</v>
      </c>
      <c r="G230" s="103" t="s">
        <v>40</v>
      </c>
      <c r="H230" s="101">
        <f>I230/I$193</f>
        <v>0.97417514256452276</v>
      </c>
      <c r="I230" s="102">
        <f>I209+I228</f>
        <v>156367.90034067922</v>
      </c>
      <c r="J230" s="103" t="s">
        <v>40</v>
      </c>
      <c r="K230" s="101">
        <f>L230/L$193</f>
        <v>0.7984847193156055</v>
      </c>
      <c r="L230" s="102">
        <f>L209+L228</f>
        <v>140305.71850000002</v>
      </c>
      <c r="M230" s="106"/>
      <c r="N230" s="119">
        <f t="shared" ref="N230:N232" si="79">L230-I230</f>
        <v>-16062.181840679201</v>
      </c>
      <c r="O230" s="103" t="s">
        <v>40</v>
      </c>
      <c r="P230" s="101">
        <f>Q230/Q$193</f>
        <v>0.76139974421971124</v>
      </c>
      <c r="Q230" s="102">
        <f>Q209+Q228</f>
        <v>161817.35625000001</v>
      </c>
      <c r="R230" s="106"/>
      <c r="S230" s="120">
        <f>L230-Q230</f>
        <v>-21511.637749999994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f t="shared" si="79"/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f>F193-F230</f>
        <v>4145.228673308593</v>
      </c>
      <c r="G232" s="160"/>
      <c r="H232" s="131"/>
      <c r="I232" s="133">
        <f>I193-I230</f>
        <v>4145.228673308593</v>
      </c>
      <c r="J232" s="161"/>
      <c r="K232" s="132"/>
      <c r="L232" s="133">
        <f>L193-L230</f>
        <v>35409.251499999955</v>
      </c>
      <c r="M232" s="161"/>
      <c r="N232" s="133">
        <f t="shared" si="79"/>
        <v>31264.022826691362</v>
      </c>
      <c r="O232" s="161"/>
      <c r="P232" s="132"/>
      <c r="Q232" s="133">
        <f>Q193-Q230</f>
        <v>50708.793750000012</v>
      </c>
      <c r="R232" s="161"/>
      <c r="S232" s="135">
        <f>L232-Q232</f>
        <v>-15299.542250000057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Volks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Réalisé, Juin 2021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519" t="s">
        <v>5</v>
      </c>
      <c r="E237" s="520"/>
      <c r="F237" s="521"/>
      <c r="G237" s="522" t="s">
        <v>75</v>
      </c>
      <c r="H237" s="520"/>
      <c r="I237" s="521"/>
      <c r="J237" s="522" t="s">
        <v>7</v>
      </c>
      <c r="K237" s="520"/>
      <c r="L237" s="521"/>
      <c r="M237" s="522" t="s">
        <v>8</v>
      </c>
      <c r="N237" s="521"/>
      <c r="O237" s="519" t="s">
        <v>9</v>
      </c>
      <c r="P237" s="520"/>
      <c r="Q237" s="521"/>
      <c r="R237" s="522" t="s">
        <v>10</v>
      </c>
      <c r="S237" s="523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0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0"/>
        <v>Carrosserie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0"/>
        <v>CarrosserieM/O Sous-traitement</v>
      </c>
      <c r="B240" s="12" t="s">
        <v>100</v>
      </c>
      <c r="C240" s="30" t="s">
        <v>101</v>
      </c>
      <c r="D240" s="81">
        <f>+INDEX('[7]Budget original'!$A$2:$AO$496,MATCH($A240,'[7]Budget original'!$A$2:$A$496,0),MATCH(D$2,'[7]Budget original'!$A$2:$AO$2,0))</f>
        <v>0</v>
      </c>
      <c r="E240" s="83">
        <f>+INDEX('[7]Budget original'!$A$2:$AO$496,MATCH($A240,'[7]Budget original'!$A$2:$A$496,0),MATCH(E$2,'[7]Budget original'!$A$2:$AO$2,0))</f>
        <v>86548.437574332362</v>
      </c>
      <c r="F240" s="83">
        <f>+INDEX('[7]Budget original'!$A$2:$AO$496,MATCH($A240,'[7]Budget original'!$A$2:$A$496,0),MATCH(F$2,'[7]Budget original'!$A$2:$AO$2,0))</f>
        <v>19719.00888517897</v>
      </c>
      <c r="G240" s="163">
        <f>+INDEX('[7]Budget révisé'!$A$2:$AO$496,MATCH($A240,'[7]Budget révisé'!$A$2:$A$496,0),MATCH(G$2,'[7]Budget révisé'!$A$2:$AO$2,0))</f>
        <v>0</v>
      </c>
      <c r="H240" s="83">
        <f>+INDEX('[7]Budget révisé'!$A$2:$AO$496,MATCH($A240,'[7]Budget révisé'!$A$2:$A$496,0),MATCH(H$2,'[7]Budget révisé'!$A$2:$AO$2,0))</f>
        <v>86548.437574332362</v>
      </c>
      <c r="I240" s="83">
        <f>+INDEX('[7]Budget révisé'!$A$2:$AO$496,MATCH($A240,'[7]Budget révisé'!$A$2:$A$496,0),MATCH(I$2,'[7]Budget révisé'!$A$2:$AO$2,0))</f>
        <v>19719.00888517897</v>
      </c>
      <c r="J240" s="61">
        <f>-SUMIFS([7]BV_Data_An_Cour!$O:$O,[7]BV_Data_An_Cour!$U:$U,$B240,[7]BV_Data_An_Cour!$V:$V,$C240,[7]BV_Data_An_Cour!$W:$W,J$2)</f>
        <v>65</v>
      </c>
      <c r="K240" s="31">
        <f>-SUMIFS([7]BV_Data_An_Cour!$O:$O,[7]BV_Data_An_Cour!$X:$X,"Oui",[7]BV_Data_An_Cour!$U:$U,$B240,[7]BV_Data_An_Cour!$V:$V,$C240)</f>
        <v>88709.96</v>
      </c>
      <c r="L240" s="34">
        <f>-SUMIFS([7]BV_Data_An_Cour!$O:$O,[7]BV_Data_An_Cour!$U:$U,$B240,[7]BV_Data_An_Cour!$V:$V,$C240,[7]BV_Data_An_Cour!$W:$W,$L$2)</f>
        <v>20122.040000000005</v>
      </c>
      <c r="M240" s="164">
        <f>IFERROR((K240-H240)/H240,0)</f>
        <v>2.4974713423465505E-2</v>
      </c>
      <c r="N240" s="60">
        <f>L240-I240</f>
        <v>403.03111482103486</v>
      </c>
      <c r="O240" s="61">
        <f>-SUMIFS([7]BV_Data_An_Prec!$O:$O,[7]BV_Data_An_Prec!$U:$U,$B240,[7]BV_Data_An_Prec!$V:$V,$C240,[7]BV_Data_An_Prec!$W:$W,O$2)</f>
        <v>112</v>
      </c>
      <c r="P240" s="31">
        <f>-SUMIFS([7]BV_Data_An_Prec!$O:$O,[7]BV_Data_An_Prec!$X:$X,"Oui",[7]BV_Data_An_Prec!$U:$U,$B240,[7]BV_Data_An_Prec!$V:$V,$C240)</f>
        <v>129195.84</v>
      </c>
      <c r="Q240" s="34">
        <f>-SUMIFS([7]BV_Data_An_Prec!$O:$O,[7]BV_Data_An_Prec!$U:$U,$B240,[7]BV_Data_An_Prec!$V:$V,$C240,[7]BV_Data_An_Prec!$W:$W,$L$2)</f>
        <v>28651.699999999997</v>
      </c>
      <c r="R240" s="164">
        <f>IF(O240=0,0,J240/O240)</f>
        <v>0.5803571428571429</v>
      </c>
      <c r="S240" s="86">
        <f>L240-Q240</f>
        <v>-8529.6599999999926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0"/>
        <v>Carrosserie% profit / ventes</v>
      </c>
      <c r="B241" s="12" t="s">
        <v>100</v>
      </c>
      <c r="C241" s="30" t="s">
        <v>88</v>
      </c>
      <c r="D241" s="81"/>
      <c r="E241" s="150"/>
      <c r="F241" s="165">
        <f>IFERROR(F240/E240,0)</f>
        <v>0.22783783783783787</v>
      </c>
      <c r="G241" s="42"/>
      <c r="H241" s="150"/>
      <c r="I241" s="165">
        <f>IFERROR(I240/H240,0)</f>
        <v>0.22783783783783787</v>
      </c>
      <c r="J241" s="61"/>
      <c r="K241" s="14"/>
      <c r="L241" s="165">
        <f>IFERROR(L240/K240,0)</f>
        <v>0.22682954653569906</v>
      </c>
      <c r="M241" s="164"/>
      <c r="N241" s="60">
        <f>IFERROR(N240/M240,0)</f>
        <v>16137.567145910019</v>
      </c>
      <c r="O241" s="61"/>
      <c r="P241" s="14"/>
      <c r="Q241" s="165">
        <f>IFERROR(Q240/P240,0)</f>
        <v>0.22176952446766085</v>
      </c>
      <c r="R241" s="61"/>
      <c r="S241" s="86">
        <f>IFERROR(S240/R240,0)</f>
        <v>-14697.260307692293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0"/>
        <v>Carrosserie</v>
      </c>
      <c r="B242" s="12" t="s">
        <v>100</v>
      </c>
      <c r="C242" s="30"/>
      <c r="D242" s="81"/>
      <c r="E242" s="216"/>
      <c r="F242" s="217"/>
      <c r="G242" s="141"/>
      <c r="H242" s="216"/>
      <c r="I242" s="217"/>
      <c r="J242" s="141"/>
      <c r="K242" s="81"/>
      <c r="L242" s="140"/>
      <c r="M242" s="141"/>
      <c r="N242" s="140"/>
      <c r="O242" s="141"/>
      <c r="P242" s="81"/>
      <c r="Q242" s="140"/>
      <c r="R242" s="218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0"/>
        <v>CarrosserieM/O Carrosserie</v>
      </c>
      <c r="B243" s="12" t="s">
        <v>100</v>
      </c>
      <c r="C243" s="15" t="s">
        <v>102</v>
      </c>
      <c r="D243" s="111">
        <f>+INDEX('[7]Budget original'!$A$2:$AO$496,MATCH($A243,'[7]Budget original'!$A$2:$A$496,0),MATCH(D$2,'[7]Budget original'!$A$2:$AO$2,0))</f>
        <v>0</v>
      </c>
      <c r="E243" s="83">
        <f>+INDEX('[7]Budget original'!$A$2:$AO$496,MATCH($A243,'[7]Budget original'!$A$2:$A$496,0),MATCH(E$2,'[7]Budget original'!$A$2:$AO$2,0))</f>
        <v>0</v>
      </c>
      <c r="F243" s="83">
        <f>+INDEX('[7]Budget original'!$A$2:$AO$496,MATCH($A243,'[7]Budget original'!$A$2:$A$496,0),MATCH(F$2,'[7]Budget original'!$A$2:$AO$2,0))</f>
        <v>0</v>
      </c>
      <c r="G243" s="219">
        <f>+INDEX('[7]Budget révisé'!$A$2:$AO$496,MATCH($A243,'[7]Budget révisé'!$A$2:$A$496,0),MATCH(G$2,'[7]Budget révisé'!$A$2:$AO$2,0))</f>
        <v>0</v>
      </c>
      <c r="H243" s="83">
        <f>+INDEX('[7]Budget révisé'!$A$2:$AO$496,MATCH($A243,'[7]Budget révisé'!$A$2:$A$496,0),MATCH(H$2,'[7]Budget révisé'!$A$2:$AO$2,0))</f>
        <v>0</v>
      </c>
      <c r="I243" s="83">
        <f>+INDEX('[7]Budget révisé'!$A$2:$AO$496,MATCH($A243,'[7]Budget révisé'!$A$2:$A$496,0),MATCH(I$2,'[7]Budget révisé'!$A$2:$AO$2,0))</f>
        <v>0</v>
      </c>
      <c r="J243" s="172">
        <f>SUMIFS([7]BV_Data_An_Cour!$C$1:$C$636,[7]BV_Data_An_Cour!$V$1:$V$636,$C243,[7]BV_Data_An_Cour!$U$1:$U$636,$K$235)</f>
        <v>0</v>
      </c>
      <c r="K243" s="173">
        <f>-SUMIFS([7]BV_Data_An_Cour!$O:$O,[7]BV_Data_An_Cour!$X:$X,"Oui",[7]BV_Data_An_Cour!$U:$U,$B243,[7]BV_Data_An_Cour!$V:$V,$C243)</f>
        <v>0</v>
      </c>
      <c r="L243" s="114">
        <f>-SUMIFS([7]BV_Data_An_Cour!$O:$O,[7]BV_Data_An_Cour!$U:$U,$B243,[7]BV_Data_An_Cour!$V:$V,$C243,[7]BV_Data_An_Cour!$W:$W,$L$2)</f>
        <v>0</v>
      </c>
      <c r="M243" s="182" t="e">
        <f>(K243-H243)/H243</f>
        <v>#DIV/0!</v>
      </c>
      <c r="N243" s="115">
        <f>L243-I243</f>
        <v>0</v>
      </c>
      <c r="O243" s="172">
        <f>SUMIFS([7]BV_Data_An_Prec!$C$1:$C$637,[7]BV_Data_An_Prec!$V$1:$V$637,$C243,[7]BV_Data_An_Prec!$U$1:$U$637,$K$235)</f>
        <v>0</v>
      </c>
      <c r="P243" s="173">
        <f>-SUMIFS([7]BV_Data_An_Prec!$O:$O,[7]BV_Data_An_Prec!$X:$X,"Oui",[7]BV_Data_An_Prec!$U:$U,$B243,[7]BV_Data_An_Prec!$V:$V,$C243)</f>
        <v>0</v>
      </c>
      <c r="Q243" s="114">
        <f>-SUMIFS([7]BV_Data_An_Prec!$O:$O,[7]BV_Data_An_Prec!$U:$U,$B243,[7]BV_Data_An_Prec!$V:$V,$C243,[7]BV_Data_An_Prec!$W:$W,$L$2)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0"/>
        <v>Carrosserie% profit / ventes</v>
      </c>
      <c r="B244" s="12" t="s">
        <v>100</v>
      </c>
      <c r="C244" s="30" t="s">
        <v>88</v>
      </c>
      <c r="D244" s="14"/>
      <c r="E244" s="150"/>
      <c r="F244" s="165" t="e">
        <f>F243/E243</f>
        <v>#DIV/0!</v>
      </c>
      <c r="G244" s="42"/>
      <c r="H244" s="150"/>
      <c r="I244" s="165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0"/>
        <v>Carrosserie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0"/>
      <c r="L245" s="167"/>
      <c r="M245" s="170"/>
      <c r="N245" s="94"/>
      <c r="O245" s="168"/>
      <c r="P245" s="220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0"/>
        <v>CarrosserieM/O Esthétique Carr.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f>SUMIFS([7]BV_Data_An_Cour!$C$1:$C$636,[7]BV_Data_An_Cour!$V$1:$V$636,$C246,[7]BV_Data_An_Cour!$U$1:$U$636,$K$235)</f>
        <v>0</v>
      </c>
      <c r="K246" s="31">
        <f>-SUMIFS([7]BV_Data_An_Cour!$O:$O,[7]BV_Data_An_Cour!$X:$X,"Oui",[7]BV_Data_An_Cour!$U:$U,$B246,[7]BV_Data_An_Cour!$V:$V,$C246)</f>
        <v>0</v>
      </c>
      <c r="L246" s="34">
        <f>-SUMIFS([7]BV_Data_An_Cour!$O:$O,[7]BV_Data_An_Cour!$U:$U,$B246,[7]BV_Data_An_Cour!$V:$V,$C246,[7]BV_Data_An_Cour!$W:$W,$L$2)</f>
        <v>0</v>
      </c>
      <c r="M246" s="164" t="e">
        <f>(K246-H246)/H246</f>
        <v>#DIV/0!</v>
      </c>
      <c r="N246" s="115">
        <f>L246-I246</f>
        <v>0</v>
      </c>
      <c r="O246" s="172">
        <f>SUMIFS([7]BV_Data_An_Prec!$C$1:$C$637,[7]BV_Data_An_Prec!$V$1:$V$637,$C246,[7]BV_Data_An_Prec!$U$1:$U$637,$K$235)</f>
        <v>0</v>
      </c>
      <c r="P246" s="31">
        <f>-SUMIFS([7]BV_Data_An_Prec!$O:$O,[7]BV_Data_An_Prec!$X:$X,"Oui",[7]BV_Data_An_Prec!$U:$U,$B246,[7]BV_Data_An_Prec!$V:$V,$C246)</f>
        <v>0</v>
      </c>
      <c r="Q246" s="34">
        <f>-SUMIFS([7]BV_Data_An_Prec!$O:$O,[7]BV_Data_An_Prec!$U:$U,$B246,[7]BV_Data_An_Prec!$V:$V,$C246,[7]BV_Data_An_Prec!$W:$W,$L$2)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0"/>
        <v>Carrosserie% profit / ventes</v>
      </c>
      <c r="B247" s="12" t="s">
        <v>100</v>
      </c>
      <c r="C247" s="30" t="s">
        <v>88</v>
      </c>
      <c r="D247" s="14"/>
      <c r="E247" s="14"/>
      <c r="F247" s="165" t="e">
        <f>F246/E246</f>
        <v>#DIV/0!</v>
      </c>
      <c r="G247" s="42"/>
      <c r="H247" s="14"/>
      <c r="I247" s="165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0"/>
        <v>Carrosserie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0"/>
        <v>CarrosserieTotal Mécanique</v>
      </c>
      <c r="B249" s="12" t="s">
        <v>100</v>
      </c>
      <c r="C249" s="63" t="s">
        <v>97</v>
      </c>
      <c r="D249" s="64"/>
      <c r="E249" s="64">
        <f t="shared" ref="E249:F249" si="81">E243+E246+E240</f>
        <v>86548.437574332362</v>
      </c>
      <c r="F249" s="66">
        <f t="shared" si="81"/>
        <v>19719.00888517897</v>
      </c>
      <c r="G249" s="67"/>
      <c r="H249" s="64">
        <f t="shared" ref="H249:I249" si="82">H243+H246+H240</f>
        <v>86548.437574332362</v>
      </c>
      <c r="I249" s="66">
        <f t="shared" si="82"/>
        <v>19719.00888517897</v>
      </c>
      <c r="J249" s="67"/>
      <c r="K249" s="64">
        <f t="shared" ref="K249:L249" si="83">K243+K246+K240</f>
        <v>88709.96</v>
      </c>
      <c r="L249" s="66">
        <f t="shared" si="83"/>
        <v>20122.040000000005</v>
      </c>
      <c r="M249" s="215">
        <f>L250-I250</f>
        <v>-1.0082913021388085E-3</v>
      </c>
      <c r="N249" s="66">
        <f>L249-I249</f>
        <v>403.03111482103486</v>
      </c>
      <c r="O249" s="67"/>
      <c r="P249" s="64">
        <f t="shared" ref="P249:Q249" si="84">P243+P246+P240</f>
        <v>129195.84</v>
      </c>
      <c r="Q249" s="66">
        <f t="shared" si="84"/>
        <v>28651.699999999997</v>
      </c>
      <c r="R249" s="215">
        <f>L250-Q250</f>
        <v>5.0600220680382113E-3</v>
      </c>
      <c r="S249" s="69">
        <f>L249-Q249</f>
        <v>-8529.6599999999926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0"/>
        <v>Carrosserie</v>
      </c>
      <c r="B250" s="12" t="s">
        <v>100</v>
      </c>
      <c r="C250" s="70"/>
      <c r="D250" s="71"/>
      <c r="E250" s="71"/>
      <c r="F250" s="75">
        <f>F249/E249</f>
        <v>0.22783783783783787</v>
      </c>
      <c r="G250" s="73"/>
      <c r="H250" s="71"/>
      <c r="I250" s="75">
        <f>I249/H249</f>
        <v>0.22783783783783787</v>
      </c>
      <c r="J250" s="73"/>
      <c r="K250" s="71"/>
      <c r="L250" s="75">
        <f>IF(K249=0,0,L249/K249)</f>
        <v>0.22682954653569906</v>
      </c>
      <c r="M250" s="74"/>
      <c r="N250" s="75">
        <f>N249/I249</f>
        <v>2.0438710544116525E-2</v>
      </c>
      <c r="O250" s="73"/>
      <c r="P250" s="71"/>
      <c r="Q250" s="75">
        <f>IF(P249=0,0,Q249/P249)</f>
        <v>0.22176952446766085</v>
      </c>
      <c r="R250" s="74"/>
      <c r="S250" s="76">
        <f>IF(R249=0,0,S249/R249)</f>
        <v>-1685696.2055319597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0"/>
        <v>Carrosserie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0"/>
        <v>CarrosserieDEPENSES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0"/>
        <v>CarrosserieSalaires cadres</v>
      </c>
      <c r="B253" s="12" t="s">
        <v>100</v>
      </c>
      <c r="C253" s="108" t="s">
        <v>42</v>
      </c>
      <c r="D253" s="14"/>
      <c r="E253" s="14"/>
      <c r="F253" s="31">
        <f>+INDEX('[7]Budget original'!$A$2:$AO$496,MATCH($A253,'[7]Budget original'!$A$2:$A$496,0),MATCH(F$2,'[7]Budget original'!$A$2:$AO$2,0))</f>
        <v>296.76398467432955</v>
      </c>
      <c r="G253" s="42"/>
      <c r="H253" s="14"/>
      <c r="I253" s="31">
        <f>+INDEX('[7]Budget révisé'!$A$2:$AO$496,MATCH($A253,'[7]Budget révisé'!$A$2:$A$496,0),MATCH(I$2,'[7]Budget révisé'!$A$2:$AO$2,0))</f>
        <v>296.76398467432955</v>
      </c>
      <c r="J253" s="42"/>
      <c r="K253" s="14"/>
      <c r="L253" s="34">
        <f>SUMIFS([7]BV_Data_An_Cour!$O:$O,[7]BV_Data_An_Cour!$U:$U,$B253,[7]BV_Data_An_Cour!$V:$V,$C253,[7]BV_Data_An_Cour!$W:$W,$L$2)</f>
        <v>809.12</v>
      </c>
      <c r="M253" s="42"/>
      <c r="N253" s="60">
        <f t="shared" ref="N253:N283" si="85">L253-I253</f>
        <v>512.35601532567046</v>
      </c>
      <c r="O253" s="42"/>
      <c r="P253" s="14"/>
      <c r="Q253" s="34">
        <f>SUMIFS([7]BV_Data_An_Prec!$O:$O,[7]BV_Data_An_Prec!$U:$U,$B253,[7]BV_Data_An_Prec!$V:$V,$C253,[7]BV_Data_An_Prec!$W:$W,$L$2)</f>
        <v>383.42</v>
      </c>
      <c r="R253" s="42"/>
      <c r="S253" s="35">
        <f>L253-Q253</f>
        <v>425.7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0"/>
        <v>CarrosserieSalaires commis</v>
      </c>
      <c r="B254" s="12" t="s">
        <v>100</v>
      </c>
      <c r="C254" s="109" t="s">
        <v>43</v>
      </c>
      <c r="D254" s="82"/>
      <c r="E254" s="14"/>
      <c r="F254" s="23">
        <f>+INDEX('[7]Budget original'!$A$2:$AO$496,MATCH($A254,'[7]Budget original'!$A$2:$A$496,0),MATCH(F$2,'[7]Budget original'!$A$2:$AO$2,0))</f>
        <v>557.18669667432948</v>
      </c>
      <c r="G254" s="84"/>
      <c r="H254" s="14"/>
      <c r="I254" s="23">
        <f>+INDEX('[7]Budget révisé'!$A$2:$AO$496,MATCH($A254,'[7]Budget révisé'!$A$2:$A$496,0),MATCH(I$2,'[7]Budget révisé'!$A$2:$AO$2,0))</f>
        <v>557.18669667432948</v>
      </c>
      <c r="J254" s="42"/>
      <c r="K254" s="14"/>
      <c r="L254" s="34">
        <f>SUMIFS([7]BV_Data_An_Cour!$O:$O,[7]BV_Data_An_Cour!$U:$U,$B254,[7]BV_Data_An_Cour!$V:$V,$C254,[7]BV_Data_An_Cour!$W:$W,$L$2)</f>
        <v>501.37</v>
      </c>
      <c r="M254" s="42"/>
      <c r="N254" s="60">
        <f t="shared" si="85"/>
        <v>-55.816696674329478</v>
      </c>
      <c r="O254" s="42"/>
      <c r="P254" s="14"/>
      <c r="Q254" s="34">
        <f>SUMIFS([7]BV_Data_An_Prec!$O:$O,[7]BV_Data_An_Prec!$U:$U,$B254,[7]BV_Data_An_Prec!$V:$V,$C254,[7]BV_Data_An_Prec!$W:$W,$L$2)</f>
        <v>1310.9</v>
      </c>
      <c r="R254" s="42"/>
      <c r="S254" s="86">
        <f>L254-Q254</f>
        <v>-809.53000000000009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0"/>
        <v>CarrosserieSalaires autres</v>
      </c>
      <c r="B255" s="12" t="s">
        <v>100</v>
      </c>
      <c r="C255" s="108" t="s">
        <v>44</v>
      </c>
      <c r="D255" s="110"/>
      <c r="E255" s="111"/>
      <c r="F255" s="31">
        <f>+INDEX('[7]Budget original'!$A$2:$AO$496,MATCH($A255,'[7]Budget original'!$A$2:$A$496,0),MATCH(F$2,'[7]Budget original'!$A$2:$AO$2,0))</f>
        <v>3454.5361019340994</v>
      </c>
      <c r="G255" s="112"/>
      <c r="H255" s="111"/>
      <c r="I255" s="31">
        <f>+INDEX('[7]Budget révisé'!$A$2:$AO$496,MATCH($A255,'[7]Budget révisé'!$A$2:$A$496,0),MATCH(I$2,'[7]Budget révisé'!$A$2:$AO$2,0))</f>
        <v>3454.5361019340994</v>
      </c>
      <c r="J255" s="113"/>
      <c r="K255" s="111"/>
      <c r="L255" s="114">
        <f>SUMIFS([7]BV_Data_An_Cour!$O:$O,[7]BV_Data_An_Cour!$U:$U,$B255,[7]BV_Data_An_Cour!$V:$V,$C255,[7]BV_Data_An_Cour!$W:$W,$L$2)</f>
        <v>1731.36</v>
      </c>
      <c r="M255" s="113"/>
      <c r="N255" s="115">
        <f t="shared" si="85"/>
        <v>-1723.1761019340995</v>
      </c>
      <c r="O255" s="113"/>
      <c r="P255" s="111"/>
      <c r="Q255" s="114">
        <f>SUMIFS([7]BV_Data_An_Prec!$O:$O,[7]BV_Data_An_Prec!$U:$U,$B255,[7]BV_Data_An_Prec!$V:$V,$C255,[7]BV_Data_An_Prec!$W:$W,$L$2)</f>
        <v>7020.54</v>
      </c>
      <c r="R255" s="113"/>
      <c r="S255" s="116">
        <f t="shared" ref="S255:S284" si="86">L255-Q255</f>
        <v>-5289.18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0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+INDEX('[7]Budget original'!$A$2:$AO$496,MATCH($A256,'[7]Budget original'!$A$2:$A$496,0),MATCH(F$2,'[7]Budget original'!$A$2:$AO$2,0))</f>
        <v>3579.3189425287355</v>
      </c>
      <c r="G256" s="84"/>
      <c r="H256" s="14"/>
      <c r="I256" s="31">
        <f>+INDEX('[7]Budget révisé'!$A$2:$AO$496,MATCH($A256,'[7]Budget révisé'!$A$2:$A$496,0),MATCH(I$2,'[7]Budget révisé'!$A$2:$AO$2,0))</f>
        <v>3579.3189425287355</v>
      </c>
      <c r="J256" s="42"/>
      <c r="K256" s="14"/>
      <c r="L256" s="34">
        <f>SUMIFS([7]BV_Data_An_Cour!$O:$O,[7]BV_Data_An_Cour!$U:$U,$B256,[7]BV_Data_An_Cour!$V:$V,$C256,[7]BV_Data_An_Cour!$W:$W,$L$2)</f>
        <v>2557.7199999999998</v>
      </c>
      <c r="M256" s="42"/>
      <c r="N256" s="60">
        <f t="shared" si="85"/>
        <v>-1021.5989425287357</v>
      </c>
      <c r="O256" s="42"/>
      <c r="P256" s="14"/>
      <c r="Q256" s="34">
        <f>SUMIFS([7]BV_Data_An_Prec!$O:$O,[7]BV_Data_An_Prec!$U:$U,$B256,[7]BV_Data_An_Prec!$V:$V,$C256,[7]BV_Data_An_Prec!$W:$W,$L$2)</f>
        <v>6988.16</v>
      </c>
      <c r="R256" s="42"/>
      <c r="S256" s="86">
        <f t="shared" si="86"/>
        <v>-4430.4400000000005</v>
      </c>
      <c r="T256" s="14"/>
      <c r="U256" s="532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0"/>
        <v>Carrosserie[...]</v>
      </c>
      <c r="B257" s="12" t="s">
        <v>100</v>
      </c>
      <c r="C257" s="30" t="s">
        <v>21</v>
      </c>
      <c r="D257" s="82"/>
      <c r="E257" s="14"/>
      <c r="F257" s="31">
        <f>+INDEX('[7]Budget original'!$A$2:$AO$496,MATCH($A257,'[7]Budget original'!$A$2:$A$496,0),MATCH(F$2,'[7]Budget original'!$A$2:$AO$2,0))</f>
        <v>0</v>
      </c>
      <c r="G257" s="84"/>
      <c r="H257" s="14"/>
      <c r="I257" s="31">
        <f>+INDEX('[7]Budget révisé'!$A$2:$AO$496,MATCH($A257,'[7]Budget révisé'!$A$2:$A$496,0),MATCH(I$2,'[7]Budget révisé'!$A$2:$AO$2,0))</f>
        <v>0</v>
      </c>
      <c r="J257" s="42"/>
      <c r="K257" s="14"/>
      <c r="L257" s="34">
        <f>SUMIFS([7]BV_Data_An_Cour!$O:$O,[7]BV_Data_An_Cour!$U:$U,$B257,[7]BV_Data_An_Cour!$V:$V,$C257,[7]BV_Data_An_Cour!$W:$W,$L$2)</f>
        <v>0</v>
      </c>
      <c r="M257" s="42"/>
      <c r="N257" s="60">
        <f t="shared" si="85"/>
        <v>0</v>
      </c>
      <c r="O257" s="42"/>
      <c r="P257" s="14"/>
      <c r="Q257" s="34">
        <f>SUMIFS([7]BV_Data_An_Prec!$O:$O,[7]BV_Data_An_Prec!$U:$U,$B257,[7]BV_Data_An_Prec!$V:$V,$C257,[7]BV_Data_An_Prec!$W:$W,$L$2)</f>
        <v>0</v>
      </c>
      <c r="R257" s="42"/>
      <c r="S257" s="86">
        <f t="shared" si="86"/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0"/>
        <v>Carrosserie[...]</v>
      </c>
      <c r="B258" s="12" t="s">
        <v>100</v>
      </c>
      <c r="C258" s="30" t="s">
        <v>21</v>
      </c>
      <c r="D258" s="82"/>
      <c r="E258" s="14"/>
      <c r="F258" s="31">
        <f>+INDEX('[7]Budget original'!$A$2:$AO$496,MATCH($A258,'[7]Budget original'!$A$2:$A$496,0),MATCH(F$2,'[7]Budget original'!$A$2:$AO$2,0))</f>
        <v>0</v>
      </c>
      <c r="G258" s="84"/>
      <c r="H258" s="14"/>
      <c r="I258" s="31">
        <f>+INDEX('[7]Budget révisé'!$A$2:$AO$496,MATCH($A258,'[7]Budget révisé'!$A$2:$A$496,0),MATCH(I$2,'[7]Budget révisé'!$A$2:$AO$2,0))</f>
        <v>0</v>
      </c>
      <c r="J258" s="42"/>
      <c r="K258" s="14"/>
      <c r="L258" s="34">
        <f>SUMIFS([7]BV_Data_An_Cour!$O:$O,[7]BV_Data_An_Cour!$U:$U,$B258,[7]BV_Data_An_Cour!$V:$V,$C258,[7]BV_Data_An_Cour!$W:$W,$L$2)</f>
        <v>0</v>
      </c>
      <c r="M258" s="42"/>
      <c r="N258" s="60">
        <f t="shared" si="85"/>
        <v>0</v>
      </c>
      <c r="O258" s="42"/>
      <c r="P258" s="14"/>
      <c r="Q258" s="34">
        <f>SUMIFS([7]BV_Data_An_Prec!$O:$O,[7]BV_Data_An_Prec!$U:$U,$B258,[7]BV_Data_An_Prec!$V:$V,$C258,[7]BV_Data_An_Prec!$W:$W,$L$2)</f>
        <v>0</v>
      </c>
      <c r="R258" s="42"/>
      <c r="S258" s="86">
        <f t="shared" si="86"/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0"/>
        <v>Carrosserie[...]</v>
      </c>
      <c r="B259" s="12" t="s">
        <v>100</v>
      </c>
      <c r="C259" s="30" t="s">
        <v>21</v>
      </c>
      <c r="D259" s="82"/>
      <c r="E259" s="14"/>
      <c r="F259" s="31">
        <f>+INDEX('[7]Budget original'!$A$2:$AO$496,MATCH($A259,'[7]Budget original'!$A$2:$A$496,0),MATCH(F$2,'[7]Budget original'!$A$2:$AO$2,0))</f>
        <v>0</v>
      </c>
      <c r="G259" s="84"/>
      <c r="H259" s="14"/>
      <c r="I259" s="31">
        <f>+INDEX('[7]Budget révisé'!$A$2:$AO$496,MATCH($A259,'[7]Budget révisé'!$A$2:$A$496,0),MATCH(I$2,'[7]Budget révisé'!$A$2:$AO$2,0))</f>
        <v>0</v>
      </c>
      <c r="J259" s="42"/>
      <c r="K259" s="14"/>
      <c r="L259" s="34">
        <f>SUMIFS([7]BV_Data_An_Cour!$O:$O,[7]BV_Data_An_Cour!$U:$U,$B259,[7]BV_Data_An_Cour!$V:$V,$C259,[7]BV_Data_An_Cour!$W:$W,$L$2)</f>
        <v>0</v>
      </c>
      <c r="M259" s="42"/>
      <c r="N259" s="60">
        <f t="shared" si="85"/>
        <v>0</v>
      </c>
      <c r="O259" s="42"/>
      <c r="P259" s="14"/>
      <c r="Q259" s="34">
        <f>SUMIFS([7]BV_Data_An_Prec!$O:$O,[7]BV_Data_An_Prec!$U:$U,$B259,[7]BV_Data_An_Prec!$V:$V,$C259,[7]BV_Data_An_Prec!$W:$W,$L$2)</f>
        <v>0</v>
      </c>
      <c r="R259" s="42"/>
      <c r="S259" s="86">
        <f t="shared" si="86"/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0"/>
        <v>CarrosserieSalaires en absences</v>
      </c>
      <c r="B260" s="12" t="s">
        <v>100</v>
      </c>
      <c r="C260" s="109" t="s">
        <v>46</v>
      </c>
      <c r="D260" s="82"/>
      <c r="E260" s="14"/>
      <c r="F260" s="23">
        <f>+INDEX('[7]Budget original'!$A$2:$AO$496,MATCH($A260,'[7]Budget original'!$A$2:$A$496,0),MATCH(F$2,'[7]Budget original'!$A$2:$AO$2,0))</f>
        <v>946.53668709737929</v>
      </c>
      <c r="G260" s="84"/>
      <c r="H260" s="14"/>
      <c r="I260" s="23">
        <f>+INDEX('[7]Budget révisé'!$A$2:$AO$496,MATCH($A260,'[7]Budget révisé'!$A$2:$A$496,0),MATCH(I$2,'[7]Budget révisé'!$A$2:$AO$2,0))</f>
        <v>946.53668709737929</v>
      </c>
      <c r="J260" s="42"/>
      <c r="K260" s="14"/>
      <c r="L260" s="34">
        <f>SUMIFS([7]BV_Data_An_Cour!$O:$O,[7]BV_Data_An_Cour!$U:$U,$B260,[7]BV_Data_An_Cour!$V:$V,$C260,[7]BV_Data_An_Cour!$W:$W,$L$2)</f>
        <v>412.98</v>
      </c>
      <c r="M260" s="42"/>
      <c r="N260" s="60">
        <f t="shared" si="85"/>
        <v>-533.55668709737927</v>
      </c>
      <c r="O260" s="42"/>
      <c r="P260" s="14"/>
      <c r="Q260" s="34">
        <f>SUMIFS([7]BV_Data_An_Prec!$O:$O,[7]BV_Data_An_Prec!$U:$U,$B260,[7]BV_Data_An_Prec!$V:$V,$C260,[7]BV_Data_An_Prec!$W:$W,$L$2)</f>
        <v>1270.52</v>
      </c>
      <c r="R260" s="42"/>
      <c r="S260" s="86">
        <f t="shared" si="86"/>
        <v>-857.54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0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+INDEX('[7]Budget original'!$A$2:$AO$496,MATCH($A261,'[7]Budget original'!$A$2:$A$496,0),MATCH(F$2,'[7]Budget original'!$A$2:$AO$2,0))</f>
        <v>946.53668709737929</v>
      </c>
      <c r="G261" s="112"/>
      <c r="H261" s="111"/>
      <c r="I261" s="31">
        <f>+INDEX('[7]Budget révisé'!$A$2:$AO$496,MATCH($A261,'[7]Budget révisé'!$A$2:$A$496,0),MATCH(I$2,'[7]Budget révisé'!$A$2:$AO$2,0))</f>
        <v>946.53668709737929</v>
      </c>
      <c r="J261" s="113"/>
      <c r="K261" s="111"/>
      <c r="L261" s="114">
        <f>SUMIFS([7]BV_Data_An_Cour!$O:$O,[7]BV_Data_An_Cour!$U:$U,$B261,[7]BV_Data_An_Cour!$V:$V,$C261,[7]BV_Data_An_Cour!$W:$W,$L$2)</f>
        <v>624.25</v>
      </c>
      <c r="M261" s="113"/>
      <c r="N261" s="115">
        <f t="shared" si="85"/>
        <v>-322.28668709737929</v>
      </c>
      <c r="O261" s="113"/>
      <c r="P261" s="111"/>
      <c r="Q261" s="114">
        <f>SUMIFS([7]BV_Data_An_Prec!$O:$O,[7]BV_Data_An_Prec!$U:$U,$B261,[7]BV_Data_An_Prec!$V:$V,$C261,[7]BV_Data_An_Prec!$W:$W,$L$2)</f>
        <v>1258.19</v>
      </c>
      <c r="R261" s="113"/>
      <c r="S261" s="116">
        <f t="shared" si="86"/>
        <v>-633.94000000000005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0"/>
        <v>CarrosserieBénéfices marginaux</v>
      </c>
      <c r="B262" s="12" t="s">
        <v>100</v>
      </c>
      <c r="C262" s="108" t="s">
        <v>48</v>
      </c>
      <c r="D262" s="82"/>
      <c r="E262" s="14"/>
      <c r="F262" s="31">
        <f>+INDEX('[7]Budget original'!$A$2:$AO$496,MATCH($A262,'[7]Budget original'!$A$2:$A$496,0),MATCH(F$2,'[7]Budget original'!$A$2:$AO$2,0))</f>
        <v>678.35129241978848</v>
      </c>
      <c r="G262" s="84"/>
      <c r="H262" s="14"/>
      <c r="I262" s="31">
        <f>+INDEX('[7]Budget révisé'!$A$2:$AO$496,MATCH($A262,'[7]Budget révisé'!$A$2:$A$496,0),MATCH(I$2,'[7]Budget révisé'!$A$2:$AO$2,0))</f>
        <v>678.35129241978848</v>
      </c>
      <c r="J262" s="42"/>
      <c r="K262" s="14"/>
      <c r="L262" s="34">
        <f>SUMIFS([7]BV_Data_An_Cour!$O:$O,[7]BV_Data_An_Cour!$U:$U,$B262,[7]BV_Data_An_Cour!$V:$V,$C262,[7]BV_Data_An_Cour!$W:$W,$L$2)</f>
        <v>447.38</v>
      </c>
      <c r="M262" s="42"/>
      <c r="N262" s="60">
        <f t="shared" si="85"/>
        <v>-230.97129241978848</v>
      </c>
      <c r="O262" s="42"/>
      <c r="P262" s="14"/>
      <c r="Q262" s="34">
        <f>SUMIFS([7]BV_Data_An_Prec!$O:$O,[7]BV_Data_An_Prec!$U:$U,$B262,[7]BV_Data_An_Prec!$V:$V,$C262,[7]BV_Data_An_Prec!$W:$W,$L$2)</f>
        <v>532.33000000000004</v>
      </c>
      <c r="R262" s="42"/>
      <c r="S262" s="86">
        <f t="shared" si="86"/>
        <v>-84.950000000000045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0"/>
        <v>CarrosserieCsst</v>
      </c>
      <c r="B263" s="12" t="s">
        <v>100</v>
      </c>
      <c r="C263" s="108" t="s">
        <v>49</v>
      </c>
      <c r="D263" s="82"/>
      <c r="E263" s="14"/>
      <c r="F263" s="31">
        <f>+INDEX('[7]Budget original'!$A$2:$AO$496,MATCH($A263,'[7]Budget original'!$A$2:$A$496,0),MATCH(F$2,'[7]Budget original'!$A$2:$AO$2,0))</f>
        <v>157.75611451622987</v>
      </c>
      <c r="G263" s="84"/>
      <c r="H263" s="14"/>
      <c r="I263" s="31">
        <f>+INDEX('[7]Budget révisé'!$A$2:$AO$496,MATCH($A263,'[7]Budget révisé'!$A$2:$A$496,0),MATCH(I$2,'[7]Budget révisé'!$A$2:$AO$2,0))</f>
        <v>157.75611451622987</v>
      </c>
      <c r="J263" s="42"/>
      <c r="K263" s="14"/>
      <c r="L263" s="34">
        <f>SUMIFS([7]BV_Data_An_Cour!$O:$O,[7]BV_Data_An_Cour!$U:$U,$B263,[7]BV_Data_An_Cour!$V:$V,$C263,[7]BV_Data_An_Cour!$W:$W,$L$2)</f>
        <v>104.04</v>
      </c>
      <c r="M263" s="42"/>
      <c r="N263" s="60">
        <f t="shared" si="85"/>
        <v>-53.716114516229865</v>
      </c>
      <c r="O263" s="42"/>
      <c r="P263" s="14"/>
      <c r="Q263" s="34">
        <f>SUMIFS([7]BV_Data_An_Prec!$O:$O,[7]BV_Data_An_Prec!$U:$U,$B263,[7]BV_Data_An_Prec!$V:$V,$C263,[7]BV_Data_An_Prec!$W:$W,$L$2)</f>
        <v>278.86</v>
      </c>
      <c r="R263" s="42"/>
      <c r="S263" s="86">
        <f t="shared" si="86"/>
        <v>-174.82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0"/>
        <v>Carrosserie[...]</v>
      </c>
      <c r="B264" s="12" t="s">
        <v>100</v>
      </c>
      <c r="C264" s="30" t="s">
        <v>21</v>
      </c>
      <c r="D264" s="89"/>
      <c r="E264" s="117"/>
      <c r="F264" s="31">
        <f>+INDEX('[7]Budget original'!$A$2:$AO$496,MATCH($A264,'[7]Budget original'!$A$2:$A$496,0),MATCH(F$2,'[7]Budget original'!$A$2:$AO$2,0))</f>
        <v>0</v>
      </c>
      <c r="G264" s="91"/>
      <c r="H264" s="117"/>
      <c r="I264" s="31">
        <f>+INDEX('[7]Budget révisé'!$A$2:$AO$496,MATCH($A264,'[7]Budget révisé'!$A$2:$A$496,0),MATCH(I$2,'[7]Budget révisé'!$A$2:$AO$2,0))</f>
        <v>0</v>
      </c>
      <c r="J264" s="24"/>
      <c r="K264" s="117"/>
      <c r="L264" s="34">
        <f>SUMIFS([7]BV_Data_An_Cour!$O:$O,[7]BV_Data_An_Cour!$U:$U,$B264,[7]BV_Data_An_Cour!$V:$V,$C264,[7]BV_Data_An_Cour!$W:$W,$L$2)</f>
        <v>0</v>
      </c>
      <c r="M264" s="24"/>
      <c r="N264" s="94">
        <f t="shared" si="85"/>
        <v>0</v>
      </c>
      <c r="O264" s="24"/>
      <c r="P264" s="117"/>
      <c r="Q264" s="34">
        <f>SUMIFS([7]BV_Data_An_Prec!$O:$O,[7]BV_Data_An_Prec!$U:$U,$B264,[7]BV_Data_An_Prec!$V:$V,$C264,[7]BV_Data_An_Prec!$W:$W,$L$2)</f>
        <v>0</v>
      </c>
      <c r="R264" s="24"/>
      <c r="S264" s="95">
        <f t="shared" si="86"/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0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2">
        <f>+SUM(F253:F264)</f>
        <v>10616.98650694227</v>
      </c>
      <c r="G265" s="103" t="s">
        <v>40</v>
      </c>
      <c r="H265" s="101" t="e">
        <f>I265/I$243</f>
        <v>#DIV/0!</v>
      </c>
      <c r="I265" s="102">
        <f>+SUM(I253:I264)</f>
        <v>10616.98650694227</v>
      </c>
      <c r="J265" s="103" t="s">
        <v>40</v>
      </c>
      <c r="K265" s="101">
        <f>IF(L243=0,0,L265/L$243)</f>
        <v>0</v>
      </c>
      <c r="L265" s="102">
        <f>+SUM(L253:L264)</f>
        <v>7188.2199999999993</v>
      </c>
      <c r="M265" s="154"/>
      <c r="N265" s="119">
        <f t="shared" si="85"/>
        <v>-3428.766506942271</v>
      </c>
      <c r="O265" s="103" t="s">
        <v>40</v>
      </c>
      <c r="P265" s="101">
        <f>IF(Q243=0,0,Q265/Q$243)</f>
        <v>0</v>
      </c>
      <c r="Q265" s="102">
        <f>+SUM(Q253:Q264)</f>
        <v>19042.920000000002</v>
      </c>
      <c r="R265" s="154"/>
      <c r="S265" s="120">
        <f t="shared" si="86"/>
        <v>-11854.700000000003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0"/>
        <v>CarrosseriePublicité 2</v>
      </c>
      <c r="B266" s="12" t="s">
        <v>100</v>
      </c>
      <c r="C266" s="221" t="s">
        <v>51</v>
      </c>
      <c r="D266" s="82"/>
      <c r="E266" s="14"/>
      <c r="F266" s="31">
        <f>+INDEX('[7]Budget original'!$A$2:$AO$496,MATCH($A266,'[7]Budget original'!$A$2:$A$496,0),MATCH(F$2,'[7]Budget original'!$A$2:$AO$2,0))</f>
        <v>0</v>
      </c>
      <c r="G266" s="84"/>
      <c r="H266" s="14"/>
      <c r="I266" s="31">
        <f>+INDEX('[7]Budget révisé'!$A$2:$AO$496,MATCH($A266,'[7]Budget révisé'!$A$2:$A$496,0),MATCH(I$2,'[7]Budget révisé'!$A$2:$AO$2,0))</f>
        <v>0</v>
      </c>
      <c r="J266" s="42"/>
      <c r="K266" s="14"/>
      <c r="L266" s="34">
        <f>SUMIFS([7]BV_Data_An_Cour!$O:$O,[7]BV_Data_An_Cour!$U:$U,$B266,[7]BV_Data_An_Cour!$V:$V,$C266,[7]BV_Data_An_Cour!$W:$W,$L$2)</f>
        <v>0.13</v>
      </c>
      <c r="M266" s="42"/>
      <c r="N266" s="60">
        <f t="shared" si="85"/>
        <v>0.13</v>
      </c>
      <c r="O266" s="42"/>
      <c r="P266" s="14"/>
      <c r="Q266" s="34">
        <f>SUMIFS([7]BV_Data_An_Prec!$O:$O,[7]BV_Data_An_Prec!$U:$U,$B266,[7]BV_Data_An_Prec!$V:$V,$C266,[7]BV_Data_An_Prec!$W:$W,$L$2)</f>
        <v>0</v>
      </c>
      <c r="R266" s="42"/>
      <c r="S266" s="86">
        <f t="shared" si="86"/>
        <v>0.13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0"/>
        <v>CarrosserieService gratuit 2</v>
      </c>
      <c r="B267" s="12" t="s">
        <v>100</v>
      </c>
      <c r="C267" s="108" t="s">
        <v>52</v>
      </c>
      <c r="D267" s="82"/>
      <c r="E267" s="14"/>
      <c r="F267" s="31">
        <f>+INDEX('[7]Budget original'!$A$2:$AO$496,MATCH($A267,'[7]Budget original'!$A$2:$A$496,0),MATCH(F$2,'[7]Budget original'!$A$2:$AO$2,0))</f>
        <v>1100.8786527995303</v>
      </c>
      <c r="G267" s="84"/>
      <c r="H267" s="14"/>
      <c r="I267" s="31">
        <f>+INDEX('[7]Budget révisé'!$A$2:$AO$496,MATCH($A267,'[7]Budget révisé'!$A$2:$A$496,0),MATCH(I$2,'[7]Budget révisé'!$A$2:$AO$2,0))</f>
        <v>1100.8786527995303</v>
      </c>
      <c r="J267" s="42"/>
      <c r="K267" s="14"/>
      <c r="L267" s="34">
        <f>SUMIFS([7]BV_Data_An_Cour!$O:$O,[7]BV_Data_An_Cour!$U:$U,$B267,[7]BV_Data_An_Cour!$V:$V,$C267,[7]BV_Data_An_Cour!$W:$W,$L$2)</f>
        <v>-102.58</v>
      </c>
      <c r="M267" s="42"/>
      <c r="N267" s="60">
        <f t="shared" si="85"/>
        <v>-1203.4586527995302</v>
      </c>
      <c r="O267" s="42"/>
      <c r="P267" s="14"/>
      <c r="Q267" s="34">
        <f>SUMIFS([7]BV_Data_An_Prec!$O:$O,[7]BV_Data_An_Prec!$U:$U,$B267,[7]BV_Data_An_Prec!$V:$V,$C267,[7]BV_Data_An_Prec!$W:$W,$L$2)</f>
        <v>308.31</v>
      </c>
      <c r="R267" s="42"/>
      <c r="S267" s="86">
        <f t="shared" si="86"/>
        <v>-410.89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0"/>
        <v>CarrosserieFrais véhicules de cie</v>
      </c>
      <c r="B268" s="12" t="s">
        <v>100</v>
      </c>
      <c r="C268" s="109" t="s">
        <v>53</v>
      </c>
      <c r="D268" s="89"/>
      <c r="E268" s="117"/>
      <c r="F268" s="23">
        <f>+INDEX('[7]Budget original'!$A$2:$AO$496,MATCH($A268,'[7]Budget original'!$A$2:$A$496,0),MATCH(F$2,'[7]Budget original'!$A$2:$AO$2,0))</f>
        <v>298.94</v>
      </c>
      <c r="G268" s="91"/>
      <c r="H268" s="117"/>
      <c r="I268" s="23">
        <f>+INDEX('[7]Budget révisé'!$A$2:$AO$496,MATCH($A268,'[7]Budget révisé'!$A$2:$A$496,0),MATCH(I$2,'[7]Budget révisé'!$A$2:$AO$2,0))</f>
        <v>298.94</v>
      </c>
      <c r="J268" s="24"/>
      <c r="K268" s="117"/>
      <c r="L268" s="34">
        <f>SUMIFS([7]BV_Data_An_Cour!$O:$O,[7]BV_Data_An_Cour!$U:$U,$B268,[7]BV_Data_An_Cour!$V:$V,$C268,[7]BV_Data_An_Cour!$W:$W,$L$2)</f>
        <v>441.04</v>
      </c>
      <c r="M268" s="24"/>
      <c r="N268" s="94">
        <f t="shared" si="85"/>
        <v>142.10000000000002</v>
      </c>
      <c r="O268" s="24"/>
      <c r="P268" s="117"/>
      <c r="Q268" s="34">
        <f>SUMIFS([7]BV_Data_An_Prec!$O:$O,[7]BV_Data_An_Prec!$U:$U,$B268,[7]BV_Data_An_Prec!$V:$V,$C268,[7]BV_Data_An_Prec!$W:$W,$L$2)</f>
        <v>1714.81</v>
      </c>
      <c r="R268" s="24"/>
      <c r="S268" s="95">
        <f t="shared" si="86"/>
        <v>-1273.77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0"/>
        <v>CarrosserieInformatique</v>
      </c>
      <c r="B269" s="12" t="s">
        <v>100</v>
      </c>
      <c r="C269" s="108" t="s">
        <v>54</v>
      </c>
      <c r="D269" s="82"/>
      <c r="E269" s="14"/>
      <c r="F269" s="31">
        <f>+INDEX('[7]Budget original'!$A$2:$AO$496,MATCH($A269,'[7]Budget original'!$A$2:$A$496,0),MATCH(F$2,'[7]Budget original'!$A$2:$AO$2,0))</f>
        <v>1436.6179333333334</v>
      </c>
      <c r="G269" s="84"/>
      <c r="H269" s="14"/>
      <c r="I269" s="31">
        <f>+INDEX('[7]Budget révisé'!$A$2:$AO$496,MATCH($A269,'[7]Budget révisé'!$A$2:$A$496,0),MATCH(I$2,'[7]Budget révisé'!$A$2:$AO$2,0))</f>
        <v>1436.6179333333334</v>
      </c>
      <c r="J269" s="42"/>
      <c r="K269" s="14"/>
      <c r="L269" s="114">
        <f>SUMIFS([7]BV_Data_An_Cour!$O:$O,[7]BV_Data_An_Cour!$U:$U,$B269,[7]BV_Data_An_Cour!$V:$V,$C269,[7]BV_Data_An_Cour!$W:$W,$L$2)</f>
        <v>1353.82</v>
      </c>
      <c r="M269" s="42"/>
      <c r="N269" s="60">
        <f t="shared" si="85"/>
        <v>-82.797933333333503</v>
      </c>
      <c r="O269" s="42"/>
      <c r="P269" s="14"/>
      <c r="Q269" s="114">
        <f>SUMIFS([7]BV_Data_An_Prec!$O:$O,[7]BV_Data_An_Prec!$U:$U,$B269,[7]BV_Data_An_Prec!$V:$V,$C269,[7]BV_Data_An_Prec!$W:$W,$L$2)</f>
        <v>1349.59</v>
      </c>
      <c r="R269" s="42"/>
      <c r="S269" s="86">
        <f t="shared" si="86"/>
        <v>4.2300000000000182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0"/>
        <v>CarrosserieFrais de déplacement</v>
      </c>
      <c r="B270" s="12" t="s">
        <v>100</v>
      </c>
      <c r="C270" s="108" t="s">
        <v>55</v>
      </c>
      <c r="D270" s="82"/>
      <c r="E270" s="14"/>
      <c r="F270" s="31">
        <f>+INDEX('[7]Budget original'!$A$2:$AO$496,MATCH($A270,'[7]Budget original'!$A$2:$A$496,0),MATCH(F$2,'[7]Budget original'!$A$2:$AO$2,0))</f>
        <v>349.23367500000001</v>
      </c>
      <c r="G270" s="84"/>
      <c r="H270" s="14"/>
      <c r="I270" s="31">
        <f>+INDEX('[7]Budget révisé'!$A$2:$AO$496,MATCH($A270,'[7]Budget révisé'!$A$2:$A$496,0),MATCH(I$2,'[7]Budget révisé'!$A$2:$AO$2,0))</f>
        <v>349.23367500000001</v>
      </c>
      <c r="J270" s="42"/>
      <c r="K270" s="14"/>
      <c r="L270" s="34">
        <f>SUMIFS([7]BV_Data_An_Cour!$O:$O,[7]BV_Data_An_Cour!$U:$U,$B270,[7]BV_Data_An_Cour!$V:$V,$C270,[7]BV_Data_An_Cour!$W:$W,$L$2)</f>
        <v>165.31</v>
      </c>
      <c r="M270" s="42"/>
      <c r="N270" s="60">
        <f t="shared" si="85"/>
        <v>-183.923675</v>
      </c>
      <c r="O270" s="42"/>
      <c r="P270" s="14"/>
      <c r="Q270" s="34">
        <f>SUMIFS([7]BV_Data_An_Prec!$O:$O,[7]BV_Data_An_Prec!$U:$U,$B270,[7]BV_Data_An_Prec!$V:$V,$C270,[7]BV_Data_An_Prec!$W:$W,$L$2)</f>
        <v>425.39</v>
      </c>
      <c r="R270" s="42"/>
      <c r="S270" s="86">
        <f t="shared" si="86"/>
        <v>-260.08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0"/>
        <v>CarrosserieServices extérieurs</v>
      </c>
      <c r="B271" s="12" t="s">
        <v>100</v>
      </c>
      <c r="C271" s="108" t="s">
        <v>56</v>
      </c>
      <c r="D271" s="89"/>
      <c r="E271" s="117"/>
      <c r="F271" s="23">
        <f>+INDEX('[7]Budget original'!$A$2:$AO$496,MATCH($A271,'[7]Budget original'!$A$2:$A$496,0),MATCH(F$2,'[7]Budget original'!$A$2:$AO$2,0))</f>
        <v>1024.7769583333334</v>
      </c>
      <c r="G271" s="91"/>
      <c r="H271" s="117"/>
      <c r="I271" s="23">
        <f>+INDEX('[7]Budget révisé'!$A$2:$AO$496,MATCH($A271,'[7]Budget révisé'!$A$2:$A$496,0),MATCH(I$2,'[7]Budget révisé'!$A$2:$AO$2,0))</f>
        <v>1024.7769583333334</v>
      </c>
      <c r="J271" s="24"/>
      <c r="K271" s="117"/>
      <c r="L271" s="34">
        <f>SUMIFS([7]BV_Data_An_Cour!$O:$O,[7]BV_Data_An_Cour!$U:$U,$B271,[7]BV_Data_An_Cour!$V:$V,$C271,[7]BV_Data_An_Cour!$W:$W,$L$2)</f>
        <v>538.4</v>
      </c>
      <c r="M271" s="24"/>
      <c r="N271" s="94">
        <f t="shared" si="85"/>
        <v>-486.37695833333339</v>
      </c>
      <c r="O271" s="24"/>
      <c r="P271" s="117"/>
      <c r="Q271" s="34">
        <f>SUMIFS([7]BV_Data_An_Prec!$O:$O,[7]BV_Data_An_Prec!$U:$U,$B271,[7]BV_Data_An_Prec!$V:$V,$C271,[7]BV_Data_An_Prec!$W:$W,$L$2)</f>
        <v>1030.07</v>
      </c>
      <c r="R271" s="24"/>
      <c r="S271" s="95">
        <f t="shared" si="86"/>
        <v>-491.66999999999996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0"/>
        <v>CarrosserieFournitures d'atelier</v>
      </c>
      <c r="B272" s="12" t="s">
        <v>100</v>
      </c>
      <c r="C272" s="222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f>SUMIFS([7]BV_Data_An_Cour!$O:$O,[7]BV_Data_An_Cour!$U:$U,$B272,[7]BV_Data_An_Cour!$V:$V,$C272,[7]BV_Data_An_Cour!$W:$W,$L$2)</f>
        <v>0</v>
      </c>
      <c r="M272" s="42"/>
      <c r="N272" s="60">
        <f t="shared" si="85"/>
        <v>0</v>
      </c>
      <c r="O272" s="42"/>
      <c r="P272" s="14"/>
      <c r="Q272" s="34">
        <f>SUMIFS([7]BV_Data_An_Prec!$O:$O,[7]BV_Data_An_Prec!$U:$U,$B272,[7]BV_Data_An_Prec!$V:$V,$C272,[7]BV_Data_An_Prec!$W:$W,$L$2)</f>
        <v>0</v>
      </c>
      <c r="R272" s="42"/>
      <c r="S272" s="86">
        <f t="shared" si="86"/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0"/>
        <v>CarrosserieFournitures autres</v>
      </c>
      <c r="B273" s="12" t="s">
        <v>100</v>
      </c>
      <c r="C273" s="108" t="s">
        <v>57</v>
      </c>
      <c r="D273" s="82"/>
      <c r="E273" s="14"/>
      <c r="F273" s="31">
        <f>+INDEX('[7]Budget original'!$A$2:$AO$496,MATCH($A273,'[7]Budget original'!$A$2:$A$496,0),MATCH(F$2,'[7]Budget original'!$A$2:$AO$2,0))</f>
        <v>0</v>
      </c>
      <c r="G273" s="84"/>
      <c r="H273" s="14"/>
      <c r="I273" s="31">
        <f>+INDEX('[7]Budget révisé'!$A$2:$AO$496,MATCH($A273,'[7]Budget révisé'!$A$2:$A$496,0),MATCH(I$2,'[7]Budget révisé'!$A$2:$AO$2,0))</f>
        <v>0</v>
      </c>
      <c r="J273" s="42"/>
      <c r="K273" s="14"/>
      <c r="L273" s="34">
        <f>SUMIFS([7]BV_Data_An_Cour!$O:$O,[7]BV_Data_An_Cour!$U:$U,$B273,[7]BV_Data_An_Cour!$V:$V,$C273,[7]BV_Data_An_Cour!$W:$W,$L$2)</f>
        <v>1.95</v>
      </c>
      <c r="M273" s="42"/>
      <c r="N273" s="60">
        <f t="shared" si="85"/>
        <v>1.95</v>
      </c>
      <c r="O273" s="42"/>
      <c r="P273" s="14"/>
      <c r="Q273" s="34">
        <f>SUMIFS([7]BV_Data_An_Prec!$O:$O,[7]BV_Data_An_Prec!$U:$U,$B273,[7]BV_Data_An_Prec!$V:$V,$C273,[7]BV_Data_An_Prec!$W:$W,$L$2)</f>
        <v>0</v>
      </c>
      <c r="R273" s="42"/>
      <c r="S273" s="86">
        <f t="shared" si="86"/>
        <v>1.95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0"/>
        <v>CarrosserieUniformes</v>
      </c>
      <c r="B274" s="12" t="s">
        <v>100</v>
      </c>
      <c r="C274" s="108" t="s">
        <v>58</v>
      </c>
      <c r="D274" s="82"/>
      <c r="E274" s="14"/>
      <c r="F274" s="31">
        <f>+INDEX('[7]Budget original'!$A$2:$AO$496,MATCH($A274,'[7]Budget original'!$A$2:$A$496,0),MATCH(F$2,'[7]Budget original'!$A$2:$AO$2,0))</f>
        <v>0</v>
      </c>
      <c r="G274" s="84"/>
      <c r="H274" s="14"/>
      <c r="I274" s="31">
        <f>+INDEX('[7]Budget révisé'!$A$2:$AO$496,MATCH($A274,'[7]Budget révisé'!$A$2:$A$496,0),MATCH(I$2,'[7]Budget révisé'!$A$2:$AO$2,0))</f>
        <v>0</v>
      </c>
      <c r="J274" s="42"/>
      <c r="K274" s="14"/>
      <c r="L274" s="34">
        <f>SUMIFS([7]BV_Data_An_Cour!$O:$O,[7]BV_Data_An_Cour!$U:$U,$B274,[7]BV_Data_An_Cour!$V:$V,$C274,[7]BV_Data_An_Cour!$W:$W,$L$2)</f>
        <v>0</v>
      </c>
      <c r="M274" s="42"/>
      <c r="N274" s="60">
        <f t="shared" si="85"/>
        <v>0</v>
      </c>
      <c r="O274" s="42"/>
      <c r="P274" s="14"/>
      <c r="Q274" s="34">
        <f>SUMIFS([7]BV_Data_An_Prec!$O:$O,[7]BV_Data_An_Prec!$U:$U,$B274,[7]BV_Data_An_Prec!$V:$V,$C274,[7]BV_Data_An_Prec!$W:$W,$L$2)</f>
        <v>0</v>
      </c>
      <c r="R274" s="42"/>
      <c r="S274" s="86">
        <f t="shared" si="86"/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0"/>
        <v>CarrosseriePapeterie</v>
      </c>
      <c r="B275" s="12" t="s">
        <v>100</v>
      </c>
      <c r="C275" s="108" t="s">
        <v>59</v>
      </c>
      <c r="D275" s="82"/>
      <c r="E275" s="14"/>
      <c r="F275" s="31">
        <f>+INDEX('[7]Budget original'!$A$2:$AO$496,MATCH($A275,'[7]Budget original'!$A$2:$A$496,0),MATCH(F$2,'[7]Budget original'!$A$2:$AO$2,0))</f>
        <v>152.60000000000002</v>
      </c>
      <c r="G275" s="84"/>
      <c r="H275" s="14"/>
      <c r="I275" s="31">
        <f>+INDEX('[7]Budget révisé'!$A$2:$AO$496,MATCH($A275,'[7]Budget révisé'!$A$2:$A$496,0),MATCH(I$2,'[7]Budget révisé'!$A$2:$AO$2,0))</f>
        <v>152.60000000000002</v>
      </c>
      <c r="J275" s="42"/>
      <c r="K275" s="14"/>
      <c r="L275" s="33">
        <f>SUMIFS([7]BV_Data_An_Cour!$O:$O,[7]BV_Data_An_Cour!$U:$U,$B275,[7]BV_Data_An_Cour!$V:$V,$C275,[7]BV_Data_An_Cour!$W:$W,$L$2)</f>
        <v>139.96</v>
      </c>
      <c r="M275" s="42"/>
      <c r="N275" s="60">
        <f t="shared" si="85"/>
        <v>-12.640000000000015</v>
      </c>
      <c r="O275" s="42"/>
      <c r="P275" s="14"/>
      <c r="Q275" s="33">
        <f>SUMIFS([7]BV_Data_An_Prec!$O:$O,[7]BV_Data_An_Prec!$U:$U,$B275,[7]BV_Data_An_Prec!$V:$V,$C275,[7]BV_Data_An_Prec!$W:$W,$L$2)</f>
        <v>129.5</v>
      </c>
      <c r="R275" s="42"/>
      <c r="S275" s="86">
        <f t="shared" si="86"/>
        <v>10.460000000000008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0"/>
        <v>CarrosserieTéléphone</v>
      </c>
      <c r="B276" s="12" t="s">
        <v>100</v>
      </c>
      <c r="C276" s="108" t="s">
        <v>60</v>
      </c>
      <c r="D276" s="82"/>
      <c r="E276" s="14"/>
      <c r="F276" s="31">
        <f>+INDEX('[7]Budget original'!$A$2:$AO$496,MATCH($A276,'[7]Budget original'!$A$2:$A$496,0),MATCH(F$2,'[7]Budget original'!$A$2:$AO$2,0))</f>
        <v>177.637</v>
      </c>
      <c r="G276" s="84"/>
      <c r="H276" s="14"/>
      <c r="I276" s="31">
        <f>+INDEX('[7]Budget révisé'!$A$2:$AO$496,MATCH($A276,'[7]Budget révisé'!$A$2:$A$496,0),MATCH(I$2,'[7]Budget révisé'!$A$2:$AO$2,0))</f>
        <v>177.637</v>
      </c>
      <c r="J276" s="42"/>
      <c r="K276" s="14"/>
      <c r="L276" s="34">
        <f>SUMIFS([7]BV_Data_An_Cour!$O:$O,[7]BV_Data_An_Cour!$U:$U,$B276,[7]BV_Data_An_Cour!$V:$V,$C276,[7]BV_Data_An_Cour!$W:$W,$L$2)</f>
        <v>21.97</v>
      </c>
      <c r="M276" s="42"/>
      <c r="N276" s="60">
        <f t="shared" si="85"/>
        <v>-155.667</v>
      </c>
      <c r="O276" s="42"/>
      <c r="P276" s="14"/>
      <c r="Q276" s="34">
        <f>SUMIFS([7]BV_Data_An_Prec!$O:$O,[7]BV_Data_An_Prec!$U:$U,$B276,[7]BV_Data_An_Prec!$V:$V,$C276,[7]BV_Data_An_Prec!$W:$W,$L$2)</f>
        <v>120.96</v>
      </c>
      <c r="R276" s="42"/>
      <c r="S276" s="86">
        <f t="shared" si="86"/>
        <v>-98.99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0"/>
        <v>CarrosserieFrais postaux</v>
      </c>
      <c r="B277" s="12" t="s">
        <v>100</v>
      </c>
      <c r="C277" s="108" t="s">
        <v>61</v>
      </c>
      <c r="D277" s="82"/>
      <c r="E277" s="14"/>
      <c r="F277" s="31">
        <f>+INDEX('[7]Budget original'!$A$2:$AO$496,MATCH($A277,'[7]Budget original'!$A$2:$A$496,0),MATCH(F$2,'[7]Budget original'!$A$2:$AO$2,0))</f>
        <v>60.550000000000004</v>
      </c>
      <c r="G277" s="84"/>
      <c r="H277" s="14"/>
      <c r="I277" s="31">
        <f>+INDEX('[7]Budget révisé'!$A$2:$AO$496,MATCH($A277,'[7]Budget révisé'!$A$2:$A$496,0),MATCH(I$2,'[7]Budget révisé'!$A$2:$AO$2,0))</f>
        <v>60.550000000000004</v>
      </c>
      <c r="J277" s="42"/>
      <c r="K277" s="14"/>
      <c r="L277" s="34">
        <f>SUMIFS([7]BV_Data_An_Cour!$O:$O,[7]BV_Data_An_Cour!$U:$U,$B277,[7]BV_Data_An_Cour!$V:$V,$C277,[7]BV_Data_An_Cour!$W:$W,$L$2)</f>
        <v>41.88</v>
      </c>
      <c r="M277" s="42"/>
      <c r="N277" s="60">
        <f t="shared" si="85"/>
        <v>-18.670000000000002</v>
      </c>
      <c r="O277" s="42"/>
      <c r="P277" s="14"/>
      <c r="Q277" s="34">
        <f>SUMIFS([7]BV_Data_An_Prec!$O:$O,[7]BV_Data_An_Prec!$U:$U,$B277,[7]BV_Data_An_Prec!$V:$V,$C277,[7]BV_Data_An_Prec!$W:$W,$L$2)</f>
        <v>14.47</v>
      </c>
      <c r="R277" s="42"/>
      <c r="S277" s="86">
        <f t="shared" si="86"/>
        <v>27.410000000000004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0"/>
        <v>CarrosserieDivers</v>
      </c>
      <c r="B278" s="12" t="s">
        <v>100</v>
      </c>
      <c r="C278" s="108" t="s">
        <v>62</v>
      </c>
      <c r="D278" s="82"/>
      <c r="E278" s="14"/>
      <c r="F278" s="31">
        <f>+INDEX('[7]Budget original'!$A$2:$AO$496,MATCH($A278,'[7]Budget original'!$A$2:$A$496,0),MATCH(F$2,'[7]Budget original'!$A$2:$AO$2,0))</f>
        <v>251.37000000000003</v>
      </c>
      <c r="G278" s="84"/>
      <c r="H278" s="14"/>
      <c r="I278" s="31">
        <f>+INDEX('[7]Budget révisé'!$A$2:$AO$496,MATCH($A278,'[7]Budget révisé'!$A$2:$A$496,0),MATCH(I$2,'[7]Budget révisé'!$A$2:$AO$2,0))</f>
        <v>251.37000000000003</v>
      </c>
      <c r="J278" s="42"/>
      <c r="K278" s="14"/>
      <c r="L278" s="34">
        <f>SUMIFS([7]BV_Data_An_Cour!$O:$O,[7]BV_Data_An_Cour!$U:$U,$B278,[7]BV_Data_An_Cour!$V:$V,$C278,[7]BV_Data_An_Cour!$W:$W,$L$2)</f>
        <v>115.76</v>
      </c>
      <c r="M278" s="42"/>
      <c r="N278" s="60">
        <f t="shared" si="85"/>
        <v>-135.61000000000001</v>
      </c>
      <c r="O278" s="42"/>
      <c r="P278" s="14"/>
      <c r="Q278" s="34">
        <f>SUMIFS([7]BV_Data_An_Prec!$O:$O,[7]BV_Data_An_Prec!$U:$U,$B278,[7]BV_Data_An_Prec!$V:$V,$C278,[7]BV_Data_An_Prec!$W:$W,$L$2)</f>
        <v>371.07</v>
      </c>
      <c r="R278" s="42"/>
      <c r="S278" s="86">
        <f t="shared" si="86"/>
        <v>-255.31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0"/>
        <v>CarrosserieFormation</v>
      </c>
      <c r="B279" s="12" t="s">
        <v>100</v>
      </c>
      <c r="C279" s="108" t="s">
        <v>63</v>
      </c>
      <c r="D279" s="82"/>
      <c r="E279" s="14"/>
      <c r="F279" s="31">
        <f>+INDEX('[7]Budget original'!$A$2:$AO$496,MATCH($A279,'[7]Budget original'!$A$2:$A$496,0),MATCH(F$2,'[7]Budget original'!$A$2:$AO$2,0))</f>
        <v>41.200833333333343</v>
      </c>
      <c r="G279" s="84"/>
      <c r="H279" s="14"/>
      <c r="I279" s="31">
        <f>+INDEX('[7]Budget révisé'!$A$2:$AO$496,MATCH($A279,'[7]Budget révisé'!$A$2:$A$496,0),MATCH(I$2,'[7]Budget révisé'!$A$2:$AO$2,0))</f>
        <v>41.200833333333343</v>
      </c>
      <c r="J279" s="42"/>
      <c r="K279" s="14"/>
      <c r="L279" s="34">
        <f>SUMIFS([7]BV_Data_An_Cour!$O:$O,[7]BV_Data_An_Cour!$U:$U,$B279,[7]BV_Data_An_Cour!$V:$V,$C279,[7]BV_Data_An_Cour!$W:$W,$L$2)</f>
        <v>6.2</v>
      </c>
      <c r="M279" s="42"/>
      <c r="N279" s="60">
        <f t="shared" si="85"/>
        <v>-35.00083333333334</v>
      </c>
      <c r="O279" s="42"/>
      <c r="P279" s="14"/>
      <c r="Q279" s="34">
        <f>SUMIFS([7]BV_Data_An_Prec!$O:$O,[7]BV_Data_An_Prec!$U:$U,$B279,[7]BV_Data_An_Prec!$V:$V,$C279,[7]BV_Data_An_Prec!$W:$W,$L$2)</f>
        <v>35</v>
      </c>
      <c r="R279" s="42"/>
      <c r="S279" s="86">
        <f t="shared" si="86"/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0"/>
        <v>CarrosserieFrais bancaires</v>
      </c>
      <c r="B280" s="12" t="s">
        <v>100</v>
      </c>
      <c r="C280" s="108" t="s">
        <v>64</v>
      </c>
      <c r="D280" s="82"/>
      <c r="E280" s="14"/>
      <c r="F280" s="31">
        <f>+INDEX('[7]Budget original'!$A$2:$AO$496,MATCH($A280,'[7]Budget original'!$A$2:$A$496,0),MATCH(F$2,'[7]Budget original'!$A$2:$AO$2,0))</f>
        <v>530.72861470605994</v>
      </c>
      <c r="G280" s="84"/>
      <c r="H280" s="14"/>
      <c r="I280" s="31">
        <f>+INDEX('[7]Budget révisé'!$A$2:$AO$496,MATCH($A280,'[7]Budget révisé'!$A$2:$A$496,0),MATCH(I$2,'[7]Budget révisé'!$A$2:$AO$2,0))</f>
        <v>530.72861470605994</v>
      </c>
      <c r="J280" s="42"/>
      <c r="K280" s="14"/>
      <c r="L280" s="34">
        <f>AF447*W6</f>
        <v>147.3965</v>
      </c>
      <c r="M280" s="42"/>
      <c r="N280" s="60">
        <f t="shared" si="85"/>
        <v>-383.33211470605994</v>
      </c>
      <c r="O280" s="42"/>
      <c r="P280" s="14"/>
      <c r="Q280" s="34">
        <f>AL447*W6</f>
        <v>204.50625000000002</v>
      </c>
      <c r="R280" s="42"/>
      <c r="S280" s="86">
        <f t="shared" si="86"/>
        <v>-57.10975000000002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0"/>
        <v>Carrosserie[...]</v>
      </c>
      <c r="B281" s="12" t="s">
        <v>100</v>
      </c>
      <c r="C281" s="108" t="s">
        <v>21</v>
      </c>
      <c r="D281" s="82"/>
      <c r="E281" s="14"/>
      <c r="F281" s="31">
        <f>+INDEX('[7]Budget original'!$A$2:$AO$496,MATCH($A281,'[7]Budget original'!$A$2:$A$496,0),MATCH(F$2,'[7]Budget original'!$A$2:$AO$2,0))</f>
        <v>0</v>
      </c>
      <c r="G281" s="84"/>
      <c r="H281" s="14"/>
      <c r="I281" s="31">
        <f>+INDEX('[7]Budget révisé'!$A$2:$AO$496,MATCH($A281,'[7]Budget révisé'!$A$2:$A$496,0),MATCH(I$2,'[7]Budget révisé'!$A$2:$AO$2,0))</f>
        <v>0</v>
      </c>
      <c r="J281" s="42"/>
      <c r="K281" s="14"/>
      <c r="L281" s="34">
        <f>SUMIFS([7]BV_Data_An_Cour!$O:$O,[7]BV_Data_An_Cour!$U:$U,$B281,[7]BV_Data_An_Cour!$V:$V,$C281,[7]BV_Data_An_Cour!$W:$W,$L$2)</f>
        <v>0</v>
      </c>
      <c r="M281" s="42"/>
      <c r="N281" s="60">
        <f t="shared" si="85"/>
        <v>0</v>
      </c>
      <c r="O281" s="42"/>
      <c r="P281" s="14"/>
      <c r="Q281" s="34">
        <f>SUMIFS([7]BV_Data_An_Prec!$O:$O,[7]BV_Data_An_Prec!$U:$U,$B281,[7]BV_Data_An_Prec!$V:$V,$C281,[7]BV_Data_An_Prec!$W:$W,$L$2)</f>
        <v>0</v>
      </c>
      <c r="R281" s="42"/>
      <c r="S281" s="86">
        <f t="shared" si="86"/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0"/>
        <v>Carrosserie[...]</v>
      </c>
      <c r="B282" s="12" t="s">
        <v>100</v>
      </c>
      <c r="C282" s="108" t="s">
        <v>21</v>
      </c>
      <c r="D282" s="82"/>
      <c r="E282" s="14"/>
      <c r="F282" s="31">
        <f>+INDEX('[7]Budget original'!$A$2:$AO$496,MATCH($A282,'[7]Budget original'!$A$2:$A$496,0),MATCH(F$2,'[7]Budget original'!$A$2:$AO$2,0))</f>
        <v>0</v>
      </c>
      <c r="G282" s="84"/>
      <c r="H282" s="14"/>
      <c r="I282" s="31">
        <f>+INDEX('[7]Budget révisé'!$A$2:$AO$496,MATCH($A282,'[7]Budget révisé'!$A$2:$A$496,0),MATCH(I$2,'[7]Budget révisé'!$A$2:$AO$2,0))</f>
        <v>0</v>
      </c>
      <c r="J282" s="42"/>
      <c r="K282" s="14"/>
      <c r="L282" s="34">
        <f>SUMIFS([7]BV_Data_An_Cour!$O:$O,[7]BV_Data_An_Cour!$U:$U,$B282,[7]BV_Data_An_Cour!$V:$V,$C282,[7]BV_Data_An_Cour!$W:$W,$L$2)</f>
        <v>0</v>
      </c>
      <c r="M282" s="42"/>
      <c r="N282" s="60">
        <f t="shared" si="85"/>
        <v>0</v>
      </c>
      <c r="O282" s="42"/>
      <c r="P282" s="14"/>
      <c r="Q282" s="34">
        <f>SUMIFS([7]BV_Data_An_Prec!$O:$O,[7]BV_Data_An_Prec!$U:$U,$B282,[7]BV_Data_An_Prec!$V:$V,$C282,[7]BV_Data_An_Prec!$W:$W,$L$2)</f>
        <v>0</v>
      </c>
      <c r="R282" s="42"/>
      <c r="S282" s="86">
        <f t="shared" si="86"/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0"/>
        <v>Carrosserie[...]</v>
      </c>
      <c r="B283" s="12" t="s">
        <v>100</v>
      </c>
      <c r="C283" s="108" t="s">
        <v>21</v>
      </c>
      <c r="D283" s="82"/>
      <c r="E283" s="14"/>
      <c r="F283" s="31">
        <f>+INDEX('[7]Budget original'!$A$2:$AO$496,MATCH($A283,'[7]Budget original'!$A$2:$A$496,0),MATCH(F$2,'[7]Budget original'!$A$2:$AO$2,0))</f>
        <v>0</v>
      </c>
      <c r="G283" s="84"/>
      <c r="H283" s="14"/>
      <c r="I283" s="31">
        <f>+INDEX('[7]Budget révisé'!$A$2:$AO$496,MATCH($A283,'[7]Budget révisé'!$A$2:$A$496,0),MATCH(I$2,'[7]Budget révisé'!$A$2:$AO$2,0))</f>
        <v>0</v>
      </c>
      <c r="J283" s="42"/>
      <c r="K283" s="14"/>
      <c r="L283" s="34">
        <f>SUMIFS([7]BV_Data_An_Cour!$O:$O,[7]BV_Data_An_Cour!$U:$U,$B283,[7]BV_Data_An_Cour!$V:$V,$C283,[7]BV_Data_An_Cour!$W:$W,$L$2)</f>
        <v>0</v>
      </c>
      <c r="M283" s="42"/>
      <c r="N283" s="60">
        <f t="shared" si="85"/>
        <v>0</v>
      </c>
      <c r="O283" s="42"/>
      <c r="P283" s="14"/>
      <c r="Q283" s="34">
        <f>SUMIFS([7]BV_Data_An_Prec!$O:$O,[7]BV_Data_An_Prec!$U:$U,$B283,[7]BV_Data_An_Prec!$V:$V,$C283,[7]BV_Data_An_Prec!$W:$W,$L$2)</f>
        <v>0</v>
      </c>
      <c r="R283" s="42"/>
      <c r="S283" s="86">
        <f t="shared" si="86"/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f>F284/F$243</f>
        <v>#DIV/0!</v>
      </c>
      <c r="F284" s="102">
        <f>+SUM(F266:F283)</f>
        <v>5424.5336675055914</v>
      </c>
      <c r="G284" s="103" t="s">
        <v>40</v>
      </c>
      <c r="H284" s="101" t="e">
        <f>I284/I$243</f>
        <v>#DIV/0!</v>
      </c>
      <c r="I284" s="102">
        <f>+SUM(I266:I283)</f>
        <v>5424.5336675055914</v>
      </c>
      <c r="J284" s="103" t="s">
        <v>40</v>
      </c>
      <c r="K284" s="101" t="e">
        <f>IF(L261=0,0,L284/L$243)</f>
        <v>#DIV/0!</v>
      </c>
      <c r="L284" s="102">
        <f>+SUM(L266:L283)</f>
        <v>2871.2364999999995</v>
      </c>
      <c r="M284" s="106"/>
      <c r="N284" s="102">
        <f>+SUM(N266:N283)</f>
        <v>-2553.297167505591</v>
      </c>
      <c r="O284" s="103" t="s">
        <v>40</v>
      </c>
      <c r="P284" s="101" t="e">
        <f>IF(Q261=0,0,Q284/Q$243)</f>
        <v>#DIV/0!</v>
      </c>
      <c r="Q284" s="102">
        <f>+SUM(Q266:Q283)</f>
        <v>5703.6762500000004</v>
      </c>
      <c r="R284" s="106"/>
      <c r="S284" s="107">
        <f t="shared" si="86"/>
        <v>-2832.4397500000009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f>F286/F$243</f>
        <v>#DIV/0!</v>
      </c>
      <c r="F286" s="102">
        <f>F265+F284</f>
        <v>16041.520174447862</v>
      </c>
      <c r="G286" s="103" t="s">
        <v>40</v>
      </c>
      <c r="H286" s="101" t="e">
        <f>I286/I$243</f>
        <v>#DIV/0!</v>
      </c>
      <c r="I286" s="102">
        <f>I265+I284</f>
        <v>16041.520174447862</v>
      </c>
      <c r="J286" s="103" t="s">
        <v>40</v>
      </c>
      <c r="K286" s="101" t="e">
        <f>IF(L263=0,0,L286/L$243)</f>
        <v>#DIV/0!</v>
      </c>
      <c r="L286" s="102">
        <f>L265+L284</f>
        <v>10059.456499999998</v>
      </c>
      <c r="M286" s="106"/>
      <c r="N286" s="119">
        <f t="shared" ref="N286:N288" si="87">L286-I286</f>
        <v>-5982.0636744478634</v>
      </c>
      <c r="O286" s="103" t="s">
        <v>40</v>
      </c>
      <c r="P286" s="101" t="e">
        <f>IF(Q263=0,0,Q286/Q$243)</f>
        <v>#DIV/0!</v>
      </c>
      <c r="Q286" s="102">
        <f>Q265+Q284</f>
        <v>24746.596250000002</v>
      </c>
      <c r="R286" s="106"/>
      <c r="S286" s="120">
        <f>L286-Q286</f>
        <v>-14687.139750000004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f t="shared" si="87"/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133">
        <f>F249-F286</f>
        <v>3677.4887107311079</v>
      </c>
      <c r="G288" s="160"/>
      <c r="H288" s="131"/>
      <c r="I288" s="133">
        <f>I249-I286</f>
        <v>3677.4887107311079</v>
      </c>
      <c r="J288" s="161"/>
      <c r="K288" s="132"/>
      <c r="L288" s="133">
        <f>L249-L286</f>
        <v>10062.583500000006</v>
      </c>
      <c r="M288" s="161"/>
      <c r="N288" s="133">
        <f t="shared" si="87"/>
        <v>6385.0947892688982</v>
      </c>
      <c r="O288" s="161"/>
      <c r="P288" s="132"/>
      <c r="Q288" s="133">
        <f>Q249-Q286</f>
        <v>3905.1037499999948</v>
      </c>
      <c r="R288" s="161"/>
      <c r="S288" s="135">
        <f>L288-Q288</f>
        <v>6157.4797500000113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Volks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Réalisé, Juin 2021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519" t="s">
        <v>5</v>
      </c>
      <c r="E292" s="520"/>
      <c r="F292" s="521"/>
      <c r="G292" s="522" t="s">
        <v>75</v>
      </c>
      <c r="H292" s="520"/>
      <c r="I292" s="521"/>
      <c r="J292" s="522" t="s">
        <v>7</v>
      </c>
      <c r="K292" s="520"/>
      <c r="L292" s="521"/>
      <c r="M292" s="522" t="s">
        <v>8</v>
      </c>
      <c r="N292" s="521"/>
      <c r="O292" s="519" t="s">
        <v>9</v>
      </c>
      <c r="P292" s="520"/>
      <c r="Q292" s="521"/>
      <c r="R292" s="522" t="s">
        <v>10</v>
      </c>
      <c r="S292" s="523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8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8"/>
        <v>PiècesPièces Ro Clients</v>
      </c>
      <c r="B294" s="12" t="s">
        <v>104</v>
      </c>
      <c r="C294" s="30" t="s">
        <v>106</v>
      </c>
      <c r="D294" s="83">
        <f>+INDEX('[7]Budget original'!$A$2:$AO$496,MATCH($A294,'[7]Budget original'!$A$2:$A$496,0),MATCH(D$2,'[7]Budget original'!$A$2:$AO$2,0))</f>
        <v>61003.734554113929</v>
      </c>
      <c r="E294" s="155">
        <f>IF(D294=0,0,F294/D294)</f>
        <v>0.35812717564768926</v>
      </c>
      <c r="F294" s="86">
        <f>+INDEX('[7]Budget original'!$A$2:$AO$496,MATCH($A294,'[7]Budget original'!$A$2:$A$496,0),MATCH(F$2,'[7]Budget original'!$A$2:$AO$2,0))</f>
        <v>21847.095159826171</v>
      </c>
      <c r="G294" s="83">
        <f>+INDEX('[7]Budget révisé'!$A$2:$AO$496,MATCH($A294,'[7]Budget révisé'!$A$2:$A$496,0),MATCH(G$2,'[7]Budget révisé'!$A$2:$AO$2,0))</f>
        <v>61003.734554113929</v>
      </c>
      <c r="H294" s="155">
        <f>IF(G294=0,0,I294/G294)</f>
        <v>0.35812717564768926</v>
      </c>
      <c r="I294" s="86">
        <f>+INDEX('[7]Budget révisé'!$A$2:$AO$496,MATCH($A294,'[7]Budget révisé'!$A$2:$A$496,0),MATCH(I$2,'[7]Budget révisé'!$A$2:$AO$2,0))</f>
        <v>21847.095159826171</v>
      </c>
      <c r="J294" s="31">
        <f>-SUMIFS([7]BV_Data_An_Cour!$O:$O,[7]BV_Data_An_Cour!$X:$X,"Oui",[7]BV_Data_An_Cour!$U:$U,$B294,[7]BV_Data_An_Cour!$V:$V,$C294)</f>
        <v>61528.69</v>
      </c>
      <c r="K294" s="155">
        <f t="shared" ref="K294:K303" si="89">IF(J294&lt;=0,0,L294/J294)</f>
        <v>0.37592072901275808</v>
      </c>
      <c r="L294" s="34">
        <f>-SUMIFS([7]BV_Data_An_Cour!$O:$O,[7]BV_Data_An_Cour!$U:$U,$B294,[7]BV_Data_An_Cour!$V:$V,$C294,[7]BV_Data_An_Cour!$W:$W,$L$2)</f>
        <v>23129.91</v>
      </c>
      <c r="M294" s="164">
        <f t="shared" ref="M294:M300" si="90">(+J294-G294)/G294</f>
        <v>8.6053001463444242E-3</v>
      </c>
      <c r="N294" s="60">
        <f t="shared" ref="N294:N303" si="91">L294-I294</f>
        <v>1282.814840173829</v>
      </c>
      <c r="O294" s="31">
        <f>-SUMIFS([7]BV_Data_An_Prec!$O:$O,[7]BV_Data_An_Prec!$X:$X,"Oui",[7]BV_Data_An_Prec!$U:$U,$B294,[7]BV_Data_An_Prec!$V:$V,$C294)</f>
        <v>71344.289999999994</v>
      </c>
      <c r="P294" s="155">
        <f t="shared" ref="P294:P303" si="92">IF(O294&lt;=0,0,Q294/O294)</f>
        <v>0.37076548102167672</v>
      </c>
      <c r="Q294" s="34">
        <f>-SUMIFS([7]BV_Data_An_Prec!$O:$O,[7]BV_Data_An_Prec!$U:$U,$B294,[7]BV_Data_An_Prec!$V:$V,$C294,[7]BV_Data_An_Prec!$W:$W,$L$2)</f>
        <v>26451.999999999996</v>
      </c>
      <c r="R294" s="164">
        <f>IF(O294=0,0,(J294-O294)/O294)</f>
        <v>-0.13758073701483317</v>
      </c>
      <c r="S294" s="86">
        <f t="shared" ref="S294:S303" si="93">L294-Q294</f>
        <v>-3322.0899999999965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8"/>
        <v>PiècesPièces Ro Carrosserie</v>
      </c>
      <c r="B295" s="12" t="s">
        <v>104</v>
      </c>
      <c r="C295" s="30" t="s">
        <v>107</v>
      </c>
      <c r="D295" s="83">
        <f>+INDEX('[7]Budget original'!$A$2:$AO$496,MATCH($A295,'[7]Budget original'!$A$2:$A$496,0),MATCH(D$2,'[7]Budget original'!$A$2:$AO$2,0))</f>
        <v>37081.656491933565</v>
      </c>
      <c r="E295" s="155">
        <f t="shared" ref="E295:E302" si="94">IF(D295=0,0,F295/D295)</f>
        <v>0.27367264200070923</v>
      </c>
      <c r="F295" s="86">
        <f>+INDEX('[7]Budget original'!$A$2:$AO$496,MATCH($A295,'[7]Budget original'!$A$2:$A$496,0),MATCH(F$2,'[7]Budget original'!$A$2:$AO$2,0))</f>
        <v>10148.234901910209</v>
      </c>
      <c r="G295" s="83">
        <f>+INDEX('[7]Budget révisé'!$A$2:$AO$496,MATCH($A295,'[7]Budget révisé'!$A$2:$A$496,0),MATCH(G$2,'[7]Budget révisé'!$A$2:$AO$2,0))</f>
        <v>37081.656491933565</v>
      </c>
      <c r="H295" s="155">
        <f t="shared" ref="H295:H302" si="95">IF(G295=0,0,I295/G295)</f>
        <v>0.27367264200070923</v>
      </c>
      <c r="I295" s="86">
        <f>+INDEX('[7]Budget révisé'!$A$2:$AO$496,MATCH($A295,'[7]Budget révisé'!$A$2:$A$496,0),MATCH(I$2,'[7]Budget révisé'!$A$2:$AO$2,0))</f>
        <v>10148.234901910209</v>
      </c>
      <c r="J295" s="31">
        <f>-SUMIFS([7]BV_Data_An_Cour!$O:$O,[7]BV_Data_An_Cour!$X:$X,"Oui",[7]BV_Data_An_Cour!$U:$U,$B295,[7]BV_Data_An_Cour!$V:$V,$C295)</f>
        <v>55031.91</v>
      </c>
      <c r="K295" s="155">
        <f t="shared" si="89"/>
        <v>0.25513561132077739</v>
      </c>
      <c r="L295" s="34">
        <f>-SUMIFS([7]BV_Data_An_Cour!$O:$O,[7]BV_Data_An_Cour!$U:$U,$B295,[7]BV_Data_An_Cour!$V:$V,$C295,[7]BV_Data_An_Cour!$W:$W,$L$2)</f>
        <v>14040.600000000004</v>
      </c>
      <c r="M295" s="164">
        <f t="shared" si="90"/>
        <v>0.48407366893038306</v>
      </c>
      <c r="N295" s="60">
        <f t="shared" si="91"/>
        <v>3892.3650980897946</v>
      </c>
      <c r="O295" s="31">
        <f>-SUMIFS([7]BV_Data_An_Prec!$O:$O,[7]BV_Data_An_Prec!$X:$X,"Oui",[7]BV_Data_An_Prec!$U:$U,$B295,[7]BV_Data_An_Prec!$V:$V,$C295)</f>
        <v>61955.23</v>
      </c>
      <c r="P295" s="155">
        <f t="shared" si="92"/>
        <v>0.26865141167259005</v>
      </c>
      <c r="Q295" s="34">
        <f>-SUMIFS([7]BV_Data_An_Prec!$O:$O,[7]BV_Data_An_Prec!$U:$U,$B295,[7]BV_Data_An_Prec!$V:$V,$C295,[7]BV_Data_An_Prec!$W:$W,$L$2)</f>
        <v>16644.36</v>
      </c>
      <c r="R295" s="164">
        <f t="shared" ref="R295:R302" si="96">IF(O295=0,0,(J295-O295)/O295)</f>
        <v>-0.11174714386501348</v>
      </c>
      <c r="S295" s="86">
        <f t="shared" si="93"/>
        <v>-2603.7599999999966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8"/>
        <v>PiècesP/A Garantie</v>
      </c>
      <c r="B296" s="12" t="s">
        <v>104</v>
      </c>
      <c r="C296" s="30" t="s">
        <v>108</v>
      </c>
      <c r="D296" s="83">
        <f>+INDEX('[7]Budget original'!$A$2:$AO$496,MATCH($A296,'[7]Budget original'!$A$2:$A$496,0),MATCH(D$2,'[7]Budget original'!$A$2:$AO$2,0))</f>
        <v>83010.273455644725</v>
      </c>
      <c r="E296" s="155">
        <f t="shared" si="94"/>
        <v>0.23983607715678651</v>
      </c>
      <c r="F296" s="86">
        <f>+INDEX('[7]Budget original'!$A$2:$AO$496,MATCH($A296,'[7]Budget original'!$A$2:$A$496,0),MATCH(F$2,'[7]Budget original'!$A$2:$AO$2,0))</f>
        <v>19908.858349313956</v>
      </c>
      <c r="G296" s="83">
        <f>+INDEX('[7]Budget révisé'!$A$2:$AO$496,MATCH($A296,'[7]Budget révisé'!$A$2:$A$496,0),MATCH(G$2,'[7]Budget révisé'!$A$2:$AO$2,0))</f>
        <v>83010.273455644725</v>
      </c>
      <c r="H296" s="155">
        <f t="shared" si="95"/>
        <v>0.23983607715678651</v>
      </c>
      <c r="I296" s="86">
        <f>+INDEX('[7]Budget révisé'!$A$2:$AO$496,MATCH($A296,'[7]Budget révisé'!$A$2:$A$496,0),MATCH(I$2,'[7]Budget révisé'!$A$2:$AO$2,0))</f>
        <v>19908.858349313956</v>
      </c>
      <c r="J296" s="31">
        <f>-SUMIFS([7]BV_Data_An_Cour!$O:$O,[7]BV_Data_An_Cour!$X:$X,"Oui",[7]BV_Data_An_Cour!$U:$U,$B296,[7]BV_Data_An_Cour!$V:$V,$C296)</f>
        <v>117794.14</v>
      </c>
      <c r="K296" s="155">
        <f t="shared" si="89"/>
        <v>0.23941292835110475</v>
      </c>
      <c r="L296" s="34">
        <f>-SUMIFS([7]BV_Data_An_Cour!$O:$O,[7]BV_Data_An_Cour!$U:$U,$B296,[7]BV_Data_An_Cour!$V:$V,$C296,[7]BV_Data_An_Cour!$W:$W,$L$2)</f>
        <v>28201.440000000002</v>
      </c>
      <c r="M296" s="164">
        <f t="shared" si="90"/>
        <v>0.41903086324539701</v>
      </c>
      <c r="N296" s="60">
        <f t="shared" si="91"/>
        <v>8292.5816506860465</v>
      </c>
      <c r="O296" s="31">
        <f>-SUMIFS([7]BV_Data_An_Prec!$O:$O,[7]BV_Data_An_Prec!$X:$X,"Oui",[7]BV_Data_An_Prec!$U:$U,$B296,[7]BV_Data_An_Prec!$V:$V,$C296)</f>
        <v>111735.39</v>
      </c>
      <c r="P296" s="155">
        <f t="shared" si="92"/>
        <v>0.23929132927356317</v>
      </c>
      <c r="Q296" s="34">
        <f>-SUMIFS([7]BV_Data_An_Prec!$O:$O,[7]BV_Data_An_Prec!$U:$U,$B296,[7]BV_Data_An_Prec!$V:$V,$C296,[7]BV_Data_An_Prec!$W:$W,$L$2)</f>
        <v>26737.309999999998</v>
      </c>
      <c r="R296" s="164">
        <f t="shared" si="96"/>
        <v>5.4224091400226909E-2</v>
      </c>
      <c r="S296" s="86">
        <f t="shared" si="93"/>
        <v>1464.1300000000047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8"/>
        <v>PiècesVentes Internes</v>
      </c>
      <c r="B297" s="12" t="s">
        <v>104</v>
      </c>
      <c r="C297" s="30" t="s">
        <v>109</v>
      </c>
      <c r="D297" s="83">
        <f>+INDEX('[7]Budget original'!$A$2:$AO$496,MATCH($A297,'[7]Budget original'!$A$2:$A$496,0),MATCH(D$2,'[7]Budget original'!$A$2:$AO$2,0))</f>
        <v>58798.338788738147</v>
      </c>
      <c r="E297" s="155">
        <f t="shared" si="94"/>
        <v>0.32994466198333777</v>
      </c>
      <c r="F297" s="86">
        <f>+INDEX('[7]Budget original'!$A$2:$AO$496,MATCH($A297,'[7]Budget original'!$A$2:$A$496,0),MATCH(F$2,'[7]Budget original'!$A$2:$AO$2,0))</f>
        <v>19400.198016831986</v>
      </c>
      <c r="G297" s="83">
        <f>+INDEX('[7]Budget révisé'!$A$2:$AO$496,MATCH($A297,'[7]Budget révisé'!$A$2:$A$496,0),MATCH(G$2,'[7]Budget révisé'!$A$2:$AO$2,0))</f>
        <v>58798.338788738147</v>
      </c>
      <c r="H297" s="155">
        <f t="shared" si="95"/>
        <v>0.32994466198333777</v>
      </c>
      <c r="I297" s="86">
        <f>+INDEX('[7]Budget révisé'!$A$2:$AO$496,MATCH($A297,'[7]Budget révisé'!$A$2:$A$496,0),MATCH(I$2,'[7]Budget révisé'!$A$2:$AO$2,0))</f>
        <v>19400.198016831986</v>
      </c>
      <c r="J297" s="31">
        <f>-SUMIFS([7]BV_Data_An_Cour!$O:$O,[7]BV_Data_An_Cour!$X:$X,"Oui",[7]BV_Data_An_Cour!$U:$U,$B297,[7]BV_Data_An_Cour!$V:$V,$C297)</f>
        <v>71609.67</v>
      </c>
      <c r="K297" s="155">
        <f t="shared" si="89"/>
        <v>0.30759365320354082</v>
      </c>
      <c r="L297" s="34">
        <f>-SUMIFS([7]BV_Data_An_Cour!$O:$O,[7]BV_Data_An_Cour!$U:$U,$B297,[7]BV_Data_An_Cour!$V:$V,$C297,[7]BV_Data_An_Cour!$W:$W,$L$2)</f>
        <v>22026.68</v>
      </c>
      <c r="M297" s="164">
        <f t="shared" si="90"/>
        <v>0.21788593819449284</v>
      </c>
      <c r="N297" s="60">
        <f t="shared" si="91"/>
        <v>2626.4819831680143</v>
      </c>
      <c r="O297" s="31">
        <f>-SUMIFS([7]BV_Data_An_Prec!$O:$O,[7]BV_Data_An_Prec!$X:$X,"Oui",[7]BV_Data_An_Prec!$U:$U,$B297,[7]BV_Data_An_Prec!$V:$V,$C297)</f>
        <v>52427.38</v>
      </c>
      <c r="P297" s="155">
        <f t="shared" si="92"/>
        <v>0.30476575407735423</v>
      </c>
      <c r="Q297" s="34">
        <f>-SUMIFS([7]BV_Data_An_Prec!$O:$O,[7]BV_Data_An_Prec!$U:$U,$B297,[7]BV_Data_An_Prec!$V:$V,$C297,[7]BV_Data_An_Prec!$W:$W,$L$2)</f>
        <v>15978.07</v>
      </c>
      <c r="R297" s="164">
        <f t="shared" si="96"/>
        <v>0.36588305576208463</v>
      </c>
      <c r="S297" s="86">
        <f t="shared" si="93"/>
        <v>6048.6100000000006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8"/>
        <v>PiècesVentes Détails</v>
      </c>
      <c r="B298" s="12" t="s">
        <v>104</v>
      </c>
      <c r="C298" s="30" t="s">
        <v>110</v>
      </c>
      <c r="D298" s="83">
        <f>+INDEX('[7]Budget original'!$A$2:$AO$496,MATCH($A298,'[7]Budget original'!$A$2:$A$496,0),MATCH(D$2,'[7]Budget original'!$A$2:$AO$2,0))</f>
        <v>12283.166558827203</v>
      </c>
      <c r="E298" s="155">
        <f t="shared" si="94"/>
        <v>0.29678579936093841</v>
      </c>
      <c r="F298" s="86">
        <f>+INDEX('[7]Budget original'!$A$2:$AO$496,MATCH($A298,'[7]Budget original'!$A$2:$A$496,0),MATCH(F$2,'[7]Budget original'!$A$2:$AO$2,0))</f>
        <v>3645.4694058450782</v>
      </c>
      <c r="G298" s="83">
        <f>+INDEX('[7]Budget révisé'!$A$2:$AO$496,MATCH($A298,'[7]Budget révisé'!$A$2:$A$496,0),MATCH(G$2,'[7]Budget révisé'!$A$2:$AO$2,0))</f>
        <v>12283.166558827203</v>
      </c>
      <c r="H298" s="155">
        <f t="shared" si="95"/>
        <v>0.29678579936093841</v>
      </c>
      <c r="I298" s="86">
        <f>+INDEX('[7]Budget révisé'!$A$2:$AO$496,MATCH($A298,'[7]Budget révisé'!$A$2:$A$496,0),MATCH(I$2,'[7]Budget révisé'!$A$2:$AO$2,0))</f>
        <v>3645.4694058450782</v>
      </c>
      <c r="J298" s="31">
        <f>-SUMIFS([7]BV_Data_An_Cour!$O:$O,[7]BV_Data_An_Cour!$X:$X,"Oui",[7]BV_Data_An_Cour!$U:$U,$B298,[7]BV_Data_An_Cour!$V:$V,$C298)</f>
        <v>17758.79</v>
      </c>
      <c r="K298" s="155">
        <f t="shared" si="89"/>
        <v>0.272184084613873</v>
      </c>
      <c r="L298" s="34">
        <f>-SUMIFS([7]BV_Data_An_Cour!$O:$O,[7]BV_Data_An_Cour!$U:$U,$B298,[7]BV_Data_An_Cour!$V:$V,$C298,[7]BV_Data_An_Cour!$W:$W,$L$2)</f>
        <v>4833.6600000000017</v>
      </c>
      <c r="M298" s="164">
        <f t="shared" si="90"/>
        <v>0.4457827234490917</v>
      </c>
      <c r="N298" s="60">
        <f t="shared" si="91"/>
        <v>1188.1905941549235</v>
      </c>
      <c r="O298" s="31">
        <f>-SUMIFS([7]BV_Data_An_Prec!$O:$O,[7]BV_Data_An_Prec!$X:$X,"Oui",[7]BV_Data_An_Prec!$U:$U,$B298,[7]BV_Data_An_Prec!$V:$V,$C298)</f>
        <v>15606.28</v>
      </c>
      <c r="P298" s="155">
        <f t="shared" si="92"/>
        <v>0.2988098380908199</v>
      </c>
      <c r="Q298" s="34">
        <f>-SUMIFS([7]BV_Data_An_Prec!$O:$O,[7]BV_Data_An_Prec!$U:$U,$B298,[7]BV_Data_An_Prec!$V:$V,$C298,[7]BV_Data_An_Prec!$W:$W,$L$2)</f>
        <v>4663.3100000000013</v>
      </c>
      <c r="R298" s="164">
        <f t="shared" si="96"/>
        <v>0.13792588624579336</v>
      </c>
      <c r="S298" s="86">
        <f t="shared" si="93"/>
        <v>170.35000000000036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8"/>
        <v>PiècesVentes de Gros</v>
      </c>
      <c r="B299" s="12" t="s">
        <v>104</v>
      </c>
      <c r="C299" s="30" t="s">
        <v>111</v>
      </c>
      <c r="D299" s="83">
        <f>+INDEX('[7]Budget original'!$A$2:$AO$496,MATCH($A299,'[7]Budget original'!$A$2:$A$496,0),MATCH(D$2,'[7]Budget original'!$A$2:$AO$2,0))</f>
        <v>54161.758987495748</v>
      </c>
      <c r="E299" s="155">
        <f t="shared" si="94"/>
        <v>0.19081606757663094</v>
      </c>
      <c r="F299" s="86">
        <f>+INDEX('[7]Budget original'!$A$2:$AO$496,MATCH($A299,'[7]Budget original'!$A$2:$A$496,0),MATCH(F$2,'[7]Budget original'!$A$2:$AO$2,0))</f>
        <v>10334.933863027187</v>
      </c>
      <c r="G299" s="83">
        <f>+INDEX('[7]Budget révisé'!$A$2:$AO$496,MATCH($A299,'[7]Budget révisé'!$A$2:$A$496,0),MATCH(G$2,'[7]Budget révisé'!$A$2:$AO$2,0))</f>
        <v>54161.758987495748</v>
      </c>
      <c r="H299" s="155">
        <f t="shared" si="95"/>
        <v>0.19081606757663094</v>
      </c>
      <c r="I299" s="86">
        <f>+INDEX('[7]Budget révisé'!$A$2:$AO$496,MATCH($A299,'[7]Budget révisé'!$A$2:$A$496,0),MATCH(I$2,'[7]Budget révisé'!$A$2:$AO$2,0))</f>
        <v>10334.933863027187</v>
      </c>
      <c r="J299" s="31">
        <f>-SUMIFS([7]BV_Data_An_Cour!$O:$O,[7]BV_Data_An_Cour!$X:$X,"Oui",[7]BV_Data_An_Cour!$U:$U,$B299,[7]BV_Data_An_Cour!$V:$V,$C299)</f>
        <v>54255.43</v>
      </c>
      <c r="K299" s="155">
        <f t="shared" si="89"/>
        <v>0.20387470894618284</v>
      </c>
      <c r="L299" s="34">
        <f>-SUMIFS([7]BV_Data_An_Cour!$O:$O,[7]BV_Data_An_Cour!$U:$U,$B299,[7]BV_Data_An_Cour!$V:$V,$C299,[7]BV_Data_An_Cour!$W:$W,$L$2)</f>
        <v>11061.309999999998</v>
      </c>
      <c r="M299" s="164">
        <f t="shared" si="90"/>
        <v>1.7294676955723974E-3</v>
      </c>
      <c r="N299" s="60">
        <f t="shared" si="91"/>
        <v>726.37613697281085</v>
      </c>
      <c r="O299" s="31">
        <f>-SUMIFS([7]BV_Data_An_Prec!$O:$O,[7]BV_Data_An_Prec!$X:$X,"Oui",[7]BV_Data_An_Prec!$U:$U,$B299,[7]BV_Data_An_Prec!$V:$V,$C299)</f>
        <v>54996.95</v>
      </c>
      <c r="P299" s="155">
        <f t="shared" si="92"/>
        <v>0.20567140541430018</v>
      </c>
      <c r="Q299" s="34">
        <f>-SUMIFS([7]BV_Data_An_Prec!$O:$O,[7]BV_Data_An_Prec!$U:$U,$B299,[7]BV_Data_An_Prec!$V:$V,$C299,[7]BV_Data_An_Prec!$W:$W,$L$2)</f>
        <v>11311.299999999996</v>
      </c>
      <c r="R299" s="164">
        <f t="shared" si="96"/>
        <v>-1.3482929507909018E-2</v>
      </c>
      <c r="S299" s="86">
        <f t="shared" si="93"/>
        <v>-249.98999999999796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8"/>
        <v>Pièces[...]</v>
      </c>
      <c r="B300" s="12" t="s">
        <v>104</v>
      </c>
      <c r="C300" s="30" t="s">
        <v>21</v>
      </c>
      <c r="D300" s="83">
        <f>+INDEX('[7]Budget original'!$A$2:$AO$496,MATCH($A300,'[7]Budget original'!$A$2:$A$496,0),MATCH(D$2,'[7]Budget original'!$A$2:$AO$2,0))</f>
        <v>0</v>
      </c>
      <c r="E300" s="155">
        <f t="shared" si="94"/>
        <v>0</v>
      </c>
      <c r="F300" s="86">
        <f>+INDEX('[7]Budget original'!$A$2:$AO$496,MATCH($A300,'[7]Budget original'!$A$2:$A$496,0),MATCH(F$2,'[7]Budget original'!$A$2:$AO$2,0))</f>
        <v>0</v>
      </c>
      <c r="G300" s="83">
        <f>+INDEX('[7]Budget révisé'!$A$2:$AO$496,MATCH($A300,'[7]Budget révisé'!$A$2:$A$496,0),MATCH(G$2,'[7]Budget révisé'!$A$2:$AO$2,0))</f>
        <v>0</v>
      </c>
      <c r="H300" s="155">
        <f t="shared" si="95"/>
        <v>0</v>
      </c>
      <c r="I300" s="86">
        <f>+INDEX('[7]Budget révisé'!$A$2:$AO$496,MATCH($A300,'[7]Budget révisé'!$A$2:$A$496,0),MATCH(I$2,'[7]Budget révisé'!$A$2:$AO$2,0))</f>
        <v>0</v>
      </c>
      <c r="J300" s="31">
        <f>-SUMIFS([7]BV_Data_An_Cour!$O:$O,[7]BV_Data_An_Cour!$X:$X,"Oui",[7]BV_Data_An_Cour!$U:$U,$B300,[7]BV_Data_An_Cour!$V:$V,$C300)</f>
        <v>0</v>
      </c>
      <c r="K300" s="155">
        <f t="shared" si="89"/>
        <v>0</v>
      </c>
      <c r="L300" s="34">
        <f>-SUMIFS([7]BV_Data_An_Cour!$O:$O,[7]BV_Data_An_Cour!$U:$U,$B300,[7]BV_Data_An_Cour!$V:$V,$C300,[7]BV_Data_An_Cour!$W:$W,$L$2)</f>
        <v>0</v>
      </c>
      <c r="M300" s="164" t="e">
        <f t="shared" si="90"/>
        <v>#DIV/0!</v>
      </c>
      <c r="N300" s="60">
        <f t="shared" si="91"/>
        <v>0</v>
      </c>
      <c r="O300" s="31">
        <f>-SUMIFS([7]BV_Data_An_Prec!$O:$O,[7]BV_Data_An_Prec!$X:$X,"Oui",[7]BV_Data_An_Prec!$U:$U,$B300,[7]BV_Data_An_Prec!$V:$V,$C300)</f>
        <v>0</v>
      </c>
      <c r="P300" s="155">
        <f t="shared" si="92"/>
        <v>0</v>
      </c>
      <c r="Q300" s="34">
        <f>-SUMIFS([7]BV_Data_An_Prec!$O:$O,[7]BV_Data_An_Prec!$U:$U,$B300,[7]BV_Data_An_Prec!$V:$V,$C300,[7]BV_Data_An_Prec!$W:$W,$L$2)</f>
        <v>0</v>
      </c>
      <c r="R300" s="164">
        <f t="shared" si="96"/>
        <v>0</v>
      </c>
      <c r="S300" s="86">
        <f t="shared" si="93"/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8"/>
        <v>PiècesEscomptes</v>
      </c>
      <c r="B301" s="12" t="s">
        <v>104</v>
      </c>
      <c r="C301" s="30" t="s">
        <v>112</v>
      </c>
      <c r="D301" s="83">
        <f>+INDEX('[7]Budget original'!$A$2:$AO$496,MATCH($A301,'[7]Budget original'!$A$2:$A$496,0),MATCH(D$2,'[7]Budget original'!$A$2:$AO$2,0))</f>
        <v>0</v>
      </c>
      <c r="E301" s="155">
        <f t="shared" si="94"/>
        <v>0</v>
      </c>
      <c r="F301" s="86">
        <f>+INDEX('[7]Budget original'!$A$2:$AO$496,MATCH($A301,'[7]Budget original'!$A$2:$A$496,0),MATCH(F$2,'[7]Budget original'!$A$2:$AO$2,0))</f>
        <v>9711.6505853186191</v>
      </c>
      <c r="G301" s="83">
        <f>+INDEX('[7]Budget révisé'!$A$2:$AO$496,MATCH($A301,'[7]Budget révisé'!$A$2:$A$496,0),MATCH(G$2,'[7]Budget révisé'!$A$2:$AO$2,0))</f>
        <v>0</v>
      </c>
      <c r="H301" s="155">
        <f t="shared" si="95"/>
        <v>0</v>
      </c>
      <c r="I301" s="86">
        <f>+INDEX('[7]Budget révisé'!$A$2:$AO$496,MATCH($A301,'[7]Budget révisé'!$A$2:$A$496,0),MATCH(I$2,'[7]Budget révisé'!$A$2:$AO$2,0))</f>
        <v>9711.6505853186191</v>
      </c>
      <c r="J301" s="31">
        <f>-SUMIFS([7]BV_Data_An_Cour!$O:$O,[7]BV_Data_An_Cour!$X:$X,"Oui",[7]BV_Data_An_Cour!$U:$U,$B301,[7]BV_Data_An_Cour!$V:$V,$C301)</f>
        <v>0</v>
      </c>
      <c r="K301" s="155">
        <f t="shared" si="89"/>
        <v>0</v>
      </c>
      <c r="L301" s="34">
        <f>-SUMIFS([7]BV_Data_An_Cour!$O:$O,[7]BV_Data_An_Cour!$U:$U,$B301,[7]BV_Data_An_Cour!$V:$V,$C301,[7]BV_Data_An_Cour!$W:$W,$L$2)</f>
        <v>6027.79</v>
      </c>
      <c r="M301" s="164"/>
      <c r="N301" s="60">
        <f t="shared" si="91"/>
        <v>-3683.8605853186191</v>
      </c>
      <c r="O301" s="31">
        <f>-SUMIFS([7]BV_Data_An_Prec!$O:$O,[7]BV_Data_An_Prec!$X:$X,"Oui",[7]BV_Data_An_Prec!$U:$U,$B301,[7]BV_Data_An_Prec!$V:$V,$C301)</f>
        <v>0</v>
      </c>
      <c r="P301" s="155">
        <f t="shared" si="92"/>
        <v>0</v>
      </c>
      <c r="Q301" s="34">
        <f>-SUMIFS([7]BV_Data_An_Prec!$O:$O,[7]BV_Data_An_Prec!$U:$U,$B301,[7]BV_Data_An_Prec!$V:$V,$C301,[7]BV_Data_An_Prec!$W:$W,$L$2)</f>
        <v>16821.09</v>
      </c>
      <c r="R301" s="164">
        <f t="shared" si="96"/>
        <v>0</v>
      </c>
      <c r="S301" s="86">
        <f t="shared" si="93"/>
        <v>-10793.3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8"/>
        <v>PiècesRectif. Inventaire</v>
      </c>
      <c r="B302" s="12" t="s">
        <v>104</v>
      </c>
      <c r="C302" s="88" t="s">
        <v>113</v>
      </c>
      <c r="D302" s="83">
        <f>+INDEX('[7]Budget original'!$A$2:$AO$496,MATCH($A302,'[7]Budget original'!$A$2:$A$496,0),MATCH(D$2,'[7]Budget original'!$A$2:$AO$2,0))</f>
        <v>0</v>
      </c>
      <c r="E302" s="155">
        <f t="shared" si="94"/>
        <v>0</v>
      </c>
      <c r="F302" s="86">
        <f>+INDEX('[7]Budget original'!$A$2:$AO$496,MATCH($A302,'[7]Budget original'!$A$2:$A$496,0),MATCH(F$2,'[7]Budget original'!$A$2:$AO$2,0))</f>
        <v>100</v>
      </c>
      <c r="G302" s="83">
        <f>+INDEX('[7]Budget révisé'!$A$2:$AO$496,MATCH($A302,'[7]Budget révisé'!$A$2:$A$496,0),MATCH(G$2,'[7]Budget révisé'!$A$2:$AO$2,0))</f>
        <v>0</v>
      </c>
      <c r="H302" s="155">
        <f t="shared" si="95"/>
        <v>0</v>
      </c>
      <c r="I302" s="86">
        <f>+INDEX('[7]Budget révisé'!$A$2:$AO$496,MATCH($A302,'[7]Budget révisé'!$A$2:$A$496,0),MATCH(I$2,'[7]Budget révisé'!$A$2:$AO$2,0))</f>
        <v>100</v>
      </c>
      <c r="J302" s="31">
        <f>-SUMIFS([7]BV_Data_An_Cour!$O:$O,[7]BV_Data_An_Cour!$X:$X,"Oui",[7]BV_Data_An_Cour!$U:$U,$B302,[7]BV_Data_An_Cour!$V:$V,$C302)</f>
        <v>0</v>
      </c>
      <c r="K302" s="155">
        <f t="shared" si="89"/>
        <v>0</v>
      </c>
      <c r="L302" s="34">
        <f>-SUMIFS([7]BV_Data_An_Cour!$O:$O,[7]BV_Data_An_Cour!$U:$U,$B302,[7]BV_Data_An_Cour!$V:$V,$C302,[7]BV_Data_An_Cour!$W:$W,$L$2)</f>
        <v>0</v>
      </c>
      <c r="M302" s="164"/>
      <c r="N302" s="60">
        <f t="shared" si="91"/>
        <v>-100</v>
      </c>
      <c r="O302" s="31">
        <f>-SUMIFS([7]BV_Data_An_Prec!$O:$O,[7]BV_Data_An_Prec!$X:$X,"Oui",[7]BV_Data_An_Prec!$U:$U,$B302,[7]BV_Data_An_Prec!$V:$V,$C302)</f>
        <v>0</v>
      </c>
      <c r="P302" s="155">
        <f t="shared" si="92"/>
        <v>0</v>
      </c>
      <c r="Q302" s="34">
        <f>-SUMIFS([7]BV_Data_An_Prec!$O:$O,[7]BV_Data_An_Prec!$U:$U,$B302,[7]BV_Data_An_Prec!$V:$V,$C302,[7]BV_Data_An_Prec!$W:$W,$L$2)</f>
        <v>0</v>
      </c>
      <c r="R302" s="164">
        <f t="shared" si="96"/>
        <v>0</v>
      </c>
      <c r="S302" s="86">
        <f t="shared" si="93"/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8"/>
        <v>PiècesSous-total Pièces</v>
      </c>
      <c r="B303" s="12" t="s">
        <v>104</v>
      </c>
      <c r="C303" s="54" t="s">
        <v>114</v>
      </c>
      <c r="D303" s="204">
        <f>SUM(D294:D302)</f>
        <v>306338.92883675336</v>
      </c>
      <c r="E303" s="223">
        <f>IF(D303&lt;=0,0,F303/D303)</f>
        <v>0.31042884638651219</v>
      </c>
      <c r="F303" s="208">
        <f>SUM(F294:F302)</f>
        <v>95096.440282073207</v>
      </c>
      <c r="G303" s="204">
        <f>SUM(G294:G302)</f>
        <v>306338.92883675336</v>
      </c>
      <c r="H303" s="223">
        <f>IF(G303&lt;=0,0,I303/G303)</f>
        <v>0.31042884638651219</v>
      </c>
      <c r="I303" s="208">
        <f>SUM(I294:I302)</f>
        <v>95096.440282073207</v>
      </c>
      <c r="J303" s="204">
        <f>SUM(J294:J302)</f>
        <v>377978.62999999995</v>
      </c>
      <c r="K303" s="223">
        <f t="shared" si="89"/>
        <v>0.28922637769230503</v>
      </c>
      <c r="L303" s="206">
        <f>SUM(L294:L302)</f>
        <v>109321.39</v>
      </c>
      <c r="M303" s="224">
        <f>(+J303-G303)/G303</f>
        <v>0.23385764726435751</v>
      </c>
      <c r="N303" s="206">
        <f t="shared" si="91"/>
        <v>14224.949717926793</v>
      </c>
      <c r="O303" s="204">
        <f>SUM(O294:O302)</f>
        <v>368065.52</v>
      </c>
      <c r="P303" s="223">
        <f t="shared" si="92"/>
        <v>0.32224545238575991</v>
      </c>
      <c r="Q303" s="206">
        <f>SUM(Q294:Q302)</f>
        <v>118607.43999999997</v>
      </c>
      <c r="R303" s="224">
        <f>IF(O303=0,0,(J303-O303)/O303)</f>
        <v>2.6933003667390328E-2</v>
      </c>
      <c r="S303" s="208">
        <f t="shared" si="93"/>
        <v>-9286.0499999999738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8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0.14958446053010002</v>
      </c>
      <c r="O304" s="42"/>
      <c r="P304" s="14"/>
      <c r="Q304" s="41"/>
      <c r="R304" s="42"/>
      <c r="S304" s="45">
        <f>IF(Q303=0,0,S303/Q303)</f>
        <v>-7.8292306115029339E-2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8"/>
        <v>Pièces</v>
      </c>
      <c r="B305" s="12" t="s">
        <v>104</v>
      </c>
      <c r="C305" s="88"/>
      <c r="D305" s="117"/>
      <c r="E305" s="117"/>
      <c r="F305" s="225"/>
      <c r="G305" s="24"/>
      <c r="H305" s="226"/>
      <c r="I305" s="225"/>
      <c r="J305" s="24"/>
      <c r="K305" s="117"/>
      <c r="L305" s="225"/>
      <c r="M305" s="24"/>
      <c r="N305" s="176"/>
      <c r="O305" s="24"/>
      <c r="P305" s="117"/>
      <c r="Q305" s="225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8"/>
        <v>PiècesVentes Pneus</v>
      </c>
      <c r="B306" s="12" t="s">
        <v>104</v>
      </c>
      <c r="C306" s="30" t="s">
        <v>115</v>
      </c>
      <c r="D306" s="83">
        <f>+INDEX('[7]Budget original'!$A$2:$AO$496,MATCH($A306,'[7]Budget original'!$A$2:$A$496,0),MATCH(D$2,'[7]Budget original'!$A$2:$AO$2,0))</f>
        <v>22830.049108010149</v>
      </c>
      <c r="E306" s="155">
        <f t="shared" ref="E306:E307" si="97">IF(D306=0,0,F306/D306)</f>
        <v>0.19500000000000001</v>
      </c>
      <c r="F306" s="116">
        <f>+INDEX('[7]Budget original'!$A$2:$AO$496,MATCH($A306,'[7]Budget original'!$A$2:$A$496,0),MATCH(F$2,'[7]Budget original'!$A$2:$AO$2,0))</f>
        <v>4451.8595760619792</v>
      </c>
      <c r="G306" s="83">
        <f>+INDEX('[7]Budget révisé'!$A$2:$AO$496,MATCH($A306,'[7]Budget révisé'!$A$2:$A$496,0),MATCH(G$2,'[7]Budget révisé'!$A$2:$AO$2,0))</f>
        <v>22830.049108010149</v>
      </c>
      <c r="H306" s="155">
        <f t="shared" ref="H306:H307" si="98">IF(G306=0,0,I306/G306)</f>
        <v>0.19500000000000001</v>
      </c>
      <c r="I306" s="116">
        <f>+INDEX('[7]Budget révisé'!$A$2:$AO$496,MATCH($A306,'[7]Budget révisé'!$A$2:$A$496,0),MATCH(I$2,'[7]Budget révisé'!$A$2:$AO$2,0))</f>
        <v>4451.8595760619792</v>
      </c>
      <c r="J306" s="31">
        <f>-SUMIFS([7]BV_Data_An_Cour!$O:$O,[7]BV_Data_An_Cour!$X:$X,"Oui",[7]BV_Data_An_Cour!$U:$U,$B306,[7]BV_Data_An_Cour!$V:$V,$C306)</f>
        <v>27719.96</v>
      </c>
      <c r="K306" s="155">
        <f t="shared" ref="K306:K308" si="99">IF(J306&lt;=0,0,L306/J306)</f>
        <v>0.15727223271606447</v>
      </c>
      <c r="L306" s="34">
        <f>-SUMIFS([7]BV_Data_An_Cour!$O:$O,[7]BV_Data_An_Cour!$U:$U,$B306,[7]BV_Data_An_Cour!$V:$V,$C306,[7]BV_Data_An_Cour!$W:$W,$L$2)</f>
        <v>4359.5799999999981</v>
      </c>
      <c r="M306" s="164">
        <f t="shared" ref="M306:M308" si="100">(+J306-G306)/G306</f>
        <v>0.21418748899117243</v>
      </c>
      <c r="N306" s="60">
        <f t="shared" ref="N306:N308" si="101">L306-I306</f>
        <v>-92.279576061981061</v>
      </c>
      <c r="O306" s="31">
        <f>-SUMIFS([7]BV_Data_An_Prec!$O:$O,[7]BV_Data_An_Prec!$X:$X,"Oui",[7]BV_Data_An_Prec!$U:$U,$B306,[7]BV_Data_An_Prec!$V:$V,$C306)</f>
        <v>34672.89</v>
      </c>
      <c r="P306" s="155">
        <f t="shared" ref="P306:P308" si="102">IF(O306&lt;=0,0,Q306/O306)</f>
        <v>0.17254748594651328</v>
      </c>
      <c r="Q306" s="34">
        <f>-SUMIFS([7]BV_Data_An_Prec!$O:$O,[7]BV_Data_An_Prec!$U:$U,$B306,[7]BV_Data_An_Prec!$V:$V,$C306,[7]BV_Data_An_Prec!$W:$W,$L$2)</f>
        <v>5982.7200000000012</v>
      </c>
      <c r="R306" s="164">
        <f t="shared" ref="R306:R307" si="103">IF(O306=0,0,(J306-O306)/O306)</f>
        <v>-0.20052928959772318</v>
      </c>
      <c r="S306" s="86">
        <f t="shared" ref="S306:S308" si="104">L306-Q306</f>
        <v>-1623.1400000000031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8"/>
        <v>PiècesHuiles et Graisse</v>
      </c>
      <c r="B307" s="12" t="s">
        <v>104</v>
      </c>
      <c r="C307" s="88" t="s">
        <v>116</v>
      </c>
      <c r="D307" s="83">
        <f>+INDEX('[7]Budget original'!$A$2:$AO$496,MATCH($A307,'[7]Budget original'!$A$2:$A$496,0),MATCH(D$2,'[7]Budget original'!$A$2:$AO$2,0))</f>
        <v>19208.182918302584</v>
      </c>
      <c r="E307" s="155">
        <f t="shared" si="97"/>
        <v>0.30006987567403659</v>
      </c>
      <c r="F307" s="95">
        <f>+INDEX('[7]Budget original'!$A$2:$AO$496,MATCH($A307,'[7]Budget original'!$A$2:$A$496,0),MATCH(F$2,'[7]Budget original'!$A$2:$AO$2,0))</f>
        <v>5763.7970602192099</v>
      </c>
      <c r="G307" s="83">
        <f>+INDEX('[7]Budget révisé'!$A$2:$AO$496,MATCH($A307,'[7]Budget révisé'!$A$2:$A$496,0),MATCH(G$2,'[7]Budget révisé'!$A$2:$AO$2,0))</f>
        <v>19208.182918302584</v>
      </c>
      <c r="H307" s="155">
        <f t="shared" si="98"/>
        <v>0.30006987567403659</v>
      </c>
      <c r="I307" s="95">
        <f>+INDEX('[7]Budget révisé'!$A$2:$AO$496,MATCH($A307,'[7]Budget révisé'!$A$2:$A$496,0),MATCH(I$2,'[7]Budget révisé'!$A$2:$AO$2,0))</f>
        <v>5763.7970602192099</v>
      </c>
      <c r="J307" s="31">
        <f>-SUMIFS([7]BV_Data_An_Cour!$O:$O,[7]BV_Data_An_Cour!$X:$X,"Oui",[7]BV_Data_An_Cour!$U:$U,$B307,[7]BV_Data_An_Cour!$V:$V,$C307)</f>
        <v>19970.45</v>
      </c>
      <c r="K307" s="155">
        <f t="shared" si="99"/>
        <v>0.28391648660896474</v>
      </c>
      <c r="L307" s="34">
        <f>-SUMIFS([7]BV_Data_An_Cour!$O:$O,[7]BV_Data_An_Cour!$U:$U,$B307,[7]BV_Data_An_Cour!$V:$V,$C307,[7]BV_Data_An_Cour!$W:$W,$L$2)</f>
        <v>5669.9400000000005</v>
      </c>
      <c r="M307" s="164">
        <f t="shared" si="100"/>
        <v>3.9684497223893472E-2</v>
      </c>
      <c r="N307" s="60">
        <f t="shared" si="101"/>
        <v>-93.857060219209416</v>
      </c>
      <c r="O307" s="31">
        <f>-SUMIFS([7]BV_Data_An_Prec!$O:$O,[7]BV_Data_An_Prec!$X:$X,"Oui",[7]BV_Data_An_Prec!$U:$U,$B307,[7]BV_Data_An_Prec!$V:$V,$C307)</f>
        <v>22194.99</v>
      </c>
      <c r="P307" s="155">
        <f t="shared" si="102"/>
        <v>0.29556174614180952</v>
      </c>
      <c r="Q307" s="34">
        <f>-SUMIFS([7]BV_Data_An_Prec!$O:$O,[7]BV_Data_An_Prec!$U:$U,$B307,[7]BV_Data_An_Prec!$V:$V,$C307,[7]BV_Data_An_Prec!$W:$W,$L$2)</f>
        <v>6559.9900000000016</v>
      </c>
      <c r="R307" s="164">
        <f t="shared" si="103"/>
        <v>-0.10022712332828268</v>
      </c>
      <c r="S307" s="86">
        <f t="shared" si="104"/>
        <v>-890.05000000000109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8"/>
        <v>PiècesSous-total Pièces et Acc.</v>
      </c>
      <c r="B308" s="12" t="s">
        <v>104</v>
      </c>
      <c r="C308" s="54" t="s">
        <v>117</v>
      </c>
      <c r="D308" s="204">
        <f>D303+D306+D307</f>
        <v>348377.16086306609</v>
      </c>
      <c r="E308" s="223">
        <f>IF(D308&lt;=0,0,F308/D308)</f>
        <v>0.30229334396507296</v>
      </c>
      <c r="F308" s="206">
        <f t="shared" ref="F308" si="105">F303+F306+F307</f>
        <v>105312.09691835439</v>
      </c>
      <c r="G308" s="207">
        <f>G303+G306+G307</f>
        <v>348377.16086306609</v>
      </c>
      <c r="H308" s="223">
        <f>IF(G308&lt;=0,0,I308/G308)</f>
        <v>0.30229334396507296</v>
      </c>
      <c r="I308" s="206">
        <f t="shared" ref="I308:J308" si="106">I303+I306+I307</f>
        <v>105312.09691835439</v>
      </c>
      <c r="J308" s="207">
        <f t="shared" si="106"/>
        <v>425669.04</v>
      </c>
      <c r="K308" s="223">
        <f t="shared" si="99"/>
        <v>0.28038428634603074</v>
      </c>
      <c r="L308" s="206">
        <f>L303+L306+L307</f>
        <v>119350.91</v>
      </c>
      <c r="M308" s="224">
        <f t="shared" si="100"/>
        <v>0.22186264721100477</v>
      </c>
      <c r="N308" s="206">
        <f t="shared" si="101"/>
        <v>14038.813081645611</v>
      </c>
      <c r="O308" s="207">
        <f t="shared" ref="O308" si="107">O303+O306+O307</f>
        <v>424933.4</v>
      </c>
      <c r="P308" s="223">
        <f t="shared" si="102"/>
        <v>0.3086369534614129</v>
      </c>
      <c r="Q308" s="206">
        <f>Q303+Q306+Q307</f>
        <v>131150.14999999997</v>
      </c>
      <c r="R308" s="224">
        <f>IF(O308=0,0,(J308-O308)/O308)</f>
        <v>1.7311889345482275E-3</v>
      </c>
      <c r="S308" s="208">
        <f t="shared" si="104"/>
        <v>-11799.239999999962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8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0.13330674720615923</v>
      </c>
      <c r="O309" s="42"/>
      <c r="P309" s="14"/>
      <c r="Q309" s="41"/>
      <c r="R309" s="42"/>
      <c r="S309" s="45">
        <f>IF(Q308=0,0,S308/Q308)</f>
        <v>-8.9967415210733384E-2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8"/>
        <v>Pièces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8"/>
        <v>PiècesAutostock</v>
      </c>
      <c r="B311" s="12" t="s">
        <v>104</v>
      </c>
      <c r="C311" s="88" t="s">
        <v>118</v>
      </c>
      <c r="D311" s="92">
        <f>+INDEX('[7]Budget original'!$A$2:$AO$496,MATCH($A311,'[7]Budget original'!$A$2:$A$496,0),MATCH(D$2,'[7]Budget original'!$A$2:$AO$2,0))</f>
        <v>0</v>
      </c>
      <c r="E311" s="227">
        <f t="shared" ref="E311" si="108">IF(D311=0,0,F311/D311)</f>
        <v>0</v>
      </c>
      <c r="F311" s="153">
        <f>+INDEX('[7]Budget original'!$A$2:$AO$496,MATCH($A311,'[7]Budget original'!$A$2:$A$496,0),MATCH(F$2,'[7]Budget original'!$A$2:$AO$2,0))</f>
        <v>0</v>
      </c>
      <c r="G311" s="181">
        <f>+INDEX('[7]Budget révisé'!$A$2:$AO$496,MATCH($A311,'[7]Budget révisé'!$A$2:$A$496,0),MATCH(G$2,'[7]Budget révisé'!$A$2:$AO$2,0))</f>
        <v>0</v>
      </c>
      <c r="H311" s="227">
        <f t="shared" ref="H311" si="109">IF(G311=0,0,I311/G311)</f>
        <v>0</v>
      </c>
      <c r="I311" s="153">
        <f>+INDEX('[7]Budget révisé'!$A$2:$AO$496,MATCH($A311,'[7]Budget révisé'!$A$2:$A$496,0),MATCH(I$2,'[7]Budget révisé'!$A$2:$AO$2,0))</f>
        <v>0</v>
      </c>
      <c r="J311" s="47">
        <f>-SUMIFS([7]BV_Data_An_Cour!$O:$O,[7]BV_Data_An_Cour!$X:$X,"Oui",[7]BV_Data_An_Cour!$U:$U,$B311,[7]BV_Data_An_Cour!$V:$V,$C311)</f>
        <v>0</v>
      </c>
      <c r="K311" s="228">
        <f>IF(J311&lt;=0,0,L311/J311)</f>
        <v>0</v>
      </c>
      <c r="L311" s="23">
        <f>-SUMIFS([7]BV_Data_An_Cour!$O:$O,[7]BV_Data_An_Cour!$U:$U,$B311,[7]BV_Data_An_Cour!$V:$V,$C311,[7]BV_Data_An_Cour!$W:$W,$L$2)</f>
        <v>0</v>
      </c>
      <c r="M311" s="228">
        <f>IF(F311=0,0,(+L311-F311)/F311)</f>
        <v>0</v>
      </c>
      <c r="N311" s="94">
        <f>L311-I311</f>
        <v>0</v>
      </c>
      <c r="O311" s="47">
        <f>-SUMIFS([7]BV_Data_An_Prec!$O:$O,[7]BV_Data_An_Prec!$X:$X,"Oui",[7]BV_Data_An_Prec!$U:$U,$B311,[7]BV_Data_An_Prec!$V:$V,$C311)</f>
        <v>0</v>
      </c>
      <c r="P311" s="228">
        <f>IF(O311&lt;=0,0,Q311/O311)</f>
        <v>0</v>
      </c>
      <c r="Q311" s="23">
        <f>-SUMIFS([7]BV_Data_An_Prec!$O:$O,[7]BV_Data_An_Prec!$U:$U,$B311,[7]BV_Data_An_Prec!$V:$V,$C311,[7]BV_Data_An_Prec!$W:$W,$L$2)</f>
        <v>0</v>
      </c>
      <c r="R311" s="228">
        <f>IF(S311=0,0,(+O311-K311)/K311)</f>
        <v>0</v>
      </c>
      <c r="S311" s="95">
        <f>L311-Q311</f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8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8"/>
        <v>PiècesTotal Dépt. Pièces</v>
      </c>
      <c r="B313" s="12" t="s">
        <v>104</v>
      </c>
      <c r="C313" s="63" t="s">
        <v>119</v>
      </c>
      <c r="D313" s="64">
        <f>D308+D311</f>
        <v>348377.16086306609</v>
      </c>
      <c r="E313" s="229">
        <f>IF(D313&lt;=0,0,F313/D313)</f>
        <v>0.30229334396507296</v>
      </c>
      <c r="F313" s="66">
        <f t="shared" ref="F313" si="110">F308+F311</f>
        <v>105312.09691835439</v>
      </c>
      <c r="G313" s="67">
        <f>G308+G311</f>
        <v>348377.16086306609</v>
      </c>
      <c r="H313" s="229">
        <f>IF(G313&lt;=0,0,I313/G313)</f>
        <v>0.30229334396507296</v>
      </c>
      <c r="I313" s="66">
        <f t="shared" ref="I313:J313" si="111">I308+I311</f>
        <v>105312.09691835439</v>
      </c>
      <c r="J313" s="67">
        <f t="shared" si="111"/>
        <v>425669.04</v>
      </c>
      <c r="K313" s="229">
        <f>IF(J313&lt;=0,0,L313/J313)</f>
        <v>0.28038428634603074</v>
      </c>
      <c r="L313" s="66">
        <f>L308+L311</f>
        <v>119350.91</v>
      </c>
      <c r="M313" s="230">
        <f>(+J313-G313)/G313</f>
        <v>0.22186264721100477</v>
      </c>
      <c r="N313" s="231">
        <f>L313-I313</f>
        <v>14038.813081645611</v>
      </c>
      <c r="O313" s="67">
        <f t="shared" ref="O313" si="112">O308+O311</f>
        <v>424933.4</v>
      </c>
      <c r="P313" s="229">
        <f>IF(O313&lt;=0,0,Q313/O313)</f>
        <v>0.3086369534614129</v>
      </c>
      <c r="Q313" s="66">
        <f>Q308+Q311</f>
        <v>131150.14999999997</v>
      </c>
      <c r="R313" s="230">
        <f>IF(O313=0,0,(J313-O313)/O313)</f>
        <v>1.7311889345482275E-3</v>
      </c>
      <c r="S313" s="232">
        <f>L313-Q313</f>
        <v>-11799.239999999962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8"/>
        <v>Pièces</v>
      </c>
      <c r="B314" s="12" t="s">
        <v>104</v>
      </c>
      <c r="C314" s="233"/>
      <c r="D314" s="234"/>
      <c r="E314" s="235"/>
      <c r="F314" s="236"/>
      <c r="G314" s="237"/>
      <c r="H314" s="235"/>
      <c r="I314" s="236"/>
      <c r="J314" s="237"/>
      <c r="K314" s="235"/>
      <c r="L314" s="236"/>
      <c r="M314" s="238"/>
      <c r="N314" s="75">
        <f>N313/I313</f>
        <v>0.13330674720615923</v>
      </c>
      <c r="O314" s="237"/>
      <c r="P314" s="235"/>
      <c r="Q314" s="236"/>
      <c r="R314" s="238"/>
      <c r="S314" s="76">
        <f>IF(Q313=0,0,S313/Q313)</f>
        <v>-8.9967415210733384E-2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8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8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8"/>
        <v>PiècesSalaires cadres</v>
      </c>
      <c r="B317" s="12" t="s">
        <v>104</v>
      </c>
      <c r="C317" s="108" t="s">
        <v>42</v>
      </c>
      <c r="D317" s="14"/>
      <c r="E317" s="14"/>
      <c r="F317" s="31">
        <f>+INDEX('[7]Budget original'!$A$2:$AO$496,MATCH($A317,'[7]Budget original'!$A$2:$A$496,0),MATCH(F$2,'[7]Budget original'!$A$2:$AO$2,0))</f>
        <v>9312.4792762778889</v>
      </c>
      <c r="G317" s="42"/>
      <c r="H317" s="14"/>
      <c r="I317" s="31">
        <f>+INDEX('[7]Budget révisé'!$A$2:$AO$496,MATCH($A317,'[7]Budget révisé'!$A$2:$A$496,0),MATCH(I$2,'[7]Budget révisé'!$A$2:$AO$2,0))</f>
        <v>9312.4792762778889</v>
      </c>
      <c r="J317" s="42"/>
      <c r="K317" s="14"/>
      <c r="L317" s="34">
        <f>SUMIFS([7]BV_Data_An_Cour!$O:$O,[7]BV_Data_An_Cour!$U:$U,$B317,[7]BV_Data_An_Cour!$V:$V,$C317,[7]BV_Data_An_Cour!$W:$W,$L$2)</f>
        <v>6584.61</v>
      </c>
      <c r="M317" s="42"/>
      <c r="N317" s="60">
        <f t="shared" ref="N317:N347" si="113">L317-I317</f>
        <v>-2727.8692762778892</v>
      </c>
      <c r="O317" s="42"/>
      <c r="P317" s="14"/>
      <c r="Q317" s="34">
        <f>SUMIFS([7]BV_Data_An_Prec!$O:$O,[7]BV_Data_An_Prec!$U:$U,$B317,[7]BV_Data_An_Prec!$V:$V,$C317,[7]BV_Data_An_Prec!$W:$W,$L$2)</f>
        <v>11960.17</v>
      </c>
      <c r="R317" s="42"/>
      <c r="S317" s="35">
        <f>L317-Q317</f>
        <v>-5375.56</v>
      </c>
      <c r="T317" s="14"/>
      <c r="U317" s="14"/>
      <c r="V317" s="14" t="s">
        <v>245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8"/>
        <v>PiècesSalaires commis</v>
      </c>
      <c r="B318" s="12" t="s">
        <v>104</v>
      </c>
      <c r="C318" s="109" t="s">
        <v>43</v>
      </c>
      <c r="D318" s="82"/>
      <c r="E318" s="14"/>
      <c r="F318" s="23">
        <f>+INDEX('[7]Budget original'!$A$2:$AO$496,MATCH($A318,'[7]Budget original'!$A$2:$A$496,0),MATCH(F$2,'[7]Budget original'!$A$2:$AO$2,0))</f>
        <v>4457.4935733946359</v>
      </c>
      <c r="G318" s="84"/>
      <c r="H318" s="14"/>
      <c r="I318" s="23">
        <f>+INDEX('[7]Budget révisé'!$A$2:$AO$496,MATCH($A318,'[7]Budget révisé'!$A$2:$A$496,0),MATCH(I$2,'[7]Budget révisé'!$A$2:$AO$2,0))</f>
        <v>4457.4935733946359</v>
      </c>
      <c r="J318" s="42"/>
      <c r="K318" s="14"/>
      <c r="L318" s="34">
        <f>SUMIFS([7]BV_Data_An_Cour!$O:$O,[7]BV_Data_An_Cour!$U:$U,$B318,[7]BV_Data_An_Cour!$V:$V,$C318,[7]BV_Data_An_Cour!$W:$W,$L$2)</f>
        <v>4010.96</v>
      </c>
      <c r="M318" s="42"/>
      <c r="N318" s="60">
        <f t="shared" si="113"/>
        <v>-446.53357339463582</v>
      </c>
      <c r="O318" s="42"/>
      <c r="P318" s="14"/>
      <c r="Q318" s="34">
        <f>SUMIFS([7]BV_Data_An_Prec!$O:$O,[7]BV_Data_An_Prec!$U:$U,$B318,[7]BV_Data_An_Prec!$V:$V,$C318,[7]BV_Data_An_Prec!$W:$W,$L$2)</f>
        <v>4664.2</v>
      </c>
      <c r="R318" s="42"/>
      <c r="S318" s="86">
        <f t="shared" ref="S318:S347" si="114">L318-Q318</f>
        <v>-653.23999999999978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8"/>
        <v>PiècesSalaires autres</v>
      </c>
      <c r="B319" s="12" t="s">
        <v>104</v>
      </c>
      <c r="C319" s="108" t="s">
        <v>44</v>
      </c>
      <c r="D319" s="110"/>
      <c r="E319" s="111"/>
      <c r="F319" s="31">
        <f>+INDEX('[7]Budget original'!$A$2:$AO$496,MATCH($A319,'[7]Budget original'!$A$2:$A$496,0),MATCH(F$2,'[7]Budget original'!$A$2:$AO$2,0))</f>
        <v>16566.671412622221</v>
      </c>
      <c r="G319" s="112"/>
      <c r="H319" s="111"/>
      <c r="I319" s="31">
        <f>+INDEX('[7]Budget révisé'!$A$2:$AO$496,MATCH($A319,'[7]Budget révisé'!$A$2:$A$496,0),MATCH(I$2,'[7]Budget révisé'!$A$2:$AO$2,0))</f>
        <v>16566.671412622221</v>
      </c>
      <c r="J319" s="113"/>
      <c r="K319" s="111"/>
      <c r="L319" s="114">
        <f>SUMIFS([7]BV_Data_An_Cour!$O:$O,[7]BV_Data_An_Cour!$U:$U,$B319,[7]BV_Data_An_Cour!$V:$V,$C319,[7]BV_Data_An_Cour!$W:$W,$L$2)</f>
        <v>23639.58</v>
      </c>
      <c r="M319" s="113"/>
      <c r="N319" s="115">
        <f t="shared" si="113"/>
        <v>7072.9085873777803</v>
      </c>
      <c r="O319" s="113"/>
      <c r="P319" s="111"/>
      <c r="Q319" s="114">
        <f>SUMIFS([7]BV_Data_An_Prec!$O:$O,[7]BV_Data_An_Prec!$U:$U,$B319,[7]BV_Data_An_Prec!$V:$V,$C319,[7]BV_Data_An_Prec!$W:$W,$L$2)</f>
        <v>15579.01</v>
      </c>
      <c r="R319" s="113"/>
      <c r="S319" s="116">
        <f t="shared" si="114"/>
        <v>8060.5700000000015</v>
      </c>
      <c r="T319" s="14"/>
      <c r="U319" s="533"/>
      <c r="V319" s="533" t="s">
        <v>246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8"/>
        <v>PiècesSalaires spécialistes</v>
      </c>
      <c r="B320" s="12" t="s">
        <v>104</v>
      </c>
      <c r="C320" s="108" t="s">
        <v>45</v>
      </c>
      <c r="D320" s="82"/>
      <c r="E320" s="14"/>
      <c r="F320" s="31">
        <f>+INDEX('[7]Budget original'!$A$2:$AO$496,MATCH($A320,'[7]Budget original'!$A$2:$A$496,0),MATCH(F$2,'[7]Budget original'!$A$2:$AO$2,0))</f>
        <v>0</v>
      </c>
      <c r="G320" s="84"/>
      <c r="H320" s="14"/>
      <c r="I320" s="31">
        <f>+INDEX('[7]Budget révisé'!$A$2:$AO$496,MATCH($A320,'[7]Budget révisé'!$A$2:$A$496,0),MATCH(I$2,'[7]Budget révisé'!$A$2:$AO$2,0))</f>
        <v>0</v>
      </c>
      <c r="J320" s="42"/>
      <c r="K320" s="14"/>
      <c r="L320" s="34">
        <f>SUMIFS([7]BV_Data_An_Cour!$O:$O,[7]BV_Data_An_Cour!$U:$U,$B320,[7]BV_Data_An_Cour!$V:$V,$C320,[7]BV_Data_An_Cour!$W:$W,$L$2)</f>
        <v>0</v>
      </c>
      <c r="M320" s="42"/>
      <c r="N320" s="60">
        <f t="shared" si="113"/>
        <v>0</v>
      </c>
      <c r="O320" s="42"/>
      <c r="P320" s="14"/>
      <c r="Q320" s="34">
        <f>SUMIFS([7]BV_Data_An_Prec!$O:$O,[7]BV_Data_An_Prec!$U:$U,$B320,[7]BV_Data_An_Prec!$V:$V,$C320,[7]BV_Data_An_Prec!$W:$W,$L$2)</f>
        <v>0</v>
      </c>
      <c r="R320" s="42"/>
      <c r="S320" s="86">
        <f t="shared" si="114"/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8"/>
        <v>Pièces[...]</v>
      </c>
      <c r="B321" s="12" t="s">
        <v>104</v>
      </c>
      <c r="C321" s="240" t="s">
        <v>21</v>
      </c>
      <c r="D321" s="82"/>
      <c r="E321" s="14"/>
      <c r="F321" s="31">
        <f>+INDEX('[7]Budget original'!$A$2:$AO$496,MATCH($A321,'[7]Budget original'!$A$2:$A$496,0),MATCH(F$2,'[7]Budget original'!$A$2:$AO$2,0))</f>
        <v>0</v>
      </c>
      <c r="G321" s="84"/>
      <c r="H321" s="14"/>
      <c r="I321" s="31">
        <f>+INDEX('[7]Budget révisé'!$A$2:$AO$496,MATCH($A321,'[7]Budget révisé'!$A$2:$A$496,0),MATCH(I$2,'[7]Budget révisé'!$A$2:$AO$2,0))</f>
        <v>0</v>
      </c>
      <c r="J321" s="42"/>
      <c r="K321" s="14"/>
      <c r="L321" s="34">
        <f>SUMIFS([7]BV_Data_An_Cour!$O:$O,[7]BV_Data_An_Cour!$U:$U,$B321,[7]BV_Data_An_Cour!$V:$V,$C321,[7]BV_Data_An_Cour!$W:$W,$L$2)</f>
        <v>0</v>
      </c>
      <c r="M321" s="42"/>
      <c r="N321" s="60">
        <f t="shared" si="113"/>
        <v>0</v>
      </c>
      <c r="O321" s="42"/>
      <c r="P321" s="14"/>
      <c r="Q321" s="34">
        <f>SUMIFS([7]BV_Data_An_Prec!$O:$O,[7]BV_Data_An_Prec!$U:$U,$B321,[7]BV_Data_An_Prec!$V:$V,$C321,[7]BV_Data_An_Prec!$W:$W,$L$2)</f>
        <v>0</v>
      </c>
      <c r="R321" s="42"/>
      <c r="S321" s="86">
        <f t="shared" si="114"/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8"/>
        <v>Pièces[...]</v>
      </c>
      <c r="B322" s="12" t="s">
        <v>104</v>
      </c>
      <c r="C322" s="240" t="s">
        <v>21</v>
      </c>
      <c r="D322" s="82"/>
      <c r="E322" s="14"/>
      <c r="F322" s="31">
        <f>+INDEX('[7]Budget original'!$A$2:$AO$496,MATCH($A322,'[7]Budget original'!$A$2:$A$496,0),MATCH(F$2,'[7]Budget original'!$A$2:$AO$2,0))</f>
        <v>0</v>
      </c>
      <c r="G322" s="84"/>
      <c r="H322" s="14"/>
      <c r="I322" s="31">
        <f>+INDEX('[7]Budget révisé'!$A$2:$AO$496,MATCH($A322,'[7]Budget révisé'!$A$2:$A$496,0),MATCH(I$2,'[7]Budget révisé'!$A$2:$AO$2,0))</f>
        <v>0</v>
      </c>
      <c r="J322" s="42"/>
      <c r="K322" s="14"/>
      <c r="L322" s="34">
        <f>SUMIFS([7]BV_Data_An_Cour!$O:$O,[7]BV_Data_An_Cour!$U:$U,$B322,[7]BV_Data_An_Cour!$V:$V,$C322,[7]BV_Data_An_Cour!$W:$W,$L$2)</f>
        <v>0</v>
      </c>
      <c r="M322" s="42"/>
      <c r="N322" s="60">
        <f t="shared" si="113"/>
        <v>0</v>
      </c>
      <c r="O322" s="42"/>
      <c r="P322" s="14"/>
      <c r="Q322" s="34">
        <f>SUMIFS([7]BV_Data_An_Prec!$O:$O,[7]BV_Data_An_Prec!$U:$U,$B322,[7]BV_Data_An_Prec!$V:$V,$C322,[7]BV_Data_An_Prec!$W:$W,$L$2)</f>
        <v>0</v>
      </c>
      <c r="R322" s="42"/>
      <c r="S322" s="86">
        <f t="shared" si="114"/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8"/>
        <v>Pièces[...]</v>
      </c>
      <c r="B323" s="12" t="s">
        <v>104</v>
      </c>
      <c r="C323" s="240" t="s">
        <v>21</v>
      </c>
      <c r="D323" s="82"/>
      <c r="E323" s="14"/>
      <c r="F323" s="31">
        <f>+INDEX('[7]Budget original'!$A$2:$AO$496,MATCH($A323,'[7]Budget original'!$A$2:$A$496,0),MATCH(F$2,'[7]Budget original'!$A$2:$AO$2,0))</f>
        <v>0</v>
      </c>
      <c r="G323" s="84"/>
      <c r="H323" s="14"/>
      <c r="I323" s="31">
        <f>+INDEX('[7]Budget révisé'!$A$2:$AO$496,MATCH($A323,'[7]Budget révisé'!$A$2:$A$496,0),MATCH(I$2,'[7]Budget révisé'!$A$2:$AO$2,0))</f>
        <v>0</v>
      </c>
      <c r="J323" s="42"/>
      <c r="K323" s="14"/>
      <c r="L323" s="34">
        <f>SUMIFS([7]BV_Data_An_Cour!$O:$O,[7]BV_Data_An_Cour!$U:$U,$B323,[7]BV_Data_An_Cour!$V:$V,$C323,[7]BV_Data_An_Cour!$W:$W,$L$2)</f>
        <v>0</v>
      </c>
      <c r="M323" s="42"/>
      <c r="N323" s="60">
        <f t="shared" si="113"/>
        <v>0</v>
      </c>
      <c r="O323" s="42"/>
      <c r="P323" s="14"/>
      <c r="Q323" s="34">
        <f>SUMIFS([7]BV_Data_An_Prec!$O:$O,[7]BV_Data_An_Prec!$U:$U,$B323,[7]BV_Data_An_Prec!$V:$V,$C323,[7]BV_Data_An_Prec!$W:$W,$L$2)</f>
        <v>0</v>
      </c>
      <c r="R323" s="42"/>
      <c r="S323" s="86">
        <f t="shared" si="114"/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8"/>
        <v>PiècesSalaires en absences</v>
      </c>
      <c r="B324" s="12" t="s">
        <v>104</v>
      </c>
      <c r="C324" s="109" t="s">
        <v>46</v>
      </c>
      <c r="D324" s="82"/>
      <c r="E324" s="14"/>
      <c r="F324" s="23">
        <f>+INDEX('[7]Budget original'!$A$2:$AO$496,MATCH($A324,'[7]Budget original'!$A$2:$A$496,0),MATCH(F$2,'[7]Budget original'!$A$2:$AO$2,0))</f>
        <v>3640.3973114753694</v>
      </c>
      <c r="G324" s="84"/>
      <c r="H324" s="14"/>
      <c r="I324" s="23">
        <f>+INDEX('[7]Budget révisé'!$A$2:$AO$496,MATCH($A324,'[7]Budget révisé'!$A$2:$A$496,0),MATCH(I$2,'[7]Budget révisé'!$A$2:$AO$2,0))</f>
        <v>3640.3973114753694</v>
      </c>
      <c r="J324" s="42"/>
      <c r="K324" s="14"/>
      <c r="L324" s="34">
        <f>SUMIFS([7]BV_Data_An_Cour!$O:$O,[7]BV_Data_An_Cour!$U:$U,$B324,[7]BV_Data_An_Cour!$V:$V,$C324,[7]BV_Data_An_Cour!$W:$W,$L$2)</f>
        <v>3467.9</v>
      </c>
      <c r="M324" s="42"/>
      <c r="N324" s="60">
        <f t="shared" si="113"/>
        <v>-172.49731147536932</v>
      </c>
      <c r="O324" s="42"/>
      <c r="P324" s="14"/>
      <c r="Q324" s="34">
        <f>SUMIFS([7]BV_Data_An_Prec!$O:$O,[7]BV_Data_An_Prec!$U:$U,$B324,[7]BV_Data_An_Prec!$V:$V,$C324,[7]BV_Data_An_Prec!$W:$W,$L$2)</f>
        <v>4137.8599999999997</v>
      </c>
      <c r="R324" s="42"/>
      <c r="S324" s="86">
        <f t="shared" si="114"/>
        <v>-669.95999999999958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8"/>
        <v>PiècesDéduction à la source</v>
      </c>
      <c r="B325" s="12" t="s">
        <v>104</v>
      </c>
      <c r="C325" s="108" t="s">
        <v>47</v>
      </c>
      <c r="D325" s="110"/>
      <c r="E325" s="111"/>
      <c r="F325" s="31">
        <f>+INDEX('[7]Budget original'!$A$2:$AO$496,MATCH($A325,'[7]Budget original'!$A$2:$A$496,0),MATCH(F$2,'[7]Budget original'!$A$2:$AO$2,0))</f>
        <v>3640.3973114753694</v>
      </c>
      <c r="G325" s="112"/>
      <c r="H325" s="111"/>
      <c r="I325" s="31">
        <f>+INDEX('[7]Budget révisé'!$A$2:$AO$496,MATCH($A325,'[7]Budget révisé'!$A$2:$A$496,0),MATCH(I$2,'[7]Budget révisé'!$A$2:$AO$2,0))</f>
        <v>3640.3973114753694</v>
      </c>
      <c r="J325" s="113"/>
      <c r="K325" s="111"/>
      <c r="L325" s="114">
        <f>SUMIFS([7]BV_Data_An_Cour!$O:$O,[7]BV_Data_An_Cour!$U:$U,$B325,[7]BV_Data_An_Cour!$V:$V,$C325,[7]BV_Data_An_Cour!$W:$W,$L$2)</f>
        <v>51.58</v>
      </c>
      <c r="M325" s="113"/>
      <c r="N325" s="115">
        <f t="shared" si="113"/>
        <v>-3588.8173114753695</v>
      </c>
      <c r="O325" s="113"/>
      <c r="P325" s="111"/>
      <c r="Q325" s="114">
        <f>SUMIFS([7]BV_Data_An_Prec!$O:$O,[7]BV_Data_An_Prec!$U:$U,$B325,[7]BV_Data_An_Prec!$V:$V,$C325,[7]BV_Data_An_Prec!$W:$W,$L$2)</f>
        <v>0</v>
      </c>
      <c r="R325" s="113"/>
      <c r="S325" s="116">
        <f t="shared" si="114"/>
        <v>51.58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8"/>
        <v>PiècesBénéfices marginaux</v>
      </c>
      <c r="B326" s="12" t="s">
        <v>104</v>
      </c>
      <c r="C326" s="108" t="s">
        <v>48</v>
      </c>
      <c r="D326" s="82"/>
      <c r="E326" s="14"/>
      <c r="F326" s="31">
        <f>+INDEX('[7]Budget original'!$A$2:$AO$496,MATCH($A326,'[7]Budget original'!$A$2:$A$496,0),MATCH(F$2,'[7]Budget original'!$A$2:$AO$2,0))</f>
        <v>2608.951406557348</v>
      </c>
      <c r="G326" s="84"/>
      <c r="H326" s="14"/>
      <c r="I326" s="31">
        <f>+INDEX('[7]Budget révisé'!$A$2:$AO$496,MATCH($A326,'[7]Budget révisé'!$A$2:$A$496,0),MATCH(I$2,'[7]Budget révisé'!$A$2:$AO$2,0))</f>
        <v>2608.951406557348</v>
      </c>
      <c r="J326" s="42"/>
      <c r="K326" s="14"/>
      <c r="L326" s="34">
        <f>SUMIFS([7]BV_Data_An_Cour!$O:$O,[7]BV_Data_An_Cour!$U:$U,$B326,[7]BV_Data_An_Cour!$V:$V,$C326,[7]BV_Data_An_Cour!$W:$W,$L$2)</f>
        <v>2792.49</v>
      </c>
      <c r="M326" s="42"/>
      <c r="N326" s="60">
        <f t="shared" si="113"/>
        <v>183.53859344265175</v>
      </c>
      <c r="O326" s="42"/>
      <c r="P326" s="14"/>
      <c r="Q326" s="34">
        <f>SUMIFS([7]BV_Data_An_Prec!$O:$O,[7]BV_Data_An_Prec!$U:$U,$B326,[7]BV_Data_An_Prec!$V:$V,$C326,[7]BV_Data_An_Prec!$W:$W,$L$2)</f>
        <v>4436.7700000000004</v>
      </c>
      <c r="R326" s="42"/>
      <c r="S326" s="86">
        <f t="shared" si="114"/>
        <v>-1644.2800000000007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8"/>
        <v>PiècesCsst</v>
      </c>
      <c r="B327" s="12" t="s">
        <v>104</v>
      </c>
      <c r="C327" s="108" t="s">
        <v>49</v>
      </c>
      <c r="D327" s="82"/>
      <c r="E327" s="14"/>
      <c r="F327" s="31">
        <f>+INDEX('[7]Budget original'!$A$2:$AO$496,MATCH($A327,'[7]Budget original'!$A$2:$A$496,0),MATCH(F$2,'[7]Budget original'!$A$2:$AO$2,0))</f>
        <v>606.73288524589498</v>
      </c>
      <c r="G327" s="84"/>
      <c r="H327" s="14"/>
      <c r="I327" s="31">
        <f>+INDEX('[7]Budget révisé'!$A$2:$AO$496,MATCH($A327,'[7]Budget révisé'!$A$2:$A$496,0),MATCH(I$2,'[7]Budget révisé'!$A$2:$AO$2,0))</f>
        <v>606.73288524589498</v>
      </c>
      <c r="J327" s="42"/>
      <c r="K327" s="14"/>
      <c r="L327" s="34">
        <f>SUMIFS([7]BV_Data_An_Cour!$O:$O,[7]BV_Data_An_Cour!$U:$U,$B327,[7]BV_Data_An_Cour!$V:$V,$C327,[7]BV_Data_An_Cour!$W:$W,$L$2)</f>
        <v>4494.3499999999995</v>
      </c>
      <c r="M327" s="42"/>
      <c r="N327" s="60">
        <f t="shared" si="113"/>
        <v>3887.6171147541045</v>
      </c>
      <c r="O327" s="42"/>
      <c r="P327" s="14"/>
      <c r="Q327" s="34">
        <f>SUMIFS([7]BV_Data_An_Prec!$O:$O,[7]BV_Data_An_Prec!$U:$U,$B327,[7]BV_Data_An_Prec!$V:$V,$C327,[7]BV_Data_An_Prec!$W:$W,$L$2)</f>
        <v>4972.22</v>
      </c>
      <c r="R327" s="42"/>
      <c r="S327" s="86">
        <f t="shared" si="114"/>
        <v>-477.8700000000008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8"/>
        <v>Pièces[...]</v>
      </c>
      <c r="B328" s="12" t="s">
        <v>104</v>
      </c>
      <c r="C328" s="30" t="s">
        <v>21</v>
      </c>
      <c r="D328" s="89"/>
      <c r="E328" s="117"/>
      <c r="F328" s="31">
        <f>+INDEX('[7]Budget original'!$A$2:$AO$496,MATCH($A328,'[7]Budget original'!$A$2:$A$496,0),MATCH(F$2,'[7]Budget original'!$A$2:$AO$2,0))</f>
        <v>0</v>
      </c>
      <c r="G328" s="91"/>
      <c r="H328" s="117"/>
      <c r="I328" s="31">
        <f>+INDEX('[7]Budget révisé'!$A$2:$AO$496,MATCH($A328,'[7]Budget révisé'!$A$2:$A$496,0),MATCH(I$2,'[7]Budget révisé'!$A$2:$AO$2,0))</f>
        <v>0</v>
      </c>
      <c r="J328" s="24"/>
      <c r="K328" s="117"/>
      <c r="L328" s="34">
        <f>SUMIFS([7]BV_Data_An_Cour!$O:$O,[7]BV_Data_An_Cour!$U:$U,$B328,[7]BV_Data_An_Cour!$V:$V,$C328,[7]BV_Data_An_Cour!$W:$W,$L$2)</f>
        <v>0</v>
      </c>
      <c r="M328" s="24"/>
      <c r="N328" s="94">
        <f t="shared" si="113"/>
        <v>0</v>
      </c>
      <c r="O328" s="24"/>
      <c r="P328" s="117"/>
      <c r="Q328" s="34">
        <f>SUMIFS([7]BV_Data_An_Prec!$O:$O,[7]BV_Data_An_Prec!$U:$U,$B328,[7]BV_Data_An_Prec!$V:$V,$C328,[7]BV_Data_An_Prec!$W:$W,$L$2)</f>
        <v>0</v>
      </c>
      <c r="R328" s="24"/>
      <c r="S328" s="95">
        <f t="shared" si="114"/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8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0.38773440442179724</v>
      </c>
      <c r="F329" s="102">
        <f>+SUM(F317:F328)</f>
        <v>40833.123177048728</v>
      </c>
      <c r="G329" s="103" t="s">
        <v>40</v>
      </c>
      <c r="H329" s="101">
        <f>I329/I$313</f>
        <v>0.38773440442179724</v>
      </c>
      <c r="I329" s="102">
        <f>+SUM(I317:I328)</f>
        <v>40833.123177048728</v>
      </c>
      <c r="J329" s="103" t="s">
        <v>40</v>
      </c>
      <c r="K329" s="101">
        <f>L329/L$313</f>
        <v>0.37738690052719331</v>
      </c>
      <c r="L329" s="102">
        <f>+SUM(L317:L328)</f>
        <v>45041.47</v>
      </c>
      <c r="M329" s="154"/>
      <c r="N329" s="119">
        <f t="shared" si="113"/>
        <v>4208.3468229512728</v>
      </c>
      <c r="O329" s="103" t="s">
        <v>40</v>
      </c>
      <c r="P329" s="101">
        <f>Q329/Q$313</f>
        <v>0.34883856404281666</v>
      </c>
      <c r="Q329" s="102">
        <f>+SUM(Q317:Q328)</f>
        <v>45750.229999999996</v>
      </c>
      <c r="R329" s="154"/>
      <c r="S329" s="120">
        <f t="shared" si="114"/>
        <v>-708.75999999999476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8"/>
        <v>PiècesPublicité 2</v>
      </c>
      <c r="B330" s="12" t="s">
        <v>104</v>
      </c>
      <c r="C330" s="221" t="s">
        <v>51</v>
      </c>
      <c r="D330" s="82"/>
      <c r="E330" s="14"/>
      <c r="F330" s="31">
        <f>+INDEX('[7]Budget original'!$A$2:$AO$496,MATCH($A330,'[7]Budget original'!$A$2:$A$496,0),MATCH(F$2,'[7]Budget original'!$A$2:$AO$2,0))</f>
        <v>3808.6416666666664</v>
      </c>
      <c r="G330" s="84"/>
      <c r="H330" s="14"/>
      <c r="I330" s="31">
        <f>+INDEX('[7]Budget révisé'!$A$2:$AO$496,MATCH($A330,'[7]Budget révisé'!$A$2:$A$496,0),MATCH(I$2,'[7]Budget révisé'!$A$2:$AO$2,0))</f>
        <v>3808.6416666666664</v>
      </c>
      <c r="J330" s="42"/>
      <c r="K330" s="14"/>
      <c r="L330" s="34">
        <f>SUMIFS([7]BV_Data_An_Cour!$O:$O,[7]BV_Data_An_Cour!$U:$U,$B330,[7]BV_Data_An_Cour!$V:$V,$C330,[7]BV_Data_An_Cour!$W:$W,$L$2)</f>
        <v>837.54</v>
      </c>
      <c r="M330" s="42"/>
      <c r="N330" s="60">
        <f t="shared" si="113"/>
        <v>-2971.1016666666665</v>
      </c>
      <c r="O330" s="42"/>
      <c r="P330" s="14"/>
      <c r="Q330" s="34">
        <f>SUMIFS([7]BV_Data_An_Prec!$O:$O,[7]BV_Data_An_Prec!$U:$U,$B330,[7]BV_Data_An_Prec!$V:$V,$C330,[7]BV_Data_An_Prec!$W:$W,$L$2)</f>
        <v>9919.64</v>
      </c>
      <c r="R330" s="42"/>
      <c r="S330" s="86">
        <f t="shared" si="114"/>
        <v>-9082.0999999999985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8"/>
        <v>PiècesService gratuit 2</v>
      </c>
      <c r="B331" s="12" t="s">
        <v>104</v>
      </c>
      <c r="C331" s="108" t="s">
        <v>52</v>
      </c>
      <c r="D331" s="82"/>
      <c r="E331" s="14"/>
      <c r="F331" s="31">
        <f>+INDEX('[7]Budget original'!$A$2:$AO$496,MATCH($A331,'[7]Budget original'!$A$2:$A$496,0),MATCH(F$2,'[7]Budget original'!$A$2:$AO$2,0))</f>
        <v>1782.5831259687641</v>
      </c>
      <c r="G331" s="84"/>
      <c r="H331" s="14"/>
      <c r="I331" s="31">
        <f>+INDEX('[7]Budget révisé'!$A$2:$AO$496,MATCH($A331,'[7]Budget révisé'!$A$2:$A$496,0),MATCH(I$2,'[7]Budget révisé'!$A$2:$AO$2,0))</f>
        <v>1782.5831259687641</v>
      </c>
      <c r="J331" s="42"/>
      <c r="K331" s="14"/>
      <c r="L331" s="34">
        <f>SUMIFS([7]BV_Data_An_Cour!$O:$O,[7]BV_Data_An_Cour!$U:$U,$B331,[7]BV_Data_An_Cour!$V:$V,$C331,[7]BV_Data_An_Cour!$W:$W,$L$2)</f>
        <v>1832.11</v>
      </c>
      <c r="M331" s="42"/>
      <c r="N331" s="60">
        <f t="shared" si="113"/>
        <v>49.52687403123582</v>
      </c>
      <c r="O331" s="42"/>
      <c r="P331" s="14"/>
      <c r="Q331" s="34">
        <f>SUMIFS([7]BV_Data_An_Prec!$O:$O,[7]BV_Data_An_Prec!$U:$U,$B331,[7]BV_Data_An_Prec!$V:$V,$C331,[7]BV_Data_An_Prec!$W:$W,$L$2)</f>
        <v>8.52</v>
      </c>
      <c r="R331" s="42"/>
      <c r="S331" s="86">
        <f t="shared" si="114"/>
        <v>1823.59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8"/>
        <v>PiècesFrais véhicules de cie</v>
      </c>
      <c r="B332" s="12" t="s">
        <v>104</v>
      </c>
      <c r="C332" s="109" t="s">
        <v>53</v>
      </c>
      <c r="D332" s="89"/>
      <c r="E332" s="117"/>
      <c r="F332" s="23">
        <f>+INDEX('[7]Budget original'!$A$2:$AO$496,MATCH($A332,'[7]Budget original'!$A$2:$A$496,0),MATCH(F$2,'[7]Budget original'!$A$2:$AO$2,0))</f>
        <v>285.5</v>
      </c>
      <c r="G332" s="91"/>
      <c r="H332" s="117"/>
      <c r="I332" s="23">
        <f>+INDEX('[7]Budget révisé'!$A$2:$AO$496,MATCH($A332,'[7]Budget révisé'!$A$2:$A$496,0),MATCH(I$2,'[7]Budget révisé'!$A$2:$AO$2,0))</f>
        <v>285.5</v>
      </c>
      <c r="J332" s="24"/>
      <c r="K332" s="117"/>
      <c r="L332" s="34">
        <f>SUMIFS([7]BV_Data_An_Cour!$O:$O,[7]BV_Data_An_Cour!$U:$U,$B332,[7]BV_Data_An_Cour!$V:$V,$C332,[7]BV_Data_An_Cour!$W:$W,$L$2)</f>
        <v>406.29</v>
      </c>
      <c r="M332" s="24"/>
      <c r="N332" s="94">
        <f t="shared" si="113"/>
        <v>120.79000000000002</v>
      </c>
      <c r="O332" s="24"/>
      <c r="P332" s="117"/>
      <c r="Q332" s="34">
        <f>SUMIFS([7]BV_Data_An_Prec!$O:$O,[7]BV_Data_An_Prec!$U:$U,$B332,[7]BV_Data_An_Prec!$V:$V,$C332,[7]BV_Data_An_Prec!$W:$W,$L$2)</f>
        <v>1161.26</v>
      </c>
      <c r="R332" s="24"/>
      <c r="S332" s="95">
        <f t="shared" si="114"/>
        <v>-754.97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8"/>
        <v>PiècesInformatique</v>
      </c>
      <c r="B333" s="12" t="s">
        <v>104</v>
      </c>
      <c r="C333" s="108" t="s">
        <v>54</v>
      </c>
      <c r="D333" s="82"/>
      <c r="E333" s="14"/>
      <c r="F333" s="31">
        <f>+INDEX('[7]Budget original'!$A$2:$AO$496,MATCH($A333,'[7]Budget original'!$A$2:$A$496,0),MATCH(F$2,'[7]Budget original'!$A$2:$AO$2,0))</f>
        <v>4280.7783333333336</v>
      </c>
      <c r="G333" s="84"/>
      <c r="H333" s="14"/>
      <c r="I333" s="31">
        <f>+INDEX('[7]Budget révisé'!$A$2:$AO$496,MATCH($A333,'[7]Budget révisé'!$A$2:$A$496,0),MATCH(I$2,'[7]Budget révisé'!$A$2:$AO$2,0))</f>
        <v>4280.7783333333336</v>
      </c>
      <c r="J333" s="42"/>
      <c r="K333" s="14"/>
      <c r="L333" s="114">
        <f>SUMIFS([7]BV_Data_An_Cour!$O:$O,[7]BV_Data_An_Cour!$U:$U,$B333,[7]BV_Data_An_Cour!$V:$V,$C333,[7]BV_Data_An_Cour!$W:$W,$L$2)</f>
        <v>3768.16</v>
      </c>
      <c r="M333" s="42"/>
      <c r="N333" s="60">
        <f t="shared" si="113"/>
        <v>-512.61833333333379</v>
      </c>
      <c r="O333" s="42"/>
      <c r="P333" s="14"/>
      <c r="Q333" s="114">
        <f>SUMIFS([7]BV_Data_An_Prec!$O:$O,[7]BV_Data_An_Prec!$U:$U,$B333,[7]BV_Data_An_Prec!$V:$V,$C333,[7]BV_Data_An_Prec!$W:$W,$L$2)</f>
        <v>3677.6</v>
      </c>
      <c r="R333" s="42"/>
      <c r="S333" s="86">
        <f t="shared" si="114"/>
        <v>90.559999999999945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8"/>
        <v>PiècesFrais de déplacement</v>
      </c>
      <c r="B334" s="12" t="s">
        <v>104</v>
      </c>
      <c r="C334" s="108" t="s">
        <v>55</v>
      </c>
      <c r="D334" s="82"/>
      <c r="E334" s="14"/>
      <c r="F334" s="31">
        <f>+INDEX('[7]Budget original'!$A$2:$AO$496,MATCH($A334,'[7]Budget original'!$A$2:$A$496,0),MATCH(F$2,'[7]Budget original'!$A$2:$AO$2,0))</f>
        <v>1247.2631249999999</v>
      </c>
      <c r="G334" s="84"/>
      <c r="H334" s="14"/>
      <c r="I334" s="31">
        <f>+INDEX('[7]Budget révisé'!$A$2:$AO$496,MATCH($A334,'[7]Budget révisé'!$A$2:$A$496,0),MATCH(I$2,'[7]Budget révisé'!$A$2:$AO$2,0))</f>
        <v>1247.2631249999999</v>
      </c>
      <c r="J334" s="42"/>
      <c r="K334" s="14"/>
      <c r="L334" s="34">
        <f>SUMIFS([7]BV_Data_An_Cour!$O:$O,[7]BV_Data_An_Cour!$U:$U,$B334,[7]BV_Data_An_Cour!$V:$V,$C334,[7]BV_Data_An_Cour!$W:$W,$L$2)</f>
        <v>590.37</v>
      </c>
      <c r="M334" s="42"/>
      <c r="N334" s="60">
        <f t="shared" si="113"/>
        <v>-656.89312499999994</v>
      </c>
      <c r="O334" s="42"/>
      <c r="P334" s="14"/>
      <c r="Q334" s="34">
        <f>SUMIFS([7]BV_Data_An_Prec!$O:$O,[7]BV_Data_An_Prec!$U:$U,$B334,[7]BV_Data_An_Prec!$V:$V,$C334,[7]BV_Data_An_Prec!$W:$W,$L$2)</f>
        <v>1519.25</v>
      </c>
      <c r="R334" s="42"/>
      <c r="S334" s="86">
        <f t="shared" si="114"/>
        <v>-928.88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8"/>
        <v>PiècesServices extérieurs</v>
      </c>
      <c r="B335" s="12" t="s">
        <v>104</v>
      </c>
      <c r="C335" s="241" t="s">
        <v>56</v>
      </c>
      <c r="D335" s="89"/>
      <c r="E335" s="117"/>
      <c r="F335" s="23">
        <f>+INDEX('[7]Budget original'!$A$2:$AO$496,MATCH($A335,'[7]Budget original'!$A$2:$A$496,0),MATCH(F$2,'[7]Budget original'!$A$2:$AO$2,0))</f>
        <v>7507.8482083333329</v>
      </c>
      <c r="G335" s="91"/>
      <c r="H335" s="117"/>
      <c r="I335" s="23">
        <f>+INDEX('[7]Budget révisé'!$A$2:$AO$496,MATCH($A335,'[7]Budget révisé'!$A$2:$A$496,0),MATCH(I$2,'[7]Budget révisé'!$A$2:$AO$2,0))</f>
        <v>7507.8482083333329</v>
      </c>
      <c r="J335" s="24"/>
      <c r="K335" s="117"/>
      <c r="L335" s="49">
        <f>SUMIFS([7]BV_Data_An_Cour!$O:$O,[7]BV_Data_An_Cour!$U:$U,$B335,[7]BV_Data_An_Cour!$V:$V,$C335,[7]BV_Data_An_Cour!$W:$W,$L$2)</f>
        <v>5530.86</v>
      </c>
      <c r="M335" s="24"/>
      <c r="N335" s="94">
        <f t="shared" si="113"/>
        <v>-1976.9882083333332</v>
      </c>
      <c r="O335" s="24"/>
      <c r="P335" s="117"/>
      <c r="Q335" s="49">
        <f>SUMIFS([7]BV_Data_An_Prec!$O:$O,[7]BV_Data_An_Prec!$U:$U,$B335,[7]BV_Data_An_Prec!$V:$V,$C335,[7]BV_Data_An_Prec!$W:$W,$L$2)</f>
        <v>12916.02</v>
      </c>
      <c r="R335" s="24"/>
      <c r="S335" s="95">
        <f t="shared" si="114"/>
        <v>-7385.1600000000008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8"/>
        <v>PiècesFournitures d'atelier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f>SUMIFS([7]BV_Data_An_Cour!$O:$O,[7]BV_Data_An_Cour!$U:$U,$B336,[7]BV_Data_An_Cour!$V:$V,$C336,[7]BV_Data_An_Cour!$W:$W,$L$2)</f>
        <v>0</v>
      </c>
      <c r="M336" s="42"/>
      <c r="N336" s="60">
        <f t="shared" si="113"/>
        <v>0</v>
      </c>
      <c r="O336" s="42"/>
      <c r="P336" s="14"/>
      <c r="Q336" s="34">
        <f>SUMIFS([7]BV_Data_An_Prec!$O:$O,[7]BV_Data_An_Prec!$U:$U,$B336,[7]BV_Data_An_Prec!$V:$V,$C336,[7]BV_Data_An_Prec!$W:$W,$L$2)</f>
        <v>0</v>
      </c>
      <c r="R336" s="42"/>
      <c r="S336" s="86">
        <f t="shared" si="114"/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8"/>
        <v>PiècesFournitures autres</v>
      </c>
      <c r="B337" s="12" t="s">
        <v>104</v>
      </c>
      <c r="C337" s="108" t="s">
        <v>57</v>
      </c>
      <c r="D337" s="82"/>
      <c r="E337" s="14"/>
      <c r="F337" s="31">
        <f>+INDEX('[7]Budget original'!$A$2:$AO$496,MATCH($A337,'[7]Budget original'!$A$2:$A$496,0),MATCH(F$2,'[7]Budget original'!$A$2:$AO$2,0))</f>
        <v>126</v>
      </c>
      <c r="G337" s="84"/>
      <c r="H337" s="14"/>
      <c r="I337" s="31">
        <f>+INDEX('[7]Budget révisé'!$A$2:$AO$496,MATCH($A337,'[7]Budget révisé'!$A$2:$A$496,0),MATCH(I$2,'[7]Budget révisé'!$A$2:$AO$2,0))</f>
        <v>126</v>
      </c>
      <c r="J337" s="42"/>
      <c r="K337" s="14"/>
      <c r="L337" s="34">
        <f>SUMIFS([7]BV_Data_An_Cour!$O:$O,[7]BV_Data_An_Cour!$U:$U,$B337,[7]BV_Data_An_Cour!$V:$V,$C337,[7]BV_Data_An_Cour!$W:$W,$L$2)</f>
        <v>6.98</v>
      </c>
      <c r="M337" s="42"/>
      <c r="N337" s="60">
        <f t="shared" si="113"/>
        <v>-119.02</v>
      </c>
      <c r="O337" s="42"/>
      <c r="P337" s="14"/>
      <c r="Q337" s="34">
        <f>SUMIFS([7]BV_Data_An_Prec!$O:$O,[7]BV_Data_An_Prec!$U:$U,$B337,[7]BV_Data_An_Prec!$V:$V,$C337,[7]BV_Data_An_Prec!$W:$W,$L$2)</f>
        <v>110</v>
      </c>
      <c r="R337" s="42"/>
      <c r="S337" s="86">
        <f t="shared" si="114"/>
        <v>-103.02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8"/>
        <v>PiècesUniformes</v>
      </c>
      <c r="B338" s="12" t="s">
        <v>104</v>
      </c>
      <c r="C338" s="108" t="s">
        <v>58</v>
      </c>
      <c r="D338" s="82"/>
      <c r="E338" s="14"/>
      <c r="F338" s="31">
        <f>+INDEX('[7]Budget original'!$A$2:$AO$496,MATCH($A338,'[7]Budget original'!$A$2:$A$496,0),MATCH(F$2,'[7]Budget original'!$A$2:$AO$2,0))</f>
        <v>170</v>
      </c>
      <c r="G338" s="84"/>
      <c r="H338" s="14"/>
      <c r="I338" s="31">
        <f>+INDEX('[7]Budget révisé'!$A$2:$AO$496,MATCH($A338,'[7]Budget révisé'!$A$2:$A$496,0),MATCH(I$2,'[7]Budget révisé'!$A$2:$AO$2,0))</f>
        <v>170</v>
      </c>
      <c r="J338" s="42"/>
      <c r="K338" s="14"/>
      <c r="L338" s="34">
        <f>SUMIFS([7]BV_Data_An_Cour!$O:$O,[7]BV_Data_An_Cour!$U:$U,$B338,[7]BV_Data_An_Cour!$V:$V,$C338,[7]BV_Data_An_Cour!$W:$W,$L$2)</f>
        <v>0</v>
      </c>
      <c r="M338" s="42"/>
      <c r="N338" s="60">
        <f t="shared" si="113"/>
        <v>-170</v>
      </c>
      <c r="O338" s="42"/>
      <c r="P338" s="14"/>
      <c r="Q338" s="34">
        <f>SUMIFS([7]BV_Data_An_Prec!$O:$O,[7]BV_Data_An_Prec!$U:$U,$B338,[7]BV_Data_An_Prec!$V:$V,$C338,[7]BV_Data_An_Prec!$W:$W,$L$2)</f>
        <v>170</v>
      </c>
      <c r="R338" s="42"/>
      <c r="S338" s="86">
        <f t="shared" si="114"/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8"/>
        <v>PiècesPapeterie</v>
      </c>
      <c r="B339" s="12" t="s">
        <v>104</v>
      </c>
      <c r="C339" s="108" t="s">
        <v>59</v>
      </c>
      <c r="D339" s="82"/>
      <c r="E339" s="14"/>
      <c r="F339" s="31">
        <f>+INDEX('[7]Budget original'!$A$2:$AO$496,MATCH($A339,'[7]Budget original'!$A$2:$A$496,0),MATCH(F$2,'[7]Budget original'!$A$2:$AO$2,0))</f>
        <v>545</v>
      </c>
      <c r="G339" s="84"/>
      <c r="H339" s="14"/>
      <c r="I339" s="31">
        <f>+INDEX('[7]Budget révisé'!$A$2:$AO$496,MATCH($A339,'[7]Budget révisé'!$A$2:$A$496,0),MATCH(I$2,'[7]Budget révisé'!$A$2:$AO$2,0))</f>
        <v>545</v>
      </c>
      <c r="J339" s="42"/>
      <c r="K339" s="14"/>
      <c r="L339" s="33">
        <f>SUMIFS([7]BV_Data_An_Cour!$O:$O,[7]BV_Data_An_Cour!$U:$U,$B339,[7]BV_Data_An_Cour!$V:$V,$C339,[7]BV_Data_An_Cour!$W:$W,$L$2)</f>
        <v>499.79</v>
      </c>
      <c r="M339" s="42"/>
      <c r="N339" s="60">
        <f t="shared" si="113"/>
        <v>-45.20999999999998</v>
      </c>
      <c r="O339" s="42"/>
      <c r="P339" s="14"/>
      <c r="Q339" s="33">
        <f>SUMIFS([7]BV_Data_An_Prec!$O:$O,[7]BV_Data_An_Prec!$U:$U,$B339,[7]BV_Data_An_Prec!$V:$V,$C339,[7]BV_Data_An_Prec!$W:$W,$L$2)</f>
        <v>462.5</v>
      </c>
      <c r="R339" s="42"/>
      <c r="S339" s="86">
        <f t="shared" si="114"/>
        <v>37.29000000000002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8"/>
        <v>PiècesTéléphone</v>
      </c>
      <c r="B340" s="12" t="s">
        <v>104</v>
      </c>
      <c r="C340" s="108" t="s">
        <v>60</v>
      </c>
      <c r="D340" s="82"/>
      <c r="E340" s="14"/>
      <c r="F340" s="31">
        <f>+INDEX('[7]Budget original'!$A$2:$AO$496,MATCH($A340,'[7]Budget original'!$A$2:$A$496,0),MATCH(F$2,'[7]Budget original'!$A$2:$AO$2,0))</f>
        <v>452.27499999999998</v>
      </c>
      <c r="G340" s="84"/>
      <c r="H340" s="14"/>
      <c r="I340" s="31">
        <f>+INDEX('[7]Budget révisé'!$A$2:$AO$496,MATCH($A340,'[7]Budget révisé'!$A$2:$A$496,0),MATCH(I$2,'[7]Budget révisé'!$A$2:$AO$2,0))</f>
        <v>452.27499999999998</v>
      </c>
      <c r="J340" s="42"/>
      <c r="K340" s="14"/>
      <c r="L340" s="34">
        <f>SUMIFS([7]BV_Data_An_Cour!$O:$O,[7]BV_Data_An_Cour!$U:$U,$B340,[7]BV_Data_An_Cour!$V:$V,$C340,[7]BV_Data_An_Cour!$W:$W,$L$2)</f>
        <v>78.47</v>
      </c>
      <c r="M340" s="42"/>
      <c r="N340" s="60">
        <f t="shared" si="113"/>
        <v>-373.80499999999995</v>
      </c>
      <c r="O340" s="42"/>
      <c r="P340" s="14"/>
      <c r="Q340" s="34">
        <f>SUMIFS([7]BV_Data_An_Prec!$O:$O,[7]BV_Data_An_Prec!$U:$U,$B340,[7]BV_Data_An_Prec!$V:$V,$C340,[7]BV_Data_An_Prec!$W:$W,$L$2)</f>
        <v>334.11</v>
      </c>
      <c r="R340" s="42"/>
      <c r="S340" s="86">
        <f t="shared" si="114"/>
        <v>-255.64000000000001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8"/>
        <v>PiècesFrais postaux</v>
      </c>
      <c r="B341" s="12" t="s">
        <v>104</v>
      </c>
      <c r="C341" s="108" t="s">
        <v>61</v>
      </c>
      <c r="D341" s="82"/>
      <c r="E341" s="14"/>
      <c r="F341" s="31">
        <f>+INDEX('[7]Budget original'!$A$2:$AO$496,MATCH($A341,'[7]Budget original'!$A$2:$A$496,0),MATCH(F$2,'[7]Budget original'!$A$2:$AO$2,0))</f>
        <v>216.25</v>
      </c>
      <c r="G341" s="84"/>
      <c r="H341" s="14"/>
      <c r="I341" s="31">
        <f>+INDEX('[7]Budget révisé'!$A$2:$AO$496,MATCH($A341,'[7]Budget révisé'!$A$2:$A$496,0),MATCH(I$2,'[7]Budget révisé'!$A$2:$AO$2,0))</f>
        <v>216.25</v>
      </c>
      <c r="J341" s="42"/>
      <c r="K341" s="14"/>
      <c r="L341" s="34">
        <f>SUMIFS([7]BV_Data_An_Cour!$O:$O,[7]BV_Data_An_Cour!$U:$U,$B341,[7]BV_Data_An_Cour!$V:$V,$C341,[7]BV_Data_An_Cour!$W:$W,$L$2)</f>
        <v>65.7</v>
      </c>
      <c r="M341" s="42"/>
      <c r="N341" s="60">
        <f t="shared" si="113"/>
        <v>-150.55000000000001</v>
      </c>
      <c r="O341" s="42"/>
      <c r="P341" s="14"/>
      <c r="Q341" s="34">
        <f>SUMIFS([7]BV_Data_An_Prec!$O:$O,[7]BV_Data_An_Prec!$U:$U,$B341,[7]BV_Data_An_Prec!$V:$V,$C341,[7]BV_Data_An_Prec!$W:$W,$L$2)</f>
        <v>51.68</v>
      </c>
      <c r="R341" s="42"/>
      <c r="S341" s="86">
        <f t="shared" si="114"/>
        <v>14.020000000000003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8"/>
        <v>PiècesDivers</v>
      </c>
      <c r="B342" s="12" t="s">
        <v>104</v>
      </c>
      <c r="C342" s="108" t="s">
        <v>62</v>
      </c>
      <c r="D342" s="82"/>
      <c r="E342" s="14"/>
      <c r="F342" s="31">
        <f>+INDEX('[7]Budget original'!$A$2:$AO$496,MATCH($A342,'[7]Budget original'!$A$2:$A$496,0),MATCH(F$2,'[7]Budget original'!$A$2:$AO$2,0))</f>
        <v>897.75</v>
      </c>
      <c r="G342" s="84"/>
      <c r="H342" s="14"/>
      <c r="I342" s="31">
        <f>+INDEX('[7]Budget révisé'!$A$2:$AO$496,MATCH($A342,'[7]Budget révisé'!$A$2:$A$496,0),MATCH(I$2,'[7]Budget révisé'!$A$2:$AO$2,0))</f>
        <v>897.75</v>
      </c>
      <c r="J342" s="42"/>
      <c r="K342" s="14"/>
      <c r="L342" s="34">
        <f>SUMIFS([7]BV_Data_An_Cour!$O:$O,[7]BV_Data_An_Cour!$U:$U,$B342,[7]BV_Data_An_Cour!$V:$V,$C342,[7]BV_Data_An_Cour!$W:$W,$L$2)</f>
        <v>31.98</v>
      </c>
      <c r="M342" s="42"/>
      <c r="N342" s="60">
        <f t="shared" si="113"/>
        <v>-865.77</v>
      </c>
      <c r="O342" s="42"/>
      <c r="P342" s="14"/>
      <c r="Q342" s="34">
        <f>SUMIFS([7]BV_Data_An_Prec!$O:$O,[7]BV_Data_An_Prec!$U:$U,$B342,[7]BV_Data_An_Prec!$V:$V,$C342,[7]BV_Data_An_Prec!$W:$W,$L$2)</f>
        <v>1325.23</v>
      </c>
      <c r="R342" s="42"/>
      <c r="S342" s="86">
        <f t="shared" si="114"/>
        <v>-1293.25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8"/>
        <v>PiècesFormation</v>
      </c>
      <c r="B343" s="12" t="s">
        <v>104</v>
      </c>
      <c r="C343" s="108" t="s">
        <v>63</v>
      </c>
      <c r="D343" s="82"/>
      <c r="E343" s="14"/>
      <c r="F343" s="31">
        <f>+INDEX('[7]Budget original'!$A$2:$AO$496,MATCH($A343,'[7]Budget original'!$A$2:$A$496,0),MATCH(F$2,'[7]Budget original'!$A$2:$AO$2,0))</f>
        <v>247.14583333333334</v>
      </c>
      <c r="G343" s="84"/>
      <c r="H343" s="14"/>
      <c r="I343" s="31">
        <f>+INDEX('[7]Budget révisé'!$A$2:$AO$496,MATCH($A343,'[7]Budget révisé'!$A$2:$A$496,0),MATCH(I$2,'[7]Budget révisé'!$A$2:$AO$2,0))</f>
        <v>247.14583333333334</v>
      </c>
      <c r="J343" s="42"/>
      <c r="K343" s="14"/>
      <c r="L343" s="34">
        <f>SUMIFS([7]BV_Data_An_Cour!$O:$O,[7]BV_Data_An_Cour!$U:$U,$B343,[7]BV_Data_An_Cour!$V:$V,$C343,[7]BV_Data_An_Cour!$W:$W,$L$2)</f>
        <v>22.14</v>
      </c>
      <c r="M343" s="42"/>
      <c r="N343" s="60">
        <f t="shared" si="113"/>
        <v>-225.00583333333333</v>
      </c>
      <c r="O343" s="42"/>
      <c r="P343" s="14"/>
      <c r="Q343" s="34">
        <f>SUMIFS([7]BV_Data_An_Prec!$O:$O,[7]BV_Data_An_Prec!$U:$U,$B343,[7]BV_Data_An_Prec!$V:$V,$C343,[7]BV_Data_An_Prec!$W:$W,$L$2)</f>
        <v>325</v>
      </c>
      <c r="R343" s="42"/>
      <c r="S343" s="86">
        <f t="shared" si="114"/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8"/>
        <v>PiècesFrais bancaires</v>
      </c>
      <c r="B344" s="12" t="s">
        <v>104</v>
      </c>
      <c r="C344" s="108" t="s">
        <v>64</v>
      </c>
      <c r="D344" s="82"/>
      <c r="E344" s="14"/>
      <c r="F344" s="31">
        <f>+INDEX('[7]Budget original'!$A$2:$AO$496,MATCH($A344,'[7]Budget original'!$A$2:$A$496,0),MATCH(F$2,'[7]Budget original'!$A$2:$AO$2,0))</f>
        <v>1895.4593382359283</v>
      </c>
      <c r="G344" s="84"/>
      <c r="H344" s="14"/>
      <c r="I344" s="31">
        <f>+INDEX('[7]Budget révisé'!$A$2:$AO$496,MATCH($A344,'[7]Budget révisé'!$A$2:$A$496,0),MATCH(I$2,'[7]Budget révisé'!$A$2:$AO$2,0))</f>
        <v>1895.4593382359283</v>
      </c>
      <c r="J344" s="42"/>
      <c r="K344" s="14"/>
      <c r="L344" s="33">
        <f>AF447*W7</f>
        <v>1179.172</v>
      </c>
      <c r="M344" s="42"/>
      <c r="N344" s="60">
        <f t="shared" si="113"/>
        <v>-716.28733823592825</v>
      </c>
      <c r="O344" s="42"/>
      <c r="P344" s="14"/>
      <c r="Q344" s="34">
        <f>AL447*W7</f>
        <v>1636.0500000000002</v>
      </c>
      <c r="R344" s="42"/>
      <c r="S344" s="86">
        <f t="shared" si="114"/>
        <v>-456.87800000000016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8"/>
        <v>Pièces[...]</v>
      </c>
      <c r="B345" s="12" t="s">
        <v>104</v>
      </c>
      <c r="C345" s="108" t="s">
        <v>21</v>
      </c>
      <c r="D345" s="82"/>
      <c r="E345" s="14"/>
      <c r="F345" s="31">
        <f>+INDEX('[7]Budget original'!$A$2:$AO$496,MATCH($A345,'[7]Budget original'!$A$2:$A$496,0),MATCH(F$2,'[7]Budget original'!$A$2:$AO$2,0))</f>
        <v>0</v>
      </c>
      <c r="G345" s="84"/>
      <c r="H345" s="14"/>
      <c r="I345" s="31">
        <f>+INDEX('[7]Budget révisé'!$A$2:$AO$496,MATCH($A345,'[7]Budget révisé'!$A$2:$A$496,0),MATCH(I$2,'[7]Budget révisé'!$A$2:$AO$2,0))</f>
        <v>0</v>
      </c>
      <c r="J345" s="42"/>
      <c r="K345" s="14"/>
      <c r="L345" s="34">
        <f>SUMIFS([7]BV_Data_An_Cour!$O:$O,[7]BV_Data_An_Cour!$U:$U,$B345,[7]BV_Data_An_Cour!$V:$V,$C345,[7]BV_Data_An_Cour!$W:$W,$L$2)</f>
        <v>0</v>
      </c>
      <c r="M345" s="42"/>
      <c r="N345" s="60">
        <f t="shared" si="113"/>
        <v>0</v>
      </c>
      <c r="O345" s="42"/>
      <c r="P345" s="14"/>
      <c r="Q345" s="34">
        <f>SUMIFS([7]BV_Data_An_Prec!$O:$O,[7]BV_Data_An_Prec!$U:$U,$B345,[7]BV_Data_An_Prec!$V:$V,$C345,[7]BV_Data_An_Prec!$W:$W,$L$2)</f>
        <v>0</v>
      </c>
      <c r="R345" s="42"/>
      <c r="S345" s="86">
        <f t="shared" si="114"/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8"/>
        <v>Pièces[...]</v>
      </c>
      <c r="B346" s="12" t="s">
        <v>104</v>
      </c>
      <c r="C346" s="108" t="s">
        <v>21</v>
      </c>
      <c r="D346" s="82"/>
      <c r="E346" s="14"/>
      <c r="F346" s="31">
        <f>+INDEX('[7]Budget original'!$A$2:$AO$496,MATCH($A346,'[7]Budget original'!$A$2:$A$496,0),MATCH(F$2,'[7]Budget original'!$A$2:$AO$2,0))</f>
        <v>0</v>
      </c>
      <c r="G346" s="84"/>
      <c r="H346" s="14"/>
      <c r="I346" s="31">
        <f>+INDEX('[7]Budget révisé'!$A$2:$AO$496,MATCH($A346,'[7]Budget révisé'!$A$2:$A$496,0),MATCH(I$2,'[7]Budget révisé'!$A$2:$AO$2,0))</f>
        <v>0</v>
      </c>
      <c r="J346" s="42"/>
      <c r="K346" s="14"/>
      <c r="L346" s="34">
        <f>SUMIFS([7]BV_Data_An_Cour!$O:$O,[7]BV_Data_An_Cour!$U:$U,$B346,[7]BV_Data_An_Cour!$V:$V,$C346,[7]BV_Data_An_Cour!$W:$W,$L$2)</f>
        <v>0</v>
      </c>
      <c r="M346" s="42"/>
      <c r="N346" s="60">
        <f t="shared" si="113"/>
        <v>0</v>
      </c>
      <c r="O346" s="42"/>
      <c r="P346" s="14"/>
      <c r="Q346" s="34">
        <f>SUMIFS([7]BV_Data_An_Prec!$O:$O,[7]BV_Data_An_Prec!$U:$U,$B346,[7]BV_Data_An_Prec!$V:$V,$C346,[7]BV_Data_An_Prec!$W:$W,$L$2)</f>
        <v>0</v>
      </c>
      <c r="R346" s="42"/>
      <c r="S346" s="86">
        <f t="shared" si="114"/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8"/>
        <v>Pièces[...]</v>
      </c>
      <c r="B347" s="12" t="s">
        <v>104</v>
      </c>
      <c r="C347" s="108" t="s">
        <v>21</v>
      </c>
      <c r="D347" s="82"/>
      <c r="E347" s="14"/>
      <c r="F347" s="31">
        <f>+INDEX('[7]Budget original'!$A$2:$AO$496,MATCH($A347,'[7]Budget original'!$A$2:$A$496,0),MATCH(F$2,'[7]Budget original'!$A$2:$AO$2,0))</f>
        <v>0</v>
      </c>
      <c r="G347" s="84"/>
      <c r="H347" s="14"/>
      <c r="I347" s="31">
        <f>+INDEX('[7]Budget révisé'!$A$2:$AO$496,MATCH($A347,'[7]Budget révisé'!$A$2:$A$496,0),MATCH(I$2,'[7]Budget révisé'!$A$2:$AO$2,0))</f>
        <v>0</v>
      </c>
      <c r="J347" s="42"/>
      <c r="K347" s="14"/>
      <c r="L347" s="34">
        <f>SUMIFS([7]BV_Data_An_Cour!$O:$O,[7]BV_Data_An_Cour!$U:$U,$B347,[7]BV_Data_An_Cour!$V:$V,$C347,[7]BV_Data_An_Cour!$W:$W,$L$2)</f>
        <v>0</v>
      </c>
      <c r="M347" s="42"/>
      <c r="N347" s="60">
        <f t="shared" si="113"/>
        <v>0</v>
      </c>
      <c r="O347" s="42"/>
      <c r="P347" s="14"/>
      <c r="Q347" s="34">
        <f>SUMIFS([7]BV_Data_An_Prec!$O:$O,[7]BV_Data_An_Prec!$U:$U,$B347,[7]BV_Data_An_Prec!$V:$V,$C347,[7]BV_Data_An_Prec!$W:$W,$L$2)</f>
        <v>0</v>
      </c>
      <c r="R347" s="42"/>
      <c r="S347" s="86">
        <f t="shared" si="114"/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0.22279011924965458</v>
      </c>
      <c r="F348" s="102">
        <f>+SUM(F330:F347)</f>
        <v>23462.494630871355</v>
      </c>
      <c r="G348" s="103" t="s">
        <v>40</v>
      </c>
      <c r="H348" s="101">
        <f>I348/I$313</f>
        <v>0.22279011924965458</v>
      </c>
      <c r="I348" s="102">
        <f>+SUM(I330:I347)</f>
        <v>23462.494630871355</v>
      </c>
      <c r="J348" s="103" t="s">
        <v>40</v>
      </c>
      <c r="K348" s="101">
        <f>L348/L$313</f>
        <v>0.12441934460323761</v>
      </c>
      <c r="L348" s="102">
        <f>+SUM(L330:L347)</f>
        <v>14849.561999999998</v>
      </c>
      <c r="M348" s="106"/>
      <c r="N348" s="102">
        <f>+SUM(N330:N347)</f>
        <v>-8612.9326308713607</v>
      </c>
      <c r="O348" s="103" t="s">
        <v>40</v>
      </c>
      <c r="P348" s="101">
        <f>Q348/Q$313</f>
        <v>0.2563234582652022</v>
      </c>
      <c r="Q348" s="102">
        <f>+SUM(Q330:Q347)</f>
        <v>33616.86</v>
      </c>
      <c r="R348" s="106"/>
      <c r="S348" s="107">
        <f>+SUM(S330:S347)</f>
        <v>-18767.297999999999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0.61052452367145182</v>
      </c>
      <c r="F350" s="102">
        <f>F329+F348</f>
        <v>64295.617807920084</v>
      </c>
      <c r="G350" s="103" t="s">
        <v>40</v>
      </c>
      <c r="H350" s="101">
        <f>I350/I$313</f>
        <v>0.61052452367145182</v>
      </c>
      <c r="I350" s="102">
        <f>I329+I348</f>
        <v>64295.617807920084</v>
      </c>
      <c r="J350" s="103" t="s">
        <v>40</v>
      </c>
      <c r="K350" s="101">
        <f>L350/L$313</f>
        <v>0.50180624513043093</v>
      </c>
      <c r="L350" s="102">
        <f>L329+L348</f>
        <v>59891.031999999999</v>
      </c>
      <c r="M350" s="106"/>
      <c r="N350" s="119">
        <f t="shared" ref="N350:N352" si="115">L350-I350</f>
        <v>-4404.5858079200843</v>
      </c>
      <c r="O350" s="103" t="s">
        <v>40</v>
      </c>
      <c r="P350" s="101">
        <f>Q350/Q$313</f>
        <v>0.60516202230801885</v>
      </c>
      <c r="Q350" s="102">
        <f>Q329+Q348</f>
        <v>79367.09</v>
      </c>
      <c r="R350" s="106"/>
      <c r="S350" s="120">
        <f>L350-Q350</f>
        <v>-19476.057999999997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15"/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4" customHeight="1" thickBot="1">
      <c r="B352" s="7"/>
      <c r="C352" s="130" t="s">
        <v>73</v>
      </c>
      <c r="D352" s="159"/>
      <c r="E352" s="131"/>
      <c r="F352" s="133">
        <f>F313-F350</f>
        <v>41016.479110434309</v>
      </c>
      <c r="G352" s="160"/>
      <c r="H352" s="131"/>
      <c r="I352" s="133">
        <f>I313-I350</f>
        <v>41016.479110434309</v>
      </c>
      <c r="J352" s="161"/>
      <c r="K352" s="132"/>
      <c r="L352" s="133">
        <f>L313-L350</f>
        <v>59459.878000000004</v>
      </c>
      <c r="M352" s="161"/>
      <c r="N352" s="133">
        <f t="shared" si="115"/>
        <v>18443.398889565695</v>
      </c>
      <c r="O352" s="161"/>
      <c r="P352" s="132"/>
      <c r="Q352" s="133">
        <f>Q313-Q350</f>
        <v>51783.059999999969</v>
      </c>
      <c r="R352" s="161"/>
      <c r="S352" s="135">
        <f>L352-Q352</f>
        <v>7676.8180000000357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Volks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Réalisé, Juin 2021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519" t="s">
        <v>5</v>
      </c>
      <c r="E357" s="520"/>
      <c r="F357" s="521"/>
      <c r="G357" s="522" t="s">
        <v>75</v>
      </c>
      <c r="H357" s="520"/>
      <c r="I357" s="521"/>
      <c r="J357" s="522" t="s">
        <v>7</v>
      </c>
      <c r="K357" s="520"/>
      <c r="L357" s="521"/>
      <c r="M357" s="522" t="s">
        <v>8</v>
      </c>
      <c r="N357" s="521"/>
      <c r="O357" s="519" t="s">
        <v>9</v>
      </c>
      <c r="P357" s="520"/>
      <c r="Q357" s="521"/>
      <c r="R357" s="522" t="s">
        <v>10</v>
      </c>
      <c r="S357" s="523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16">+B358&amp;C358</f>
        <v>Boutique</v>
      </c>
      <c r="B358" s="12" t="s">
        <v>120</v>
      </c>
      <c r="C358" s="30"/>
      <c r="D358" s="242" t="s">
        <v>85</v>
      </c>
      <c r="E358" s="242" t="s">
        <v>105</v>
      </c>
      <c r="F358" s="243" t="s">
        <v>13</v>
      </c>
      <c r="G358" s="244" t="s">
        <v>85</v>
      </c>
      <c r="H358" s="242" t="s">
        <v>105</v>
      </c>
      <c r="I358" s="243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16"/>
        <v>BoutiqueBoutique</v>
      </c>
      <c r="B359" s="12" t="s">
        <v>120</v>
      </c>
      <c r="C359" s="63" t="s">
        <v>120</v>
      </c>
      <c r="D359" s="245">
        <f>+INDEX('[7]Budget original'!$A$2:$AO$496,MATCH($A359,'[7]Budget original'!$A$2:$A$496,0),MATCH(D$2,'[7]Budget original'!$A$2:$AO$2,0))</f>
        <v>0</v>
      </c>
      <c r="E359" s="246">
        <f>IFERROR(F359/D359,0)</f>
        <v>0</v>
      </c>
      <c r="F359" s="247">
        <f>+INDEX('[7]Budget original'!$A$2:$AO$496,MATCH($A359,'[7]Budget original'!$A$2:$A$496,0),MATCH(F$2,'[7]Budget original'!$A$2:$AO$2,0))</f>
        <v>0</v>
      </c>
      <c r="G359" s="245">
        <f>+INDEX('[7]Budget révisé'!$A$2:$AO$496,MATCH($A359,'[7]Budget révisé'!$A$2:$A$496,0),MATCH(G$2,'[7]Budget révisé'!$A$2:$AO$2,0))</f>
        <v>0</v>
      </c>
      <c r="H359" s="246">
        <f>IFERROR(I359/G359,0)</f>
        <v>0</v>
      </c>
      <c r="I359" s="245">
        <f>+INDEX('[7]Budget révisé'!$A$2:$AO$496,MATCH($A359,'[7]Budget révisé'!$A$2:$A$496,0),MATCH(I$2,'[7]Budget révisé'!$A$2:$AO$2,0))</f>
        <v>0</v>
      </c>
      <c r="J359" s="248">
        <f>-SUMIFS([7]BV_Data_An_Cour!$O:$O,[7]BV_Data_An_Cour!$X:$X,"Oui",[7]BV_Data_An_Cour!$U:$U,$B359,[7]BV_Data_An_Cour!$V:$V,$C359)</f>
        <v>0</v>
      </c>
      <c r="K359" s="229">
        <f>IF(J359&lt;=0,0,L359/J359)</f>
        <v>0</v>
      </c>
      <c r="L359" s="249">
        <f>-SUMIFS([7]BV_Data_An_Cour!$O:$O,[7]BV_Data_An_Cour!$X:$X,"Oui",[7]BV_Data_An_Cour!$U:$U,$B359,[7]BV_Data_An_Cour!$V:$V,$C359)</f>
        <v>0</v>
      </c>
      <c r="M359" s="230">
        <f>IF(G359=0,0,(+J359-G359)/G359)</f>
        <v>0</v>
      </c>
      <c r="N359" s="231">
        <f>L359-I359</f>
        <v>0</v>
      </c>
      <c r="O359" s="248">
        <f>-SUMIFS([7]BV_Data_An_Prec!$O:$O,[7]BV_Data_An_Prec!$X:$X,"Oui",[7]BV_Data_An_Prec!$U:$U,$B359,[7]BV_Data_An_Prec!$V:$V,$C359)</f>
        <v>0</v>
      </c>
      <c r="P359" s="229">
        <f>IF(O359&lt;=0,0,Q359/O359)</f>
        <v>0</v>
      </c>
      <c r="Q359" s="249">
        <f>-SUMIFS([7]BV_Data_An_Prec!$O:$O,[7]BV_Data_An_Prec!$X:$X,"Oui",[7]BV_Data_An_Prec!$U:$U,$B359,[7]BV_Data_An_Prec!$V:$V,$C359)</f>
        <v>0</v>
      </c>
      <c r="R359" s="230">
        <f>IF(O359=0,0,(J359-O359)/O359)</f>
        <v>0</v>
      </c>
      <c r="S359" s="232">
        <f>L359-Q359</f>
        <v>0</v>
      </c>
      <c r="T359" s="11"/>
      <c r="U359" s="11"/>
      <c r="V359" s="250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16"/>
        <v>Boutique</v>
      </c>
      <c r="B360" s="12" t="s">
        <v>120</v>
      </c>
      <c r="C360" s="233"/>
      <c r="D360" s="234"/>
      <c r="E360" s="235"/>
      <c r="F360" s="236"/>
      <c r="G360" s="237"/>
      <c r="H360" s="235"/>
      <c r="I360" s="236"/>
      <c r="J360" s="237"/>
      <c r="K360" s="235"/>
      <c r="L360" s="236"/>
      <c r="M360" s="238"/>
      <c r="N360" s="75"/>
      <c r="O360" s="237"/>
      <c r="P360" s="235"/>
      <c r="Q360" s="236"/>
      <c r="R360" s="238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16"/>
        <v>BoutiqueTotal Dépt. Boutique</v>
      </c>
      <c r="B361" s="12" t="s">
        <v>120</v>
      </c>
      <c r="C361" s="54" t="s">
        <v>121</v>
      </c>
      <c r="D361" s="251">
        <f>+D359</f>
        <v>0</v>
      </c>
      <c r="E361" s="183">
        <f>IF(D361&lt;=0,0,F361/D361)</f>
        <v>0</v>
      </c>
      <c r="F361" s="185">
        <f t="shared" ref="F361" si="117">+F359</f>
        <v>0</v>
      </c>
      <c r="G361" s="184">
        <f>+G359</f>
        <v>0</v>
      </c>
      <c r="H361" s="183">
        <f>IF(G361&lt;=0,0,I361/G361)</f>
        <v>0</v>
      </c>
      <c r="I361" s="185">
        <f t="shared" ref="I361:J361" si="118">+I359</f>
        <v>0</v>
      </c>
      <c r="J361" s="184">
        <f t="shared" si="118"/>
        <v>0</v>
      </c>
      <c r="K361" s="183">
        <f>IF(J361&lt;=0,0,L361/J361)</f>
        <v>0</v>
      </c>
      <c r="L361" s="185">
        <f>+L359</f>
        <v>0</v>
      </c>
      <c r="M361" s="252">
        <f>IF(G361=0,0,(+J361-G361)/G361)</f>
        <v>0</v>
      </c>
      <c r="N361" s="253">
        <f>L361-I361</f>
        <v>0</v>
      </c>
      <c r="O361" s="184">
        <f t="shared" ref="O361" si="119">+O359</f>
        <v>0</v>
      </c>
      <c r="P361" s="183">
        <f>IF(O361&lt;=0,0,Q361/O361)</f>
        <v>0</v>
      </c>
      <c r="Q361" s="185">
        <f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16"/>
        <v>Boutique</v>
      </c>
      <c r="B362" s="12" t="s">
        <v>120</v>
      </c>
      <c r="C362" s="80"/>
      <c r="D362" s="14"/>
      <c r="E362" s="14"/>
      <c r="F362" s="60"/>
      <c r="G362" s="42"/>
      <c r="H362" s="254"/>
      <c r="I362" s="60"/>
      <c r="J362" s="42"/>
      <c r="K362" s="14"/>
      <c r="L362" s="41"/>
      <c r="M362" s="42"/>
      <c r="N362" s="255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16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16"/>
        <v>BoutiqueSalaires cadres</v>
      </c>
      <c r="B364" s="12" t="s">
        <v>120</v>
      </c>
      <c r="C364" s="108" t="s">
        <v>42</v>
      </c>
      <c r="D364" s="14"/>
      <c r="E364" s="14"/>
      <c r="F364" s="31">
        <f>+INDEX('[7]Budget original'!$A$2:$AO$496,MATCH($A364,'[7]Budget original'!$A$2:$A$496,0),MATCH(F$2,'[7]Budget original'!$A$2:$AO$2,0))</f>
        <v>0</v>
      </c>
      <c r="G364" s="42"/>
      <c r="H364" s="14"/>
      <c r="I364" s="31">
        <f>+INDEX('[7]Budget révisé'!$A$2:$AO$496,MATCH($A364,'[7]Budget révisé'!$A$2:$A$496,0),MATCH(I$2,'[7]Budget révisé'!$A$2:$AO$2,0))</f>
        <v>0</v>
      </c>
      <c r="J364" s="42"/>
      <c r="K364" s="14"/>
      <c r="L364" s="34">
        <f>-SUMIFS([7]BV_Data_An_Cour!$O:$O,[7]BV_Data_An_Cour!$U:$U,$B364,[7]BV_Data_An_Cour!$V:$V,$C364,[7]BV_Data_An_Cour!$W:$W,$L$2)</f>
        <v>0</v>
      </c>
      <c r="M364" s="42"/>
      <c r="N364" s="41"/>
      <c r="O364" s="42"/>
      <c r="P364" s="14"/>
      <c r="Q364" s="34">
        <f>-SUMIFS([7]BV_Data_An_Prec!$O:$O,[7]BV_Data_An_Prec!$U:$U,$B364,[7]BV_Data_An_Prec!$V:$V,$C364,[7]BV_Data_An_Prec!$W:$W,$L$2)</f>
        <v>0</v>
      </c>
      <c r="R364" s="42"/>
      <c r="S364" s="35">
        <f>L364-Q364</f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16"/>
        <v>BoutiqueSalaires commis</v>
      </c>
      <c r="B365" s="12" t="s">
        <v>120</v>
      </c>
      <c r="C365" s="109" t="s">
        <v>43</v>
      </c>
      <c r="D365" s="82"/>
      <c r="E365" s="14"/>
      <c r="F365" s="23">
        <f>+INDEX('[7]Budget original'!$A$2:$AO$496,MATCH($A365,'[7]Budget original'!$A$2:$A$496,0),MATCH(F$2,'[7]Budget original'!$A$2:$AO$2,0))</f>
        <v>0</v>
      </c>
      <c r="G365" s="84"/>
      <c r="H365" s="14"/>
      <c r="I365" s="23">
        <f>+INDEX('[7]Budget révisé'!$A$2:$AO$496,MATCH($A365,'[7]Budget révisé'!$A$2:$A$496,0),MATCH(I$2,'[7]Budget révisé'!$A$2:$AO$2,0))</f>
        <v>0</v>
      </c>
      <c r="J365" s="42"/>
      <c r="K365" s="14"/>
      <c r="L365" s="23">
        <f>-SUMIFS([7]BV_Data_An_Cour!$O:$O,[7]BV_Data_An_Cour!$U:$U,$B365,[7]BV_Data_An_Cour!$V:$V,$C365,[7]BV_Data_An_Cour!$W:$W,$L$2)</f>
        <v>0</v>
      </c>
      <c r="M365" s="42"/>
      <c r="N365" s="60">
        <f t="shared" ref="N365:N393" si="120">L365-I365</f>
        <v>0</v>
      </c>
      <c r="O365" s="42"/>
      <c r="P365" s="14"/>
      <c r="Q365" s="23">
        <f>-SUMIFS([7]BV_Data_An_Prec!$O:$O,[7]BV_Data_An_Prec!$U:$U,$B365,[7]BV_Data_An_Prec!$V:$V,$C365,[7]BV_Data_An_Prec!$W:$W,$L$2)</f>
        <v>0</v>
      </c>
      <c r="R365" s="42"/>
      <c r="S365" s="86">
        <f t="shared" ref="S365:S393" si="121">L365-Q365</f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16"/>
        <v>BoutiqueSalaires autres</v>
      </c>
      <c r="B366" s="12" t="s">
        <v>120</v>
      </c>
      <c r="C366" s="108" t="s">
        <v>44</v>
      </c>
      <c r="D366" s="110"/>
      <c r="E366" s="111"/>
      <c r="F366" s="31">
        <f>+INDEX('[7]Budget original'!$A$2:$AO$496,MATCH($A366,'[7]Budget original'!$A$2:$A$496,0),MATCH(F$2,'[7]Budget original'!$A$2:$AO$2,0))</f>
        <v>0</v>
      </c>
      <c r="G366" s="112"/>
      <c r="H366" s="111"/>
      <c r="I366" s="31">
        <f>+INDEX('[7]Budget révisé'!$A$2:$AO$496,MATCH($A366,'[7]Budget révisé'!$A$2:$A$496,0),MATCH(I$2,'[7]Budget révisé'!$A$2:$AO$2,0))</f>
        <v>0</v>
      </c>
      <c r="J366" s="113"/>
      <c r="K366" s="111"/>
      <c r="L366" s="34">
        <f>-SUMIFS([7]BV_Data_An_Cour!$O:$O,[7]BV_Data_An_Cour!$U:$U,$B366,[7]BV_Data_An_Cour!$V:$V,$C366,[7]BV_Data_An_Cour!$W:$W,$L$2)</f>
        <v>0</v>
      </c>
      <c r="M366" s="113"/>
      <c r="N366" s="115">
        <f t="shared" si="120"/>
        <v>0</v>
      </c>
      <c r="O366" s="113"/>
      <c r="P366" s="111"/>
      <c r="Q366" s="34">
        <f>-SUMIFS([7]BV_Data_An_Prec!$O:$O,[7]BV_Data_An_Prec!$U:$U,$B366,[7]BV_Data_An_Prec!$V:$V,$C366,[7]BV_Data_An_Prec!$W:$W,$L$2)</f>
        <v>0</v>
      </c>
      <c r="R366" s="113"/>
      <c r="S366" s="116">
        <f t="shared" si="121"/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16"/>
        <v>BoutiqueSalaires spécialistes</v>
      </c>
      <c r="B367" s="12" t="s">
        <v>120</v>
      </c>
      <c r="C367" s="108" t="s">
        <v>45</v>
      </c>
      <c r="D367" s="82"/>
      <c r="E367" s="14"/>
      <c r="F367" s="31">
        <f>+INDEX('[7]Budget original'!$A$2:$AO$496,MATCH($A367,'[7]Budget original'!$A$2:$A$496,0),MATCH(F$2,'[7]Budget original'!$A$2:$AO$2,0))</f>
        <v>0</v>
      </c>
      <c r="G367" s="84"/>
      <c r="H367" s="14"/>
      <c r="I367" s="31">
        <f>+INDEX('[7]Budget révisé'!$A$2:$AO$496,MATCH($A367,'[7]Budget révisé'!$A$2:$A$496,0),MATCH(I$2,'[7]Budget révisé'!$A$2:$AO$2,0))</f>
        <v>0</v>
      </c>
      <c r="J367" s="42"/>
      <c r="K367" s="14"/>
      <c r="L367" s="34">
        <f>-SUMIFS([7]BV_Data_An_Cour!$O:$O,[7]BV_Data_An_Cour!$U:$U,$B367,[7]BV_Data_An_Cour!$V:$V,$C367,[7]BV_Data_An_Cour!$W:$W,$L$2)</f>
        <v>0</v>
      </c>
      <c r="M367" s="42"/>
      <c r="N367" s="60">
        <f t="shared" si="120"/>
        <v>0</v>
      </c>
      <c r="O367" s="42"/>
      <c r="P367" s="14"/>
      <c r="Q367" s="34">
        <f>-SUMIFS([7]BV_Data_An_Prec!$O:$O,[7]BV_Data_An_Prec!$U:$U,$B367,[7]BV_Data_An_Prec!$V:$V,$C367,[7]BV_Data_An_Prec!$W:$W,$L$2)</f>
        <v>0</v>
      </c>
      <c r="R367" s="42"/>
      <c r="S367" s="86">
        <f t="shared" si="121"/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6"/>
        <v>Boutique[...]</v>
      </c>
      <c r="B368" s="12" t="s">
        <v>120</v>
      </c>
      <c r="C368" s="30" t="s">
        <v>21</v>
      </c>
      <c r="D368" s="82"/>
      <c r="E368" s="14"/>
      <c r="F368" s="31">
        <f>+INDEX('[7]Budget original'!$A$2:$AO$496,MATCH($A368,'[7]Budget original'!$A$2:$A$496,0),MATCH(F$2,'[7]Budget original'!$A$2:$AO$2,0))</f>
        <v>0</v>
      </c>
      <c r="G368" s="84"/>
      <c r="H368" s="14"/>
      <c r="I368" s="31">
        <f>+INDEX('[7]Budget révisé'!$A$2:$AO$496,MATCH($A368,'[7]Budget révisé'!$A$2:$A$496,0),MATCH(I$2,'[7]Budget révisé'!$A$2:$AO$2,0))</f>
        <v>0</v>
      </c>
      <c r="J368" s="42"/>
      <c r="K368" s="14"/>
      <c r="L368" s="34">
        <f>-SUMIFS([7]BV_Data_An_Cour!$O:$O,[7]BV_Data_An_Cour!$U:$U,$B368,[7]BV_Data_An_Cour!$V:$V,$C368,[7]BV_Data_An_Cour!$W:$W,$L$2)</f>
        <v>0</v>
      </c>
      <c r="M368" s="42"/>
      <c r="N368" s="60">
        <f t="shared" si="120"/>
        <v>0</v>
      </c>
      <c r="O368" s="42"/>
      <c r="P368" s="14"/>
      <c r="Q368" s="34">
        <f>-SUMIFS([7]BV_Data_An_Prec!$O:$O,[7]BV_Data_An_Prec!$U:$U,$B368,[7]BV_Data_An_Prec!$V:$V,$C368,[7]BV_Data_An_Prec!$W:$W,$L$2)</f>
        <v>0</v>
      </c>
      <c r="R368" s="42"/>
      <c r="S368" s="86">
        <f t="shared" si="121"/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6"/>
        <v>Boutique[...]</v>
      </c>
      <c r="B369" s="12" t="s">
        <v>120</v>
      </c>
      <c r="C369" s="30" t="s">
        <v>21</v>
      </c>
      <c r="D369" s="82"/>
      <c r="E369" s="14"/>
      <c r="F369" s="31">
        <f>+INDEX('[7]Budget original'!$A$2:$AO$496,MATCH($A369,'[7]Budget original'!$A$2:$A$496,0),MATCH(F$2,'[7]Budget original'!$A$2:$AO$2,0))</f>
        <v>0</v>
      </c>
      <c r="G369" s="84"/>
      <c r="H369" s="14"/>
      <c r="I369" s="31">
        <f>+INDEX('[7]Budget révisé'!$A$2:$AO$496,MATCH($A369,'[7]Budget révisé'!$A$2:$A$496,0),MATCH(I$2,'[7]Budget révisé'!$A$2:$AO$2,0))</f>
        <v>0</v>
      </c>
      <c r="J369" s="42"/>
      <c r="K369" s="14"/>
      <c r="L369" s="34">
        <f>-SUMIFS([7]BV_Data_An_Cour!$O:$O,[7]BV_Data_An_Cour!$U:$U,$B369,[7]BV_Data_An_Cour!$V:$V,$C369,[7]BV_Data_An_Cour!$W:$W,$L$2)</f>
        <v>0</v>
      </c>
      <c r="M369" s="42"/>
      <c r="N369" s="60">
        <f t="shared" si="120"/>
        <v>0</v>
      </c>
      <c r="O369" s="42"/>
      <c r="P369" s="14"/>
      <c r="Q369" s="34">
        <f>-SUMIFS([7]BV_Data_An_Prec!$O:$O,[7]BV_Data_An_Prec!$U:$U,$B369,[7]BV_Data_An_Prec!$V:$V,$C369,[7]BV_Data_An_Prec!$W:$W,$L$2)</f>
        <v>0</v>
      </c>
      <c r="R369" s="42"/>
      <c r="S369" s="86">
        <f t="shared" si="121"/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6"/>
        <v>Boutique[...]</v>
      </c>
      <c r="B370" s="12" t="s">
        <v>120</v>
      </c>
      <c r="C370" s="30" t="s">
        <v>21</v>
      </c>
      <c r="D370" s="82"/>
      <c r="E370" s="14"/>
      <c r="F370" s="31">
        <f>+INDEX('[7]Budget original'!$A$2:$AO$496,MATCH($A370,'[7]Budget original'!$A$2:$A$496,0),MATCH(F$2,'[7]Budget original'!$A$2:$AO$2,0))</f>
        <v>0</v>
      </c>
      <c r="G370" s="84"/>
      <c r="H370" s="14"/>
      <c r="I370" s="31">
        <f>+INDEX('[7]Budget révisé'!$A$2:$AO$496,MATCH($A370,'[7]Budget révisé'!$A$2:$A$496,0),MATCH(I$2,'[7]Budget révisé'!$A$2:$AO$2,0))</f>
        <v>0</v>
      </c>
      <c r="J370" s="42"/>
      <c r="K370" s="14"/>
      <c r="L370" s="34">
        <f>-SUMIFS([7]BV_Data_An_Cour!$O:$O,[7]BV_Data_An_Cour!$U:$U,$B370,[7]BV_Data_An_Cour!$V:$V,$C370,[7]BV_Data_An_Cour!$W:$W,$L$2)</f>
        <v>0</v>
      </c>
      <c r="M370" s="42"/>
      <c r="N370" s="60">
        <f t="shared" si="120"/>
        <v>0</v>
      </c>
      <c r="O370" s="42"/>
      <c r="P370" s="14"/>
      <c r="Q370" s="34">
        <f>-SUMIFS([7]BV_Data_An_Prec!$O:$O,[7]BV_Data_An_Prec!$U:$U,$B370,[7]BV_Data_An_Prec!$V:$V,$C370,[7]BV_Data_An_Prec!$W:$W,$L$2)</f>
        <v>0</v>
      </c>
      <c r="R370" s="42"/>
      <c r="S370" s="86">
        <f t="shared" si="121"/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16"/>
        <v>BoutiqueSalaires en absences</v>
      </c>
      <c r="B371" s="12" t="s">
        <v>120</v>
      </c>
      <c r="C371" s="109" t="s">
        <v>46</v>
      </c>
      <c r="D371" s="82"/>
      <c r="E371" s="14"/>
      <c r="F371" s="23">
        <f>+INDEX('[7]Budget original'!$A$2:$AO$496,MATCH($A371,'[7]Budget original'!$A$2:$A$496,0),MATCH(F$2,'[7]Budget original'!$A$2:$AO$2,0))</f>
        <v>0</v>
      </c>
      <c r="G371" s="84"/>
      <c r="H371" s="14"/>
      <c r="I371" s="23">
        <f>+INDEX('[7]Budget révisé'!$A$2:$AO$496,MATCH($A371,'[7]Budget révisé'!$A$2:$A$496,0),MATCH(I$2,'[7]Budget révisé'!$A$2:$AO$2,0))</f>
        <v>0</v>
      </c>
      <c r="J371" s="42"/>
      <c r="K371" s="14"/>
      <c r="L371" s="23">
        <f>-SUMIFS([7]BV_Data_An_Cour!$O:$O,[7]BV_Data_An_Cour!$U:$U,$B371,[7]BV_Data_An_Cour!$V:$V,$C371,[7]BV_Data_An_Cour!$W:$W,$L$2)</f>
        <v>0</v>
      </c>
      <c r="M371" s="42"/>
      <c r="N371" s="60">
        <f t="shared" si="120"/>
        <v>0</v>
      </c>
      <c r="O371" s="42"/>
      <c r="P371" s="14"/>
      <c r="Q371" s="23">
        <f>-SUMIFS([7]BV_Data_An_Prec!$O:$O,[7]BV_Data_An_Prec!$U:$U,$B371,[7]BV_Data_An_Prec!$V:$V,$C371,[7]BV_Data_An_Prec!$W:$W,$L$2)</f>
        <v>0</v>
      </c>
      <c r="R371" s="42"/>
      <c r="S371" s="86">
        <f t="shared" si="121"/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16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+INDEX('[7]Budget original'!$A$2:$AO$496,MATCH($A372,'[7]Budget original'!$A$2:$A$496,0),MATCH(F$2,'[7]Budget original'!$A$2:$AO$2,0))</f>
        <v>0</v>
      </c>
      <c r="G372" s="112"/>
      <c r="H372" s="111"/>
      <c r="I372" s="31">
        <f>+INDEX('[7]Budget révisé'!$A$2:$AO$496,MATCH($A372,'[7]Budget révisé'!$A$2:$A$496,0),MATCH(I$2,'[7]Budget révisé'!$A$2:$AO$2,0))</f>
        <v>0</v>
      </c>
      <c r="J372" s="113"/>
      <c r="K372" s="111"/>
      <c r="L372" s="34">
        <f>-SUMIFS([7]BV_Data_An_Cour!$O:$O,[7]BV_Data_An_Cour!$U:$U,$B372,[7]BV_Data_An_Cour!$V:$V,$C372,[7]BV_Data_An_Cour!$W:$W,$L$2)</f>
        <v>0</v>
      </c>
      <c r="M372" s="113"/>
      <c r="N372" s="115">
        <f t="shared" si="120"/>
        <v>0</v>
      </c>
      <c r="O372" s="113"/>
      <c r="P372" s="111"/>
      <c r="Q372" s="34">
        <f>-SUMIFS([7]BV_Data_An_Prec!$O:$O,[7]BV_Data_An_Prec!$U:$U,$B372,[7]BV_Data_An_Prec!$V:$V,$C372,[7]BV_Data_An_Prec!$W:$W,$L$2)</f>
        <v>0</v>
      </c>
      <c r="R372" s="113"/>
      <c r="S372" s="116">
        <f t="shared" si="121"/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16"/>
        <v>BoutiqueBénéfices marginaux</v>
      </c>
      <c r="B373" s="12" t="s">
        <v>120</v>
      </c>
      <c r="C373" s="108" t="s">
        <v>48</v>
      </c>
      <c r="D373" s="82"/>
      <c r="E373" s="14"/>
      <c r="F373" s="31">
        <f>+INDEX('[7]Budget original'!$A$2:$AO$496,MATCH($A373,'[7]Budget original'!$A$2:$A$496,0),MATCH(F$2,'[7]Budget original'!$A$2:$AO$2,0))</f>
        <v>0</v>
      </c>
      <c r="G373" s="84"/>
      <c r="H373" s="14"/>
      <c r="I373" s="31">
        <f>+INDEX('[7]Budget révisé'!$A$2:$AO$496,MATCH($A373,'[7]Budget révisé'!$A$2:$A$496,0),MATCH(I$2,'[7]Budget révisé'!$A$2:$AO$2,0))</f>
        <v>0</v>
      </c>
      <c r="J373" s="42"/>
      <c r="K373" s="14"/>
      <c r="L373" s="34">
        <f>-SUMIFS([7]BV_Data_An_Cour!$O:$O,[7]BV_Data_An_Cour!$U:$U,$B373,[7]BV_Data_An_Cour!$V:$V,$C373,[7]BV_Data_An_Cour!$W:$W,$L$2)</f>
        <v>0</v>
      </c>
      <c r="M373" s="42"/>
      <c r="N373" s="60">
        <f t="shared" si="120"/>
        <v>0</v>
      </c>
      <c r="O373" s="42"/>
      <c r="P373" s="14"/>
      <c r="Q373" s="34">
        <f>-SUMIFS([7]BV_Data_An_Prec!$O:$O,[7]BV_Data_An_Prec!$U:$U,$B373,[7]BV_Data_An_Prec!$V:$V,$C373,[7]BV_Data_An_Prec!$W:$W,$L$2)</f>
        <v>0</v>
      </c>
      <c r="R373" s="42"/>
      <c r="S373" s="86">
        <f t="shared" si="121"/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16"/>
        <v>BoutiqueCsst</v>
      </c>
      <c r="B374" s="12" t="s">
        <v>120</v>
      </c>
      <c r="C374" s="108" t="s">
        <v>49</v>
      </c>
      <c r="D374" s="82"/>
      <c r="E374" s="14"/>
      <c r="F374" s="31">
        <f>+INDEX('[7]Budget original'!$A$2:$AO$496,MATCH($A374,'[7]Budget original'!$A$2:$A$496,0),MATCH(F$2,'[7]Budget original'!$A$2:$AO$2,0))</f>
        <v>0</v>
      </c>
      <c r="G374" s="84"/>
      <c r="H374" s="14"/>
      <c r="I374" s="31">
        <f>+INDEX('[7]Budget révisé'!$A$2:$AO$496,MATCH($A374,'[7]Budget révisé'!$A$2:$A$496,0),MATCH(I$2,'[7]Budget révisé'!$A$2:$AO$2,0))</f>
        <v>0</v>
      </c>
      <c r="J374" s="42"/>
      <c r="K374" s="14"/>
      <c r="L374" s="34">
        <f>-SUMIFS([7]BV_Data_An_Cour!$O:$O,[7]BV_Data_An_Cour!$U:$U,$B374,[7]BV_Data_An_Cour!$V:$V,$C374,[7]BV_Data_An_Cour!$W:$W,$L$2)</f>
        <v>0</v>
      </c>
      <c r="M374" s="42"/>
      <c r="N374" s="60">
        <f t="shared" si="120"/>
        <v>0</v>
      </c>
      <c r="O374" s="42"/>
      <c r="P374" s="14"/>
      <c r="Q374" s="34">
        <f>-SUMIFS([7]BV_Data_An_Prec!$O:$O,[7]BV_Data_An_Prec!$U:$U,$B374,[7]BV_Data_An_Prec!$V:$V,$C374,[7]BV_Data_An_Prec!$W:$W,$L$2)</f>
        <v>0</v>
      </c>
      <c r="R374" s="42"/>
      <c r="S374" s="86">
        <f t="shared" si="121"/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6"/>
        <v>Boutique[...]</v>
      </c>
      <c r="B375" s="12" t="s">
        <v>120</v>
      </c>
      <c r="C375" s="30" t="s">
        <v>21</v>
      </c>
      <c r="D375" s="89"/>
      <c r="E375" s="117"/>
      <c r="F375" s="31">
        <f>+INDEX('[7]Budget original'!$A$2:$AO$496,MATCH($A375,'[7]Budget original'!$A$2:$A$496,0),MATCH(F$2,'[7]Budget original'!$A$2:$AO$2,0))</f>
        <v>0</v>
      </c>
      <c r="G375" s="91"/>
      <c r="H375" s="117"/>
      <c r="I375" s="31">
        <f>+INDEX('[7]Budget révisé'!$A$2:$AO$496,MATCH($A375,'[7]Budget révisé'!$A$2:$A$496,0),MATCH(I$2,'[7]Budget révisé'!$A$2:$AO$2,0))</f>
        <v>0</v>
      </c>
      <c r="J375" s="24"/>
      <c r="K375" s="117"/>
      <c r="L375" s="34">
        <f>-SUMIFS([7]BV_Data_An_Cour!$O:$O,[7]BV_Data_An_Cour!$U:$U,$B375,[7]BV_Data_An_Cour!$V:$V,$C375,[7]BV_Data_An_Cour!$W:$W,$L$2)</f>
        <v>0</v>
      </c>
      <c r="M375" s="24"/>
      <c r="N375" s="94">
        <f t="shared" si="120"/>
        <v>0</v>
      </c>
      <c r="O375" s="24"/>
      <c r="P375" s="117"/>
      <c r="Q375" s="34">
        <f>-SUMIFS([7]BV_Data_An_Prec!$O:$O,[7]BV_Data_An_Prec!$U:$U,$B375,[7]BV_Data_An_Prec!$V:$V,$C375,[7]BV_Data_An_Prec!$W:$W,$L$2)</f>
        <v>0</v>
      </c>
      <c r="R375" s="24"/>
      <c r="S375" s="95">
        <f t="shared" si="121"/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16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20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21"/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16"/>
        <v>BoutiquePublicité 2</v>
      </c>
      <c r="B377" s="12" t="s">
        <v>120</v>
      </c>
      <c r="C377" s="221" t="s">
        <v>51</v>
      </c>
      <c r="D377" s="82"/>
      <c r="E377" s="14"/>
      <c r="F377" s="31">
        <f>+INDEX('[7]Budget original'!$A$2:$AO$496,MATCH($A377,'[7]Budget original'!$A$2:$A$496,0),MATCH(F$2,'[7]Budget original'!$A$2:$AO$2,0))</f>
        <v>0</v>
      </c>
      <c r="G377" s="84"/>
      <c r="H377" s="14"/>
      <c r="I377" s="31">
        <f>+INDEX('[7]Budget révisé'!$A$2:$AO$496,MATCH($A377,'[7]Budget révisé'!$A$2:$A$496,0),MATCH(I$2,'[7]Budget révisé'!$A$2:$AO$2,0))</f>
        <v>0</v>
      </c>
      <c r="J377" s="42"/>
      <c r="K377" s="14"/>
      <c r="L377" s="34">
        <f>-SUMIFS([7]BV_Data_An_Cour!$O:$O,[7]BV_Data_An_Cour!$U:$U,$B377,[7]BV_Data_An_Cour!$V:$V,$C377,[7]BV_Data_An_Cour!$W:$W,$L$2)</f>
        <v>0</v>
      </c>
      <c r="M377" s="42"/>
      <c r="N377" s="60">
        <f t="shared" si="120"/>
        <v>0</v>
      </c>
      <c r="O377" s="42"/>
      <c r="P377" s="14"/>
      <c r="Q377" s="34">
        <f>-SUMIFS([7]BV_Data_An_Prec!$O:$O,[7]BV_Data_An_Prec!$U:$U,$B377,[7]BV_Data_An_Prec!$V:$V,$C377,[7]BV_Data_An_Prec!$W:$W,$L$2)</f>
        <v>0</v>
      </c>
      <c r="R377" s="42"/>
      <c r="S377" s="86">
        <f t="shared" si="121"/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16"/>
        <v>BoutiqueService gratuit 2</v>
      </c>
      <c r="B378" s="12" t="s">
        <v>120</v>
      </c>
      <c r="C378" s="108" t="s">
        <v>52</v>
      </c>
      <c r="D378" s="82"/>
      <c r="E378" s="14"/>
      <c r="F378" s="31">
        <f>+INDEX('[7]Budget original'!$A$2:$AO$496,MATCH($A378,'[7]Budget original'!$A$2:$A$496,0),MATCH(F$2,'[7]Budget original'!$A$2:$AO$2,0))</f>
        <v>0</v>
      </c>
      <c r="G378" s="84"/>
      <c r="H378" s="14"/>
      <c r="I378" s="31">
        <f>+INDEX('[7]Budget révisé'!$A$2:$AO$496,MATCH($A378,'[7]Budget révisé'!$A$2:$A$496,0),MATCH(I$2,'[7]Budget révisé'!$A$2:$AO$2,0))</f>
        <v>0</v>
      </c>
      <c r="J378" s="42"/>
      <c r="K378" s="14"/>
      <c r="L378" s="34">
        <f>-SUMIFS([7]BV_Data_An_Cour!$O:$O,[7]BV_Data_An_Cour!$U:$U,$B378,[7]BV_Data_An_Cour!$V:$V,$C378,[7]BV_Data_An_Cour!$W:$W,$L$2)</f>
        <v>0</v>
      </c>
      <c r="M378" s="42"/>
      <c r="N378" s="60">
        <f t="shared" si="120"/>
        <v>0</v>
      </c>
      <c r="O378" s="42"/>
      <c r="P378" s="14"/>
      <c r="Q378" s="34">
        <f>-SUMIFS([7]BV_Data_An_Prec!$O:$O,[7]BV_Data_An_Prec!$U:$U,$B378,[7]BV_Data_An_Prec!$V:$V,$C378,[7]BV_Data_An_Prec!$W:$W,$L$2)</f>
        <v>0</v>
      </c>
      <c r="R378" s="42"/>
      <c r="S378" s="86">
        <f t="shared" si="121"/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16"/>
        <v>BoutiqueFrais véhicules de cie</v>
      </c>
      <c r="B379" s="12" t="s">
        <v>120</v>
      </c>
      <c r="C379" s="109" t="s">
        <v>53</v>
      </c>
      <c r="D379" s="89"/>
      <c r="E379" s="117"/>
      <c r="F379" s="23">
        <f>+INDEX('[7]Budget original'!$A$2:$AO$496,MATCH($A379,'[7]Budget original'!$A$2:$A$496,0),MATCH(F$2,'[7]Budget original'!$A$2:$AO$2,0))</f>
        <v>0</v>
      </c>
      <c r="G379" s="91"/>
      <c r="H379" s="117"/>
      <c r="I379" s="23">
        <f>+INDEX('[7]Budget révisé'!$A$2:$AO$496,MATCH($A379,'[7]Budget révisé'!$A$2:$A$496,0),MATCH(I$2,'[7]Budget révisé'!$A$2:$AO$2,0))</f>
        <v>0</v>
      </c>
      <c r="J379" s="24"/>
      <c r="K379" s="117"/>
      <c r="L379" s="23">
        <f>-SUMIFS([7]BV_Data_An_Cour!$O:$O,[7]BV_Data_An_Cour!$U:$U,$B379,[7]BV_Data_An_Cour!$V:$V,$C379,[7]BV_Data_An_Cour!$W:$W,$L$2)</f>
        <v>0</v>
      </c>
      <c r="M379" s="24"/>
      <c r="N379" s="94">
        <f t="shared" si="120"/>
        <v>0</v>
      </c>
      <c r="O379" s="24"/>
      <c r="P379" s="117"/>
      <c r="Q379" s="23">
        <f>-SUMIFS([7]BV_Data_An_Prec!$O:$O,[7]BV_Data_An_Prec!$U:$U,$B379,[7]BV_Data_An_Prec!$V:$V,$C379,[7]BV_Data_An_Prec!$W:$W,$L$2)</f>
        <v>0</v>
      </c>
      <c r="R379" s="24"/>
      <c r="S379" s="95">
        <f t="shared" si="121"/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16"/>
        <v>BoutiqueInformatique</v>
      </c>
      <c r="B380" s="12" t="s">
        <v>120</v>
      </c>
      <c r="C380" s="108" t="s">
        <v>54</v>
      </c>
      <c r="D380" s="82"/>
      <c r="E380" s="14"/>
      <c r="F380" s="31">
        <f>+INDEX('[7]Budget original'!$A$2:$AO$496,MATCH($A380,'[7]Budget original'!$A$2:$A$496,0),MATCH(F$2,'[7]Budget original'!$A$2:$AO$2,0))</f>
        <v>0</v>
      </c>
      <c r="G380" s="84"/>
      <c r="H380" s="14"/>
      <c r="I380" s="31">
        <f>+INDEX('[7]Budget révisé'!$A$2:$AO$496,MATCH($A380,'[7]Budget révisé'!$A$2:$A$496,0),MATCH(I$2,'[7]Budget révisé'!$A$2:$AO$2,0))</f>
        <v>0</v>
      </c>
      <c r="J380" s="42"/>
      <c r="K380" s="14"/>
      <c r="L380" s="34">
        <f>-SUMIFS([7]BV_Data_An_Cour!$O:$O,[7]BV_Data_An_Cour!$U:$U,$B380,[7]BV_Data_An_Cour!$V:$V,$C380,[7]BV_Data_An_Cour!$W:$W,$L$2)</f>
        <v>0</v>
      </c>
      <c r="M380" s="42"/>
      <c r="N380" s="60">
        <f t="shared" si="120"/>
        <v>0</v>
      </c>
      <c r="O380" s="42"/>
      <c r="P380" s="14"/>
      <c r="Q380" s="34">
        <f>-SUMIFS([7]BV_Data_An_Prec!$O:$O,[7]BV_Data_An_Prec!$U:$U,$B380,[7]BV_Data_An_Prec!$V:$V,$C380,[7]BV_Data_An_Prec!$W:$W,$L$2)</f>
        <v>0</v>
      </c>
      <c r="R380" s="42"/>
      <c r="S380" s="86">
        <f t="shared" si="121"/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16"/>
        <v>BoutiqueFrais de déplacement</v>
      </c>
      <c r="B381" s="12" t="s">
        <v>120</v>
      </c>
      <c r="C381" s="108" t="s">
        <v>55</v>
      </c>
      <c r="D381" s="82"/>
      <c r="E381" s="14"/>
      <c r="F381" s="31">
        <f>+INDEX('[7]Budget original'!$A$2:$AO$496,MATCH($A381,'[7]Budget original'!$A$2:$A$496,0),MATCH(F$2,'[7]Budget original'!$A$2:$AO$2,0))</f>
        <v>0</v>
      </c>
      <c r="G381" s="84"/>
      <c r="H381" s="14"/>
      <c r="I381" s="31">
        <f>+INDEX('[7]Budget révisé'!$A$2:$AO$496,MATCH($A381,'[7]Budget révisé'!$A$2:$A$496,0),MATCH(I$2,'[7]Budget révisé'!$A$2:$AO$2,0))</f>
        <v>0</v>
      </c>
      <c r="J381" s="42"/>
      <c r="K381" s="14"/>
      <c r="L381" s="34">
        <f>-SUMIFS([7]BV_Data_An_Cour!$O:$O,[7]BV_Data_An_Cour!$U:$U,$B381,[7]BV_Data_An_Cour!$V:$V,$C381,[7]BV_Data_An_Cour!$W:$W,$L$2)</f>
        <v>0</v>
      </c>
      <c r="M381" s="42"/>
      <c r="N381" s="60">
        <f t="shared" si="120"/>
        <v>0</v>
      </c>
      <c r="O381" s="42"/>
      <c r="P381" s="14"/>
      <c r="Q381" s="34">
        <f>-SUMIFS([7]BV_Data_An_Prec!$O:$O,[7]BV_Data_An_Prec!$U:$U,$B381,[7]BV_Data_An_Prec!$V:$V,$C381,[7]BV_Data_An_Prec!$W:$W,$L$2)</f>
        <v>0</v>
      </c>
      <c r="R381" s="42"/>
      <c r="S381" s="86">
        <f t="shared" si="121"/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16"/>
        <v>BoutiqueServices extérieurs</v>
      </c>
      <c r="B382" s="12" t="s">
        <v>120</v>
      </c>
      <c r="C382" s="108" t="s">
        <v>56</v>
      </c>
      <c r="D382" s="89"/>
      <c r="E382" s="117"/>
      <c r="F382" s="23">
        <f>+INDEX('[7]Budget original'!$A$2:$AO$496,MATCH($A382,'[7]Budget original'!$A$2:$A$496,0),MATCH(F$2,'[7]Budget original'!$A$2:$AO$2,0))</f>
        <v>0</v>
      </c>
      <c r="G382" s="91"/>
      <c r="H382" s="117"/>
      <c r="I382" s="23">
        <f>+INDEX('[7]Budget révisé'!$A$2:$AO$496,MATCH($A382,'[7]Budget révisé'!$A$2:$A$496,0),MATCH(I$2,'[7]Budget révisé'!$A$2:$AO$2,0))</f>
        <v>0</v>
      </c>
      <c r="J382" s="24"/>
      <c r="K382" s="117"/>
      <c r="L382" s="23">
        <f>-SUMIFS([7]BV_Data_An_Cour!$O:$O,[7]BV_Data_An_Cour!$U:$U,$B382,[7]BV_Data_An_Cour!$V:$V,$C382,[7]BV_Data_An_Cour!$W:$W,$L$2)</f>
        <v>0</v>
      </c>
      <c r="M382" s="24"/>
      <c r="N382" s="94">
        <f t="shared" si="120"/>
        <v>0</v>
      </c>
      <c r="O382" s="24"/>
      <c r="P382" s="117"/>
      <c r="Q382" s="23">
        <f>-SUMIFS([7]BV_Data_An_Prec!$O:$O,[7]BV_Data_An_Prec!$U:$U,$B382,[7]BV_Data_An_Prec!$V:$V,$C382,[7]BV_Data_An_Prec!$W:$W,$L$2)</f>
        <v>0</v>
      </c>
      <c r="R382" s="24"/>
      <c r="S382" s="95">
        <f t="shared" si="121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16"/>
        <v>BoutiqueFournitures autres</v>
      </c>
      <c r="B383" s="12" t="s">
        <v>120</v>
      </c>
      <c r="C383" s="221" t="s">
        <v>57</v>
      </c>
      <c r="D383" s="82"/>
      <c r="E383" s="14"/>
      <c r="F383" s="31">
        <f>+INDEX('[7]Budget original'!$A$2:$AO$496,MATCH($A383,'[7]Budget original'!$A$2:$A$496,0),MATCH(F$2,'[7]Budget original'!$A$2:$AO$2,0))</f>
        <v>0</v>
      </c>
      <c r="G383" s="84"/>
      <c r="H383" s="14"/>
      <c r="I383" s="31">
        <f>+INDEX('[7]Budget révisé'!$A$2:$AO$496,MATCH($A383,'[7]Budget révisé'!$A$2:$A$496,0),MATCH(I$2,'[7]Budget révisé'!$A$2:$AO$2,0))</f>
        <v>0</v>
      </c>
      <c r="J383" s="42"/>
      <c r="K383" s="14"/>
      <c r="L383" s="34">
        <f>-SUMIFS([7]BV_Data_An_Cour!$O:$O,[7]BV_Data_An_Cour!$U:$U,$B383,[7]BV_Data_An_Cour!$V:$V,$C383,[7]BV_Data_An_Cour!$W:$W,$L$2)</f>
        <v>0</v>
      </c>
      <c r="M383" s="42"/>
      <c r="N383" s="60">
        <f t="shared" si="120"/>
        <v>0</v>
      </c>
      <c r="O383" s="42"/>
      <c r="P383" s="14"/>
      <c r="Q383" s="34">
        <f>-SUMIFS([7]BV_Data_An_Prec!$O:$O,[7]BV_Data_An_Prec!$U:$U,$B383,[7]BV_Data_An_Prec!$V:$V,$C383,[7]BV_Data_An_Prec!$W:$W,$L$2)</f>
        <v>0</v>
      </c>
      <c r="R383" s="42"/>
      <c r="S383" s="86">
        <f t="shared" si="121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16"/>
        <v>BoutiqueUniformes</v>
      </c>
      <c r="B384" s="12" t="s">
        <v>120</v>
      </c>
      <c r="C384" s="108" t="s">
        <v>58</v>
      </c>
      <c r="D384" s="82"/>
      <c r="E384" s="14"/>
      <c r="F384" s="31">
        <f>+INDEX('[7]Budget original'!$A$2:$AO$496,MATCH($A384,'[7]Budget original'!$A$2:$A$496,0),MATCH(F$2,'[7]Budget original'!$A$2:$AO$2,0))</f>
        <v>0</v>
      </c>
      <c r="G384" s="84"/>
      <c r="H384" s="14"/>
      <c r="I384" s="31">
        <f>+INDEX('[7]Budget révisé'!$A$2:$AO$496,MATCH($A384,'[7]Budget révisé'!$A$2:$A$496,0),MATCH(I$2,'[7]Budget révisé'!$A$2:$AO$2,0))</f>
        <v>0</v>
      </c>
      <c r="J384" s="42"/>
      <c r="K384" s="14"/>
      <c r="L384" s="34">
        <f>-SUMIFS([7]BV_Data_An_Cour!$O:$O,[7]BV_Data_An_Cour!$U:$U,$B384,[7]BV_Data_An_Cour!$V:$V,$C384,[7]BV_Data_An_Cour!$W:$W,$L$2)</f>
        <v>0</v>
      </c>
      <c r="M384" s="42"/>
      <c r="N384" s="60">
        <f t="shared" si="120"/>
        <v>0</v>
      </c>
      <c r="O384" s="42"/>
      <c r="P384" s="14"/>
      <c r="Q384" s="34">
        <f>-SUMIFS([7]BV_Data_An_Prec!$O:$O,[7]BV_Data_An_Prec!$U:$U,$B384,[7]BV_Data_An_Prec!$V:$V,$C384,[7]BV_Data_An_Prec!$W:$W,$L$2)</f>
        <v>0</v>
      </c>
      <c r="R384" s="42"/>
      <c r="S384" s="86">
        <f t="shared" si="121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16"/>
        <v>BoutiquePapeterie</v>
      </c>
      <c r="B385" s="12" t="s">
        <v>120</v>
      </c>
      <c r="C385" s="108" t="s">
        <v>59</v>
      </c>
      <c r="D385" s="82"/>
      <c r="E385" s="14"/>
      <c r="F385" s="31">
        <f>+INDEX('[7]Budget original'!$A$2:$AO$496,MATCH($A385,'[7]Budget original'!$A$2:$A$496,0),MATCH(F$2,'[7]Budget original'!$A$2:$AO$2,0))</f>
        <v>0</v>
      </c>
      <c r="G385" s="84"/>
      <c r="H385" s="14"/>
      <c r="I385" s="31">
        <f>+INDEX('[7]Budget révisé'!$A$2:$AO$496,MATCH($A385,'[7]Budget révisé'!$A$2:$A$496,0),MATCH(I$2,'[7]Budget révisé'!$A$2:$AO$2,0))</f>
        <v>0</v>
      </c>
      <c r="J385" s="42"/>
      <c r="K385" s="14"/>
      <c r="L385" s="34">
        <f>-SUMIFS([7]BV_Data_An_Cour!$O:$O,[7]BV_Data_An_Cour!$U:$U,$B385,[7]BV_Data_An_Cour!$V:$V,$C385,[7]BV_Data_An_Cour!$W:$W,$L$2)</f>
        <v>0</v>
      </c>
      <c r="M385" s="42"/>
      <c r="N385" s="60">
        <f t="shared" si="120"/>
        <v>0</v>
      </c>
      <c r="O385" s="42"/>
      <c r="P385" s="14"/>
      <c r="Q385" s="34">
        <f>-SUMIFS([7]BV_Data_An_Prec!$O:$O,[7]BV_Data_An_Prec!$U:$U,$B385,[7]BV_Data_An_Prec!$V:$V,$C385,[7]BV_Data_An_Prec!$W:$W,$L$2)</f>
        <v>0</v>
      </c>
      <c r="R385" s="42"/>
      <c r="S385" s="86">
        <f t="shared" si="121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16"/>
        <v>BoutiqueTéléphone</v>
      </c>
      <c r="B386" s="12" t="s">
        <v>120</v>
      </c>
      <c r="C386" s="108" t="s">
        <v>60</v>
      </c>
      <c r="D386" s="82"/>
      <c r="E386" s="14"/>
      <c r="F386" s="31">
        <f>+INDEX('[7]Budget original'!$A$2:$AO$496,MATCH($A386,'[7]Budget original'!$A$2:$A$496,0),MATCH(F$2,'[7]Budget original'!$A$2:$AO$2,0))</f>
        <v>0</v>
      </c>
      <c r="G386" s="84"/>
      <c r="H386" s="14"/>
      <c r="I386" s="31">
        <f>+INDEX('[7]Budget révisé'!$A$2:$AO$496,MATCH($A386,'[7]Budget révisé'!$A$2:$A$496,0),MATCH(I$2,'[7]Budget révisé'!$A$2:$AO$2,0))</f>
        <v>0</v>
      </c>
      <c r="J386" s="42"/>
      <c r="K386" s="14"/>
      <c r="L386" s="34">
        <f>-SUMIFS([7]BV_Data_An_Cour!$O:$O,[7]BV_Data_An_Cour!$U:$U,$B386,[7]BV_Data_An_Cour!$V:$V,$C386,[7]BV_Data_An_Cour!$W:$W,$L$2)</f>
        <v>0</v>
      </c>
      <c r="M386" s="42"/>
      <c r="N386" s="60">
        <f t="shared" si="120"/>
        <v>0</v>
      </c>
      <c r="O386" s="42"/>
      <c r="P386" s="14"/>
      <c r="Q386" s="34">
        <f>-SUMIFS([7]BV_Data_An_Prec!$O:$O,[7]BV_Data_An_Prec!$U:$U,$B386,[7]BV_Data_An_Prec!$V:$V,$C386,[7]BV_Data_An_Prec!$W:$W,$L$2)</f>
        <v>0</v>
      </c>
      <c r="R386" s="42"/>
      <c r="S386" s="86">
        <f t="shared" si="121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16"/>
        <v>BoutiqueFrais postaux</v>
      </c>
      <c r="B387" s="12" t="s">
        <v>120</v>
      </c>
      <c r="C387" s="108" t="s">
        <v>61</v>
      </c>
      <c r="D387" s="82"/>
      <c r="E387" s="14"/>
      <c r="F387" s="31">
        <f>+INDEX('[7]Budget original'!$A$2:$AO$496,MATCH($A387,'[7]Budget original'!$A$2:$A$496,0),MATCH(F$2,'[7]Budget original'!$A$2:$AO$2,0))</f>
        <v>0</v>
      </c>
      <c r="G387" s="84"/>
      <c r="H387" s="14"/>
      <c r="I387" s="31">
        <f>+INDEX('[7]Budget révisé'!$A$2:$AO$496,MATCH($A387,'[7]Budget révisé'!$A$2:$A$496,0),MATCH(I$2,'[7]Budget révisé'!$A$2:$AO$2,0))</f>
        <v>0</v>
      </c>
      <c r="J387" s="42"/>
      <c r="K387" s="14"/>
      <c r="L387" s="34">
        <f>-SUMIFS([7]BV_Data_An_Cour!$O:$O,[7]BV_Data_An_Cour!$U:$U,$B387,[7]BV_Data_An_Cour!$V:$V,$C387,[7]BV_Data_An_Cour!$W:$W,$L$2)</f>
        <v>0</v>
      </c>
      <c r="M387" s="42"/>
      <c r="N387" s="60">
        <f t="shared" si="120"/>
        <v>0</v>
      </c>
      <c r="O387" s="42"/>
      <c r="P387" s="14"/>
      <c r="Q387" s="34">
        <f>-SUMIFS([7]BV_Data_An_Prec!$O:$O,[7]BV_Data_An_Prec!$U:$U,$B387,[7]BV_Data_An_Prec!$V:$V,$C387,[7]BV_Data_An_Prec!$W:$W,$L$2)</f>
        <v>0</v>
      </c>
      <c r="R387" s="42"/>
      <c r="S387" s="86">
        <f t="shared" si="121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16"/>
        <v>BoutiqueDivers</v>
      </c>
      <c r="B388" s="12" t="s">
        <v>120</v>
      </c>
      <c r="C388" s="108" t="s">
        <v>62</v>
      </c>
      <c r="D388" s="82"/>
      <c r="E388" s="14"/>
      <c r="F388" s="31">
        <f>+INDEX('[7]Budget original'!$A$2:$AO$496,MATCH($A388,'[7]Budget original'!$A$2:$A$496,0),MATCH(F$2,'[7]Budget original'!$A$2:$AO$2,0))</f>
        <v>0</v>
      </c>
      <c r="G388" s="84"/>
      <c r="H388" s="14"/>
      <c r="I388" s="31">
        <f>+INDEX('[7]Budget révisé'!$A$2:$AO$496,MATCH($A388,'[7]Budget révisé'!$A$2:$A$496,0),MATCH(I$2,'[7]Budget révisé'!$A$2:$AO$2,0))</f>
        <v>0</v>
      </c>
      <c r="J388" s="42"/>
      <c r="K388" s="14"/>
      <c r="L388" s="34">
        <f>-SUMIFS([7]BV_Data_An_Cour!$O:$O,[7]BV_Data_An_Cour!$U:$U,$B388,[7]BV_Data_An_Cour!$V:$V,$C388,[7]BV_Data_An_Cour!$W:$W,$L$2)</f>
        <v>0</v>
      </c>
      <c r="M388" s="42"/>
      <c r="N388" s="60">
        <f t="shared" si="120"/>
        <v>0</v>
      </c>
      <c r="O388" s="42"/>
      <c r="P388" s="14"/>
      <c r="Q388" s="34">
        <f>-SUMIFS([7]BV_Data_An_Prec!$O:$O,[7]BV_Data_An_Prec!$U:$U,$B388,[7]BV_Data_An_Prec!$V:$V,$C388,[7]BV_Data_An_Prec!$W:$W,$L$2)</f>
        <v>0</v>
      </c>
      <c r="R388" s="42"/>
      <c r="S388" s="86">
        <f t="shared" si="121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16"/>
        <v>BoutiqueFormation</v>
      </c>
      <c r="B389" s="12" t="s">
        <v>120</v>
      </c>
      <c r="C389" s="108" t="s">
        <v>63</v>
      </c>
      <c r="D389" s="82"/>
      <c r="E389" s="14"/>
      <c r="F389" s="31">
        <f>+INDEX('[7]Budget original'!$A$2:$AO$496,MATCH($A389,'[7]Budget original'!$A$2:$A$496,0),MATCH(F$2,'[7]Budget original'!$A$2:$AO$2,0))</f>
        <v>0</v>
      </c>
      <c r="G389" s="84"/>
      <c r="H389" s="14"/>
      <c r="I389" s="31">
        <f>+INDEX('[7]Budget révisé'!$A$2:$AO$496,MATCH($A389,'[7]Budget révisé'!$A$2:$A$496,0),MATCH(I$2,'[7]Budget révisé'!$A$2:$AO$2,0))</f>
        <v>0</v>
      </c>
      <c r="J389" s="42"/>
      <c r="K389" s="14"/>
      <c r="L389" s="34">
        <f>-SUMIFS([7]BV_Data_An_Cour!$O:$O,[7]BV_Data_An_Cour!$U:$U,$B389,[7]BV_Data_An_Cour!$V:$V,$C389,[7]BV_Data_An_Cour!$W:$W,$L$2)</f>
        <v>0</v>
      </c>
      <c r="M389" s="42"/>
      <c r="N389" s="60">
        <f t="shared" si="120"/>
        <v>0</v>
      </c>
      <c r="O389" s="42"/>
      <c r="P389" s="14"/>
      <c r="Q389" s="34">
        <f>-SUMIFS([7]BV_Data_An_Prec!$O:$O,[7]BV_Data_An_Prec!$U:$U,$B389,[7]BV_Data_An_Prec!$V:$V,$C389,[7]BV_Data_An_Prec!$W:$W,$L$2)</f>
        <v>0</v>
      </c>
      <c r="R389" s="42"/>
      <c r="S389" s="86">
        <f t="shared" si="121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16"/>
        <v>BoutiqueFrais bancaires</v>
      </c>
      <c r="B390" s="12" t="s">
        <v>120</v>
      </c>
      <c r="C390" s="108" t="s">
        <v>64</v>
      </c>
      <c r="D390" s="82"/>
      <c r="E390" s="14"/>
      <c r="F390" s="31">
        <f>+INDEX('[7]Budget original'!$A$2:$AO$496,MATCH($A390,'[7]Budget original'!$A$2:$A$496,0),MATCH(F$2,'[7]Budget original'!$A$2:$AO$2,0))</f>
        <v>0</v>
      </c>
      <c r="G390" s="84"/>
      <c r="H390" s="14"/>
      <c r="I390" s="31">
        <f>+INDEX('[7]Budget révisé'!$A$2:$AO$496,MATCH($A390,'[7]Budget révisé'!$A$2:$A$496,0),MATCH(I$2,'[7]Budget révisé'!$A$2:$AO$2,0))</f>
        <v>0</v>
      </c>
      <c r="J390" s="42"/>
      <c r="K390" s="14"/>
      <c r="L390" s="34">
        <f>-SUMIFS([7]BV_Data_An_Cour!$O:$O,[7]BV_Data_An_Cour!$U:$U,$B390,[7]BV_Data_An_Cour!$V:$V,$C390,[7]BV_Data_An_Cour!$W:$W,$L$2)</f>
        <v>0</v>
      </c>
      <c r="M390" s="42"/>
      <c r="N390" s="60">
        <f t="shared" si="120"/>
        <v>0</v>
      </c>
      <c r="O390" s="42"/>
      <c r="P390" s="14"/>
      <c r="Q390" s="34">
        <f>-SUMIFS([7]BV_Data_An_Prec!$O:$O,[7]BV_Data_An_Prec!$U:$U,$B390,[7]BV_Data_An_Prec!$V:$V,$C390,[7]BV_Data_An_Prec!$W:$W,$L$2)</f>
        <v>0</v>
      </c>
      <c r="R390" s="42"/>
      <c r="S390" s="86">
        <f t="shared" si="121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6"/>
        <v>Boutique[...]</v>
      </c>
      <c r="B391" s="12" t="s">
        <v>120</v>
      </c>
      <c r="C391" s="108" t="s">
        <v>21</v>
      </c>
      <c r="D391" s="82"/>
      <c r="E391" s="14"/>
      <c r="F391" s="31">
        <f>+INDEX('[7]Budget original'!$A$2:$AO$496,MATCH($A391,'[7]Budget original'!$A$2:$A$496,0),MATCH(F$2,'[7]Budget original'!$A$2:$AO$2,0))</f>
        <v>0</v>
      </c>
      <c r="G391" s="84"/>
      <c r="H391" s="14"/>
      <c r="I391" s="31">
        <f>+INDEX('[7]Budget révisé'!$A$2:$AO$496,MATCH($A391,'[7]Budget révisé'!$A$2:$A$496,0),MATCH(I$2,'[7]Budget révisé'!$A$2:$AO$2,0))</f>
        <v>0</v>
      </c>
      <c r="J391" s="42"/>
      <c r="K391" s="14"/>
      <c r="L391" s="34">
        <f>-SUMIFS([7]BV_Data_An_Cour!$O:$O,[7]BV_Data_An_Cour!$U:$U,$B391,[7]BV_Data_An_Cour!$V:$V,$C391,[7]BV_Data_An_Cour!$W:$W,$L$2)</f>
        <v>0</v>
      </c>
      <c r="M391" s="42"/>
      <c r="N391" s="60">
        <f t="shared" si="120"/>
        <v>0</v>
      </c>
      <c r="O391" s="42"/>
      <c r="P391" s="14"/>
      <c r="Q391" s="34">
        <f>-SUMIFS([7]BV_Data_An_Prec!$O:$O,[7]BV_Data_An_Prec!$U:$U,$B391,[7]BV_Data_An_Prec!$V:$V,$C391,[7]BV_Data_An_Prec!$W:$W,$L$2)</f>
        <v>0</v>
      </c>
      <c r="R391" s="42"/>
      <c r="S391" s="86">
        <f t="shared" si="121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6"/>
        <v>Boutique[...]</v>
      </c>
      <c r="B392" s="12" t="s">
        <v>120</v>
      </c>
      <c r="C392" s="108" t="s">
        <v>21</v>
      </c>
      <c r="D392" s="82"/>
      <c r="E392" s="14"/>
      <c r="F392" s="31">
        <f>+INDEX('[7]Budget original'!$A$2:$AO$496,MATCH($A392,'[7]Budget original'!$A$2:$A$496,0),MATCH(F$2,'[7]Budget original'!$A$2:$AO$2,0))</f>
        <v>0</v>
      </c>
      <c r="G392" s="84"/>
      <c r="H392" s="14"/>
      <c r="I392" s="31">
        <f>+INDEX('[7]Budget révisé'!$A$2:$AO$496,MATCH($A392,'[7]Budget révisé'!$A$2:$A$496,0),MATCH(I$2,'[7]Budget révisé'!$A$2:$AO$2,0))</f>
        <v>0</v>
      </c>
      <c r="J392" s="42"/>
      <c r="K392" s="14"/>
      <c r="L392" s="34">
        <f>-SUMIFS([7]BV_Data_An_Cour!$O:$O,[7]BV_Data_An_Cour!$U:$U,$B392,[7]BV_Data_An_Cour!$V:$V,$C392,[7]BV_Data_An_Cour!$W:$W,$L$2)</f>
        <v>0</v>
      </c>
      <c r="M392" s="42"/>
      <c r="N392" s="60">
        <f t="shared" si="120"/>
        <v>0</v>
      </c>
      <c r="O392" s="42"/>
      <c r="P392" s="14"/>
      <c r="Q392" s="34">
        <f>-SUMIFS([7]BV_Data_An_Prec!$O:$O,[7]BV_Data_An_Prec!$U:$U,$B392,[7]BV_Data_An_Prec!$V:$V,$C392,[7]BV_Data_An_Prec!$W:$W,$L$2)</f>
        <v>0</v>
      </c>
      <c r="R392" s="42"/>
      <c r="S392" s="86">
        <f t="shared" si="121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6"/>
        <v>Boutique[...]</v>
      </c>
      <c r="B393" s="12" t="s">
        <v>120</v>
      </c>
      <c r="C393" s="108" t="s">
        <v>21</v>
      </c>
      <c r="D393" s="89"/>
      <c r="E393" s="117"/>
      <c r="F393" s="31">
        <f>+INDEX('[7]Budget original'!$A$2:$AO$496,MATCH($A393,'[7]Budget original'!$A$2:$A$496,0),MATCH(F$2,'[7]Budget original'!$A$2:$AO$2,0))</f>
        <v>0</v>
      </c>
      <c r="G393" s="91"/>
      <c r="H393" s="117"/>
      <c r="I393" s="31">
        <f>+INDEX('[7]Budget révisé'!$A$2:$AO$496,MATCH($A393,'[7]Budget révisé'!$A$2:$A$496,0),MATCH(I$2,'[7]Budget révisé'!$A$2:$AO$2,0))</f>
        <v>0</v>
      </c>
      <c r="J393" s="24"/>
      <c r="K393" s="117"/>
      <c r="L393" s="34">
        <f>-SUMIFS([7]BV_Data_An_Cour!$O:$O,[7]BV_Data_An_Cour!$U:$U,$B393,[7]BV_Data_An_Cour!$V:$V,$C393,[7]BV_Data_An_Cour!$W:$W,$L$2)</f>
        <v>0</v>
      </c>
      <c r="M393" s="24"/>
      <c r="N393" s="94">
        <f t="shared" si="120"/>
        <v>0</v>
      </c>
      <c r="O393" s="24"/>
      <c r="P393" s="117"/>
      <c r="Q393" s="34">
        <f>-SUMIFS([7]BV_Data_An_Prec!$O:$O,[7]BV_Data_An_Prec!$U:$U,$B393,[7]BV_Data_An_Prec!$V:$V,$C393,[7]BV_Data_An_Prec!$W:$W,$L$2)</f>
        <v>0</v>
      </c>
      <c r="R393" s="24"/>
      <c r="S393" s="95">
        <f t="shared" si="121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6"/>
      <c r="T395" s="257"/>
      <c r="U395" s="257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8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7"/>
      <c r="U396" s="257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6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9" t="s">
        <v>73</v>
      </c>
      <c r="D398" s="260"/>
      <c r="E398" s="260"/>
      <c r="F398" s="261">
        <f>F361-F396</f>
        <v>0</v>
      </c>
      <c r="G398" s="262"/>
      <c r="H398" s="260"/>
      <c r="I398" s="261">
        <f>I361-I396</f>
        <v>0</v>
      </c>
      <c r="J398" s="263"/>
      <c r="K398" s="264"/>
      <c r="L398" s="261">
        <f>L361-L396</f>
        <v>0</v>
      </c>
      <c r="M398" s="262"/>
      <c r="N398" s="261">
        <f>L398-I398</f>
        <v>0</v>
      </c>
      <c r="O398" s="263"/>
      <c r="P398" s="264"/>
      <c r="Q398" s="261">
        <f>Q361-Q396</f>
        <v>0</v>
      </c>
      <c r="R398" s="263"/>
      <c r="S398" s="265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 t="s">
        <v>219</v>
      </c>
      <c r="M400" s="14"/>
      <c r="N400" s="14"/>
      <c r="O400" s="14"/>
      <c r="P400" s="14"/>
      <c r="Q400" s="14"/>
      <c r="R400" s="11" t="s">
        <v>220</v>
      </c>
      <c r="S400" s="496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221</v>
      </c>
      <c r="M401" s="495">
        <f>L50</f>
        <v>12245.78</v>
      </c>
      <c r="N401" s="497">
        <f>I50/($I$50+$I$51+$I$52)</f>
        <v>0.53097345132743357</v>
      </c>
      <c r="O401" s="495">
        <f>($M$439*$O$405)*N401</f>
        <v>12037.774824213226</v>
      </c>
      <c r="P401" s="11"/>
      <c r="Q401" s="495">
        <f>O401-M401</f>
        <v>-208.005175786775</v>
      </c>
      <c r="R401" s="11">
        <v>6132</v>
      </c>
      <c r="S401" s="498">
        <f>Q401</f>
        <v>-208.005175786775</v>
      </c>
      <c r="T401" s="11"/>
      <c r="U401" s="11"/>
      <c r="V401" s="6" t="str">
        <f>C1</f>
        <v>Volks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6"/>
      <c r="AK401" s="2"/>
      <c r="AL401" s="1"/>
      <c r="AM401" s="6"/>
      <c r="AN401" s="6"/>
      <c r="AO401" s="5" t="str">
        <f>$S$1</f>
        <v>Réalisé, Juin 2021</v>
      </c>
      <c r="AP401" s="257"/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257"/>
      <c r="BA401" s="257"/>
      <c r="BB401" s="257"/>
      <c r="BC401" s="257"/>
      <c r="BD401" s="257"/>
      <c r="BE401" s="257"/>
      <c r="BF401" s="257"/>
      <c r="BG401" s="257"/>
      <c r="BH401" s="257"/>
      <c r="BI401" s="257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222</v>
      </c>
      <c r="M402" s="495">
        <f>L51</f>
        <v>8776.15</v>
      </c>
      <c r="N402" s="497">
        <f t="shared" ref="N402:N403" si="122">I51/($I$50+$I$51+$I$52)</f>
        <v>0.38053097345132741</v>
      </c>
      <c r="O402" s="495">
        <f t="shared" ref="O402:O404" si="123">($M$439*$O$405)*N402</f>
        <v>8627.0719573528131</v>
      </c>
      <c r="P402" s="499"/>
      <c r="Q402" s="495">
        <f t="shared" ref="Q402:Q403" si="124">O402-M402</f>
        <v>-149.07804264718652</v>
      </c>
      <c r="R402" s="11">
        <v>6139</v>
      </c>
      <c r="S402" s="498">
        <f>Q402</f>
        <v>-149.07804264718652</v>
      </c>
      <c r="T402" s="11"/>
      <c r="U402" s="11"/>
      <c r="V402" s="267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7"/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257"/>
      <c r="BA402" s="257"/>
      <c r="BB402" s="257"/>
      <c r="BC402" s="257"/>
      <c r="BD402" s="257"/>
      <c r="BE402" s="257"/>
      <c r="BF402" s="257"/>
      <c r="BG402" s="257"/>
      <c r="BH402" s="257"/>
      <c r="BI402" s="257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223</v>
      </c>
      <c r="M403" s="495">
        <f>L52</f>
        <v>2040.96</v>
      </c>
      <c r="N403" s="497">
        <f t="shared" si="122"/>
        <v>8.8495575221238937E-2</v>
      </c>
      <c r="O403" s="495">
        <f t="shared" si="123"/>
        <v>2006.2958040355379</v>
      </c>
      <c r="P403" s="499"/>
      <c r="Q403" s="495">
        <f t="shared" si="124"/>
        <v>-34.664195964462124</v>
      </c>
      <c r="R403" s="11">
        <v>6131</v>
      </c>
      <c r="S403" s="498">
        <f>Q403</f>
        <v>-34.664195964462124</v>
      </c>
      <c r="T403" s="11"/>
      <c r="U403" s="11"/>
      <c r="V403" s="268"/>
      <c r="W403" s="511"/>
      <c r="X403" s="524" t="s">
        <v>123</v>
      </c>
      <c r="Y403" s="517"/>
      <c r="Z403" s="525"/>
      <c r="AA403" s="516" t="s">
        <v>75</v>
      </c>
      <c r="AB403" s="517"/>
      <c r="AC403" s="525"/>
      <c r="AD403" s="516" t="s">
        <v>7</v>
      </c>
      <c r="AE403" s="517"/>
      <c r="AF403" s="525"/>
      <c r="AG403" s="516" t="s">
        <v>124</v>
      </c>
      <c r="AH403" s="517"/>
      <c r="AI403" s="525"/>
      <c r="AJ403" s="516" t="s">
        <v>125</v>
      </c>
      <c r="AK403" s="517"/>
      <c r="AL403" s="517"/>
      <c r="AM403" s="516" t="s">
        <v>126</v>
      </c>
      <c r="AN403" s="517"/>
      <c r="AO403" s="518"/>
      <c r="AP403" s="257"/>
      <c r="AQ403" s="257"/>
      <c r="AR403" s="257"/>
      <c r="AS403" s="257"/>
      <c r="AT403" s="257"/>
      <c r="AU403" s="257"/>
      <c r="AV403" s="257"/>
      <c r="AW403" s="257"/>
      <c r="AX403" s="257"/>
      <c r="AY403" s="257"/>
      <c r="AZ403" s="257"/>
      <c r="BA403" s="257"/>
      <c r="BB403" s="257"/>
      <c r="BC403" s="257"/>
      <c r="BD403" s="257"/>
      <c r="BE403" s="257"/>
      <c r="BF403" s="257"/>
      <c r="BG403" s="257"/>
      <c r="BH403" s="257"/>
      <c r="BI403" s="257"/>
    </row>
    <row r="404" spans="1:61" ht="15.75" customHeight="1">
      <c r="A404" t="str">
        <f t="shared" ref="A404:A483" si="125">+U404&amp;V404</f>
        <v/>
      </c>
      <c r="B404" s="7"/>
      <c r="C404" s="11"/>
      <c r="D404" s="11"/>
      <c r="E404" s="11"/>
      <c r="F404" s="11" t="s">
        <v>224</v>
      </c>
      <c r="G404" s="11"/>
      <c r="H404" s="11"/>
      <c r="I404" s="11"/>
      <c r="J404" s="11"/>
      <c r="M404" s="500"/>
      <c r="N404" s="501">
        <f>SUM(N401:N403)</f>
        <v>0.99999999999999989</v>
      </c>
      <c r="O404" s="495">
        <f t="shared" si="123"/>
        <v>22671.142585601574</v>
      </c>
      <c r="P404" s="499"/>
      <c r="Q404" s="502">
        <f>SUM(Q401:Q403)</f>
        <v>-391.74741439842364</v>
      </c>
      <c r="R404" s="11"/>
      <c r="S404" s="498"/>
      <c r="T404" s="11"/>
      <c r="U404" s="11"/>
      <c r="V404" s="88"/>
      <c r="W404" s="270" t="s">
        <v>127</v>
      </c>
      <c r="X404" s="270" t="s">
        <v>128</v>
      </c>
      <c r="Y404" s="270" t="s">
        <v>129</v>
      </c>
      <c r="Z404" s="271" t="s">
        <v>130</v>
      </c>
      <c r="AA404" s="270" t="s">
        <v>128</v>
      </c>
      <c r="AB404" s="270" t="s">
        <v>129</v>
      </c>
      <c r="AC404" s="271" t="s">
        <v>130</v>
      </c>
      <c r="AD404" s="272" t="s">
        <v>128</v>
      </c>
      <c r="AE404" s="270" t="s">
        <v>129</v>
      </c>
      <c r="AF404" s="270" t="s">
        <v>130</v>
      </c>
      <c r="AG404" s="272" t="s">
        <v>131</v>
      </c>
      <c r="AH404" s="270" t="s">
        <v>132</v>
      </c>
      <c r="AI404" s="270" t="s">
        <v>133</v>
      </c>
      <c r="AJ404" s="272" t="s">
        <v>128</v>
      </c>
      <c r="AK404" s="270" t="s">
        <v>129</v>
      </c>
      <c r="AL404" s="270" t="s">
        <v>130</v>
      </c>
      <c r="AM404" s="273" t="s">
        <v>131</v>
      </c>
      <c r="AN404" s="270" t="s">
        <v>132</v>
      </c>
      <c r="AO404" s="145" t="s">
        <v>133</v>
      </c>
      <c r="AP404" s="257"/>
      <c r="AQ404" s="257"/>
      <c r="AR404" s="257"/>
      <c r="AS404" s="257"/>
      <c r="AT404" s="257"/>
      <c r="AU404" s="257"/>
      <c r="AV404" s="257"/>
      <c r="AW404" s="257"/>
      <c r="AX404" s="257"/>
      <c r="AY404" s="257"/>
      <c r="AZ404" s="257"/>
      <c r="BA404" s="257"/>
      <c r="BB404" s="257"/>
      <c r="BC404" s="257"/>
      <c r="BD404" s="257"/>
      <c r="BE404" s="257"/>
      <c r="BF404" s="257"/>
      <c r="BG404" s="257"/>
      <c r="BH404" s="257"/>
      <c r="BI404" s="257"/>
    </row>
    <row r="405" spans="1:61" ht="15.75" customHeight="1">
      <c r="A405" t="str">
        <f t="shared" si="125"/>
        <v>Ventes nettes</v>
      </c>
      <c r="B405" s="7"/>
      <c r="C405" s="11"/>
      <c r="D405" s="11"/>
      <c r="E405" s="11"/>
      <c r="F405" s="11" t="s">
        <v>219</v>
      </c>
      <c r="G405" s="11"/>
      <c r="H405" s="11"/>
      <c r="I405" s="495">
        <f>L31+L32+L42+L43+L44+L45+K405</f>
        <v>107941.30000000002</v>
      </c>
      <c r="J405" s="503">
        <f t="shared" ref="J405:J410" si="126">I405/$I$410</f>
        <v>0.29420720779898651</v>
      </c>
      <c r="K405">
        <v>4800</v>
      </c>
      <c r="L405" s="11" t="s">
        <v>225</v>
      </c>
      <c r="M405" s="495">
        <f>SUM(M401:M403)</f>
        <v>23062.89</v>
      </c>
      <c r="N405" s="497">
        <f>M405/$M$439</f>
        <v>0.29929097949322087</v>
      </c>
      <c r="O405" s="497">
        <f>J405</f>
        <v>0.29420720779898651</v>
      </c>
      <c r="P405" s="499">
        <f>O405*$M$439</f>
        <v>22671.142585601578</v>
      </c>
      <c r="Q405" s="315">
        <f>P405-M405</f>
        <v>-391.74741439842182</v>
      </c>
      <c r="R405" s="257"/>
      <c r="S405" s="498"/>
      <c r="T405" s="257"/>
      <c r="U405" s="257"/>
      <c r="V405" s="109" t="s">
        <v>16</v>
      </c>
      <c r="W405" s="274"/>
      <c r="X405" s="274"/>
      <c r="Y405" s="274"/>
      <c r="Z405" s="275">
        <f>F5+F93+E193+E249+D313+D361</f>
        <v>2497685.4862042968</v>
      </c>
      <c r="AA405" s="274"/>
      <c r="AB405" s="274"/>
      <c r="AC405" s="275">
        <f>I5+I93+H193+H249+G313+G361</f>
        <v>2497685.4862042968</v>
      </c>
      <c r="AD405" s="276"/>
      <c r="AE405" s="277"/>
      <c r="AF405" s="277">
        <f>L5+L93+K193+K249+J313+J361</f>
        <v>5178134.8099999996</v>
      </c>
      <c r="AG405" s="276"/>
      <c r="AH405" s="277"/>
      <c r="AI405" s="278"/>
      <c r="AJ405" s="276"/>
      <c r="AK405" s="277"/>
      <c r="AL405" s="277">
        <f>Q5+Q93+P193+P249+O313+O361</f>
        <v>5268919.33</v>
      </c>
      <c r="AM405" s="279"/>
      <c r="AN405" s="277"/>
      <c r="AO405" s="280"/>
      <c r="AP405" s="257"/>
      <c r="AQ405" s="257"/>
      <c r="AR405" s="257"/>
      <c r="AS405" s="257"/>
      <c r="AT405" s="257"/>
      <c r="AU405" s="257"/>
      <c r="AV405" s="257"/>
      <c r="AW405" s="257"/>
      <c r="AX405" s="257"/>
      <c r="AY405" s="257"/>
      <c r="AZ405" s="257"/>
      <c r="BA405" s="257"/>
      <c r="BB405" s="257"/>
      <c r="BC405" s="257"/>
      <c r="BD405" s="257"/>
      <c r="BE405" s="257"/>
      <c r="BF405" s="257"/>
      <c r="BG405" s="257"/>
      <c r="BH405" s="257"/>
      <c r="BI405" s="257"/>
    </row>
    <row r="406" spans="1:61" ht="15.75" customHeight="1">
      <c r="A406" t="str">
        <f t="shared" si="125"/>
        <v>Profit brut</v>
      </c>
      <c r="B406" s="7"/>
      <c r="C406" s="11"/>
      <c r="D406" s="11"/>
      <c r="E406" s="11"/>
      <c r="F406" s="11" t="s">
        <v>225</v>
      </c>
      <c r="G406" s="11"/>
      <c r="H406" s="11"/>
      <c r="I406" s="495">
        <f>L111+L112+L122+L123+L124+L125+K406</f>
        <v>72736.929999999993</v>
      </c>
      <c r="J406" s="503">
        <f t="shared" si="126"/>
        <v>0.19825339401295267</v>
      </c>
      <c r="K406">
        <v>4125</v>
      </c>
      <c r="L406" s="11" t="s">
        <v>221</v>
      </c>
      <c r="M406" s="495">
        <f>L130</f>
        <v>7449.83</v>
      </c>
      <c r="N406" s="497">
        <f>I130/(I$130+I$131+I$132)</f>
        <v>0.53097345132743357</v>
      </c>
      <c r="O406" s="495">
        <f>($J$406*$M$439)*N406</f>
        <v>8111.7309569604895</v>
      </c>
      <c r="P406" s="499"/>
      <c r="Q406" s="495">
        <f>O406-M406</f>
        <v>661.90095696048957</v>
      </c>
      <c r="R406" s="257">
        <v>6232</v>
      </c>
      <c r="S406" s="498">
        <f>Q406</f>
        <v>661.90095696048957</v>
      </c>
      <c r="T406" s="257"/>
      <c r="U406" s="257"/>
      <c r="V406" s="281" t="s">
        <v>134</v>
      </c>
      <c r="W406" s="282"/>
      <c r="X406" s="282"/>
      <c r="Y406" s="282"/>
      <c r="Z406" s="283">
        <f>F27+F107+F193+F249+F313+F361</f>
        <v>526121.23533606844</v>
      </c>
      <c r="AA406" s="282"/>
      <c r="AB406" s="282"/>
      <c r="AC406" s="283">
        <f>I27+I107+I193+I249+I313+I361</f>
        <v>526121.23533606844</v>
      </c>
      <c r="AD406" s="284"/>
      <c r="AE406" s="285"/>
      <c r="AF406" s="285">
        <f>L27+L107+L193+L249+L313+L361</f>
        <v>621461.30000000005</v>
      </c>
      <c r="AG406" s="284"/>
      <c r="AH406" s="285">
        <f>AF406-AC406</f>
        <v>95340.064663931611</v>
      </c>
      <c r="AI406" s="286">
        <f>AH406/AC406</f>
        <v>0.18121310880567595</v>
      </c>
      <c r="AJ406" s="284"/>
      <c r="AK406" s="285"/>
      <c r="AL406" s="285">
        <f>Q27+Q107+Q193+Q249+Q313+Q361</f>
        <v>554370.64999999991</v>
      </c>
      <c r="AM406" s="287"/>
      <c r="AN406" s="285">
        <f>AF406-AL406</f>
        <v>67090.65000000014</v>
      </c>
      <c r="AO406" s="288">
        <f>IF(AL406=0,0,AN406/AL406)</f>
        <v>0.12102128783332983</v>
      </c>
      <c r="AP406" s="257"/>
      <c r="AQ406" s="257"/>
      <c r="AR406" s="257"/>
      <c r="AS406" s="257"/>
      <c r="AT406" s="257"/>
      <c r="AU406" s="257"/>
      <c r="AV406" s="257"/>
      <c r="AW406" s="257"/>
      <c r="AX406" s="257"/>
      <c r="AY406" s="257"/>
      <c r="AZ406" s="257"/>
      <c r="BA406" s="257"/>
      <c r="BB406" s="257"/>
      <c r="BC406" s="257"/>
      <c r="BD406" s="257"/>
      <c r="BE406" s="257"/>
      <c r="BF406" s="257"/>
      <c r="BG406" s="257"/>
      <c r="BH406" s="257"/>
      <c r="BI406" s="257"/>
    </row>
    <row r="407" spans="1:61" ht="15.75" customHeight="1">
      <c r="A407" t="str">
        <f t="shared" si="125"/>
        <v>DÉPENSES</v>
      </c>
      <c r="B407" s="7"/>
      <c r="C407" s="11"/>
      <c r="D407" s="11"/>
      <c r="E407" s="11"/>
      <c r="F407" s="11" t="s">
        <v>84</v>
      </c>
      <c r="G407" s="11"/>
      <c r="H407" s="11"/>
      <c r="I407" s="162">
        <f>(K193-L193)+L197+L198+L199+L200+K407</f>
        <v>145875.75</v>
      </c>
      <c r="J407" s="503">
        <f t="shared" si="126"/>
        <v>0.39760218834758332</v>
      </c>
      <c r="K407">
        <v>3500</v>
      </c>
      <c r="L407" s="11" t="s">
        <v>222</v>
      </c>
      <c r="M407" s="495">
        <f>L131</f>
        <v>5339.04</v>
      </c>
      <c r="N407" s="497">
        <f>I131/(I$130+I$131+I$132)</f>
        <v>0.38053097345132741</v>
      </c>
      <c r="O407" s="495">
        <f>($J$406*$M$439)*N407</f>
        <v>5813.4071858216848</v>
      </c>
      <c r="P407" s="499"/>
      <c r="Q407" s="495">
        <f t="shared" ref="Q407:Q408" si="127">O407-M407</f>
        <v>474.36718582168487</v>
      </c>
      <c r="R407" s="257">
        <v>6239</v>
      </c>
      <c r="S407" s="498">
        <f>Q407</f>
        <v>474.36718582168487</v>
      </c>
      <c r="T407" s="257"/>
      <c r="U407" s="257"/>
      <c r="V407" s="289" t="s">
        <v>135</v>
      </c>
      <c r="W407" s="290"/>
      <c r="X407" s="290"/>
      <c r="Y407" s="290"/>
      <c r="Z407" s="291"/>
      <c r="AA407" s="290"/>
      <c r="AB407" s="290"/>
      <c r="AC407" s="291"/>
      <c r="AD407" s="292"/>
      <c r="AE407" s="290"/>
      <c r="AF407" s="293"/>
      <c r="AG407" s="292"/>
      <c r="AH407" s="293"/>
      <c r="AI407" s="294"/>
      <c r="AJ407" s="292"/>
      <c r="AK407" s="290"/>
      <c r="AL407" s="293"/>
      <c r="AM407" s="295"/>
      <c r="AN407" s="293"/>
      <c r="AO407" s="296"/>
      <c r="AP407" s="257"/>
      <c r="AQ407" s="257"/>
      <c r="AR407" s="257"/>
      <c r="AS407" s="257"/>
      <c r="AT407" s="257"/>
      <c r="AU407" s="257"/>
      <c r="AV407" s="257"/>
      <c r="AW407" s="257"/>
      <c r="AX407" s="257"/>
      <c r="AY407" s="257"/>
      <c r="AZ407" s="257"/>
      <c r="BA407" s="257"/>
      <c r="BB407" s="257"/>
      <c r="BC407" s="257"/>
      <c r="BD407" s="257"/>
      <c r="BE407" s="257"/>
      <c r="BF407" s="257"/>
      <c r="BG407" s="257"/>
      <c r="BH407" s="257"/>
      <c r="BI407" s="257"/>
    </row>
    <row r="408" spans="1:61" ht="15.75" customHeight="1">
      <c r="A408" t="str">
        <f t="shared" si="125"/>
        <v>Comm. vendeurs</v>
      </c>
      <c r="B408" s="7"/>
      <c r="C408" s="11"/>
      <c r="D408" s="11"/>
      <c r="E408" s="11"/>
      <c r="F408" s="11" t="s">
        <v>226</v>
      </c>
      <c r="G408" s="11"/>
      <c r="H408" s="11"/>
      <c r="I408" s="495">
        <f>L253+L254+L255+L256+K408</f>
        <v>5599.57</v>
      </c>
      <c r="J408" s="503">
        <f t="shared" si="126"/>
        <v>1.526231252148131E-2</v>
      </c>
      <c r="K408">
        <v>0</v>
      </c>
      <c r="L408" s="11" t="s">
        <v>223</v>
      </c>
      <c r="M408" s="495">
        <f>L132</f>
        <v>1241.6400000000001</v>
      </c>
      <c r="N408" s="497">
        <f>I132/(I$130+I$131+I$132)</f>
        <v>8.8495575221238937E-2</v>
      </c>
      <c r="O408" s="495">
        <f>($J$406*$M$439)*N408</f>
        <v>1351.9551594934151</v>
      </c>
      <c r="P408" s="499"/>
      <c r="Q408" s="495">
        <f t="shared" si="127"/>
        <v>110.31515949341497</v>
      </c>
      <c r="R408" s="257">
        <v>6231</v>
      </c>
      <c r="S408" s="498">
        <f>Q408</f>
        <v>110.31515949341497</v>
      </c>
      <c r="T408" s="257"/>
      <c r="U408" s="257"/>
      <c r="V408" s="108" t="s">
        <v>32</v>
      </c>
      <c r="W408" s="297" t="s">
        <v>136</v>
      </c>
      <c r="X408" s="290"/>
      <c r="Y408" s="298">
        <f t="shared" ref="Y408:Y417" si="128">Z408/(D$13+D$96)</f>
        <v>336.4001401272713</v>
      </c>
      <c r="Z408" s="291">
        <f t="shared" ref="Z408:Z414" si="129">+SUMIF($C:$C,$V408,F:F)</f>
        <v>40220.503050962827</v>
      </c>
      <c r="AA408" s="290"/>
      <c r="AB408" s="298">
        <f t="shared" ref="AB408:AB417" si="130">IF(AC408=0,0,AC408/(G$13+G$96))</f>
        <v>424.41490550481171</v>
      </c>
      <c r="AC408" s="291">
        <f t="shared" ref="AC408:AC414" si="131">+SUMIF($C:$C,$V408,I:I)</f>
        <v>40220.503050962827</v>
      </c>
      <c r="AD408" s="299"/>
      <c r="AE408" s="298">
        <f t="shared" ref="AE408:AE413" si="132">IF(AF408=0,0,AF408/(J$13+J$96))</f>
        <v>637.366847826087</v>
      </c>
      <c r="AF408" s="291">
        <f t="shared" ref="AF408:AF414" si="133">+SUMIF($C:$C,$V408,L:L)</f>
        <v>58637.75</v>
      </c>
      <c r="AG408" s="292">
        <f t="shared" ref="AG408:AH417" si="134">AE408-AB408</f>
        <v>212.95194232127528</v>
      </c>
      <c r="AH408" s="293">
        <f t="shared" si="134"/>
        <v>18417.246949037173</v>
      </c>
      <c r="AI408" s="294">
        <f>IF(AC408=0,0,AH408/AC408)</f>
        <v>0.45790692686515982</v>
      </c>
      <c r="AJ408" s="299"/>
      <c r="AK408" s="293">
        <f t="shared" ref="AK408:AK417" si="135">AL408/(O$13+O$96)</f>
        <v>483.66208695652176</v>
      </c>
      <c r="AL408" s="291">
        <f t="shared" ref="AL408:AL414" si="136">+SUMIF($C:$C,$V408,Q:Q)</f>
        <v>55621.14</v>
      </c>
      <c r="AM408" s="295">
        <f t="shared" ref="AM408:AM417" si="137">AE408-Y408</f>
        <v>300.9667076988157</v>
      </c>
      <c r="AN408" s="293">
        <f t="shared" ref="AN408:AN430" si="138">AF408-AL408</f>
        <v>3016.6100000000006</v>
      </c>
      <c r="AO408" s="300">
        <f>IF(AL408=0,0,AN408/AL408)</f>
        <v>5.4234954551452927E-2</v>
      </c>
      <c r="AP408" s="257"/>
      <c r="AQ408" s="257"/>
      <c r="AR408" s="7"/>
      <c r="AS408" s="257"/>
      <c r="AT408" s="257"/>
      <c r="AU408" s="257"/>
      <c r="AV408" s="257"/>
      <c r="AW408" s="257"/>
      <c r="AX408" s="257"/>
      <c r="AY408" s="257"/>
      <c r="AZ408" s="257"/>
      <c r="BA408" s="257"/>
      <c r="BB408" s="257"/>
      <c r="BC408" s="257"/>
      <c r="BD408" s="257"/>
      <c r="BE408" s="257"/>
      <c r="BF408" s="257"/>
      <c r="BG408" s="257"/>
      <c r="BH408" s="257"/>
      <c r="BI408" s="257"/>
    </row>
    <row r="409" spans="1:61" ht="15.75" customHeight="1">
      <c r="A409" t="str">
        <f t="shared" si="125"/>
        <v>Comm. F&amp;I</v>
      </c>
      <c r="B409" s="7"/>
      <c r="C409" s="11"/>
      <c r="D409" s="11"/>
      <c r="E409" s="11"/>
      <c r="F409" s="11" t="s">
        <v>227</v>
      </c>
      <c r="G409" s="11"/>
      <c r="H409" s="11"/>
      <c r="I409" s="495">
        <f>L317+L318+L319+L320+K409</f>
        <v>34735.15</v>
      </c>
      <c r="J409" s="503">
        <f t="shared" si="126"/>
        <v>9.4674897318996198E-2</v>
      </c>
      <c r="K409">
        <v>500</v>
      </c>
      <c r="M409" s="500">
        <f>SUM(M406:M408)</f>
        <v>14030.509999999998</v>
      </c>
      <c r="N409" s="497">
        <f>SUM(N406:N408)</f>
        <v>0.99999999999999989</v>
      </c>
      <c r="O409" s="500">
        <f t="shared" ref="O409" si="139">SUM(O406:O408)</f>
        <v>15277.093302275589</v>
      </c>
      <c r="Q409" s="502">
        <f>SUM(Q406:Q408)</f>
        <v>1246.5833022755894</v>
      </c>
      <c r="R409" s="257"/>
      <c r="S409" s="498"/>
      <c r="T409" s="257"/>
      <c r="U409" s="257"/>
      <c r="V409" s="109" t="s">
        <v>33</v>
      </c>
      <c r="W409" s="301" t="s">
        <v>137</v>
      </c>
      <c r="X409" s="274"/>
      <c r="Y409" s="302">
        <f t="shared" si="128"/>
        <v>292.98558882322368</v>
      </c>
      <c r="Z409" s="275">
        <f t="shared" si="129"/>
        <v>35029.794472422989</v>
      </c>
      <c r="AA409" s="274"/>
      <c r="AB409" s="302">
        <f t="shared" si="130"/>
        <v>369.64149583182495</v>
      </c>
      <c r="AC409" s="275">
        <f t="shared" si="131"/>
        <v>35029.794472422989</v>
      </c>
      <c r="AD409" s="303"/>
      <c r="AE409" s="302">
        <f t="shared" si="132"/>
        <v>466.02695652173907</v>
      </c>
      <c r="AF409" s="275">
        <f t="shared" si="133"/>
        <v>42874.479999999996</v>
      </c>
      <c r="AG409" s="276">
        <f t="shared" si="134"/>
        <v>96.385460689914112</v>
      </c>
      <c r="AH409" s="277">
        <f t="shared" si="134"/>
        <v>7844.6855275770067</v>
      </c>
      <c r="AI409" s="304">
        <f t="shared" ref="AI409:AI417" si="140">IF(AC409=0,0,AH409/AC409)</f>
        <v>0.22394323591457813</v>
      </c>
      <c r="AJ409" s="303"/>
      <c r="AK409" s="277">
        <f t="shared" si="135"/>
        <v>290.57208695652173</v>
      </c>
      <c r="AL409" s="275">
        <f t="shared" si="136"/>
        <v>33415.79</v>
      </c>
      <c r="AM409" s="279">
        <f t="shared" si="137"/>
        <v>173.04136769851539</v>
      </c>
      <c r="AN409" s="277">
        <f t="shared" si="138"/>
        <v>9458.6899999999951</v>
      </c>
      <c r="AO409" s="305">
        <f t="shared" ref="AO409:AO417" si="141">IF(AL409=0,0,AN409/AL409)</f>
        <v>0.28306049325782795</v>
      </c>
      <c r="AP409" s="257"/>
      <c r="AQ409" s="257"/>
      <c r="AR409" s="14"/>
      <c r="AS409" s="257"/>
      <c r="AT409" s="257"/>
      <c r="AU409" s="257"/>
      <c r="AV409" s="257"/>
      <c r="AW409" s="257"/>
      <c r="AX409" s="257"/>
      <c r="AY409" s="257"/>
      <c r="AZ409" s="257"/>
      <c r="BA409" s="257"/>
      <c r="BB409" s="257"/>
      <c r="BC409" s="257"/>
      <c r="BD409" s="257"/>
      <c r="BE409" s="257"/>
      <c r="BF409" s="257"/>
      <c r="BG409" s="257"/>
      <c r="BH409" s="257"/>
      <c r="BI409" s="257"/>
    </row>
    <row r="410" spans="1:61" ht="15.75" customHeight="1">
      <c r="A410" t="str">
        <f t="shared" si="125"/>
        <v>Frais de livraison</v>
      </c>
      <c r="B410" s="7"/>
      <c r="C410" s="11"/>
      <c r="D410" s="11"/>
      <c r="E410" s="11"/>
      <c r="F410" s="11"/>
      <c r="G410" s="11"/>
      <c r="H410" s="11"/>
      <c r="I410" s="495">
        <f>SUM(I405:I409)</f>
        <v>366888.7</v>
      </c>
      <c r="J410" s="11">
        <f t="shared" si="126"/>
        <v>1</v>
      </c>
      <c r="L410" s="11" t="s">
        <v>84</v>
      </c>
      <c r="M410" s="500">
        <f>SUM(M406:M408)</f>
        <v>14030.509999999998</v>
      </c>
      <c r="N410" s="497">
        <f>M409/$M$439</f>
        <v>0.18207627407880927</v>
      </c>
      <c r="O410" s="497">
        <f>J406</f>
        <v>0.19825339401295267</v>
      </c>
      <c r="P410" s="499">
        <f>O410*$M$439</f>
        <v>15277.093302275591</v>
      </c>
      <c r="Q410" s="315">
        <f>P410-M409</f>
        <v>1246.5833022755924</v>
      </c>
      <c r="R410" s="257"/>
      <c r="S410" s="498"/>
      <c r="T410" s="257"/>
      <c r="U410" s="257"/>
      <c r="V410" s="108" t="s">
        <v>34</v>
      </c>
      <c r="W410" s="297" t="s">
        <v>138</v>
      </c>
      <c r="X410" s="290"/>
      <c r="Y410" s="298">
        <f t="shared" si="128"/>
        <v>123.56668651642919</v>
      </c>
      <c r="Z410" s="291">
        <f t="shared" si="129"/>
        <v>14773.817544044792</v>
      </c>
      <c r="AA410" s="290"/>
      <c r="AB410" s="298">
        <f t="shared" si="130"/>
        <v>155.89631907279187</v>
      </c>
      <c r="AC410" s="291">
        <f t="shared" si="131"/>
        <v>14773.817544044792</v>
      </c>
      <c r="AD410" s="299"/>
      <c r="AE410" s="298">
        <f t="shared" si="132"/>
        <v>147.69478260869565</v>
      </c>
      <c r="AF410" s="291">
        <f t="shared" si="133"/>
        <v>13587.919999999998</v>
      </c>
      <c r="AG410" s="292">
        <f t="shared" si="134"/>
        <v>-8.2015364640962218</v>
      </c>
      <c r="AH410" s="293">
        <f t="shared" si="134"/>
        <v>-1185.8975440447939</v>
      </c>
      <c r="AI410" s="294">
        <f t="shared" si="140"/>
        <v>-8.0270217261673146E-2</v>
      </c>
      <c r="AJ410" s="299"/>
      <c r="AK410" s="293">
        <f t="shared" si="135"/>
        <v>103.30347826086957</v>
      </c>
      <c r="AL410" s="291">
        <f t="shared" si="136"/>
        <v>11879.9</v>
      </c>
      <c r="AM410" s="295">
        <f t="shared" si="137"/>
        <v>24.12809609226646</v>
      </c>
      <c r="AN410" s="293">
        <f t="shared" si="138"/>
        <v>1708.0199999999986</v>
      </c>
      <c r="AO410" s="300">
        <f t="shared" si="141"/>
        <v>0.14377393749105621</v>
      </c>
      <c r="AP410" s="257"/>
      <c r="AQ410" s="257"/>
      <c r="AR410" s="14"/>
      <c r="AS410" s="257"/>
      <c r="AT410" s="257"/>
      <c r="AU410" s="257"/>
      <c r="AV410" s="257"/>
      <c r="AW410" s="257"/>
      <c r="AX410" s="257"/>
      <c r="AY410" s="257"/>
      <c r="AZ410" s="257"/>
      <c r="BA410" s="257"/>
      <c r="BB410" s="257"/>
      <c r="BC410" s="257"/>
      <c r="BD410" s="257"/>
      <c r="BE410" s="257"/>
      <c r="BF410" s="257"/>
      <c r="BG410" s="257"/>
      <c r="BH410" s="257"/>
      <c r="BI410" s="257"/>
    </row>
    <row r="411" spans="1:61" ht="15.75" customHeight="1">
      <c r="A411" t="str">
        <f t="shared" si="12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L411" s="11" t="s">
        <v>221</v>
      </c>
      <c r="M411" s="495">
        <f>L205</f>
        <v>16699.61</v>
      </c>
      <c r="N411" s="497">
        <f>$N$406</f>
        <v>0.53097345132743357</v>
      </c>
      <c r="O411" s="495">
        <f>($J$407*$M$439)*N411</f>
        <v>16268.281286340094</v>
      </c>
      <c r="P411" s="499"/>
      <c r="Q411" s="495">
        <f>O411-M411</f>
        <v>-431.3287136599065</v>
      </c>
      <c r="R411" s="257">
        <v>6432</v>
      </c>
      <c r="S411" s="498">
        <f>Q411</f>
        <v>-431.3287136599065</v>
      </c>
      <c r="T411" s="257"/>
      <c r="U411" s="257"/>
      <c r="V411" s="108" t="s">
        <v>35</v>
      </c>
      <c r="W411" s="297" t="s">
        <v>139</v>
      </c>
      <c r="X411" s="290"/>
      <c r="Y411" s="298">
        <f t="shared" si="128"/>
        <v>34.682304859255623</v>
      </c>
      <c r="Z411" s="291">
        <f t="shared" si="129"/>
        <v>4146.6681550083831</v>
      </c>
      <c r="AA411" s="290"/>
      <c r="AB411" s="298">
        <f t="shared" si="130"/>
        <v>43.756483377091051</v>
      </c>
      <c r="AC411" s="291">
        <f t="shared" si="131"/>
        <v>4146.6681550083831</v>
      </c>
      <c r="AD411" s="299"/>
      <c r="AE411" s="298">
        <f t="shared" si="132"/>
        <v>16.336847826086956</v>
      </c>
      <c r="AF411" s="291">
        <f t="shared" si="133"/>
        <v>1502.9899999999998</v>
      </c>
      <c r="AG411" s="292">
        <f t="shared" si="134"/>
        <v>-27.419635551004095</v>
      </c>
      <c r="AH411" s="293">
        <f t="shared" si="134"/>
        <v>-2643.6781550083833</v>
      </c>
      <c r="AI411" s="294">
        <f t="shared" si="140"/>
        <v>-0.63754273459652788</v>
      </c>
      <c r="AJ411" s="299"/>
      <c r="AK411" s="293">
        <f t="shared" si="135"/>
        <v>2.9229565217391302</v>
      </c>
      <c r="AL411" s="291">
        <f t="shared" si="136"/>
        <v>336.14</v>
      </c>
      <c r="AM411" s="295">
        <f t="shared" si="137"/>
        <v>-18.345457033168667</v>
      </c>
      <c r="AN411" s="293">
        <f t="shared" si="138"/>
        <v>1166.8499999999999</v>
      </c>
      <c r="AO411" s="306">
        <f t="shared" si="141"/>
        <v>3.4713214731956921</v>
      </c>
      <c r="AP411" s="257"/>
      <c r="AQ411" s="257" t="s">
        <v>247</v>
      </c>
      <c r="AR411" s="14"/>
      <c r="AS411" s="257"/>
      <c r="AT411" s="257"/>
      <c r="AU411" s="257"/>
      <c r="AV411" s="257"/>
      <c r="AW411" s="257"/>
      <c r="AX411" s="257"/>
      <c r="AY411" s="257"/>
      <c r="AZ411" s="257"/>
      <c r="BA411" s="257"/>
      <c r="BB411" s="257"/>
      <c r="BC411" s="257"/>
      <c r="BD411" s="257"/>
      <c r="BE411" s="257"/>
      <c r="BF411" s="257"/>
      <c r="BG411" s="257"/>
      <c r="BH411" s="257"/>
      <c r="BI411" s="257"/>
    </row>
    <row r="412" spans="1:61" ht="15.75" customHeight="1">
      <c r="A412" t="str">
        <f t="shared" si="12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L412" s="11" t="s">
        <v>222</v>
      </c>
      <c r="M412" s="495">
        <f>L206</f>
        <v>11968.05</v>
      </c>
      <c r="N412" s="497">
        <f>$N$407</f>
        <v>0.38053097345132741</v>
      </c>
      <c r="O412" s="495">
        <f>($J$407*$M$439)*N412</f>
        <v>11658.934921877068</v>
      </c>
      <c r="P412" s="499"/>
      <c r="Q412" s="495">
        <f t="shared" ref="Q412:Q413" si="142">O412-M412</f>
        <v>-309.11507812293166</v>
      </c>
      <c r="R412" s="257">
        <v>6439</v>
      </c>
      <c r="S412" s="498">
        <f>Q412</f>
        <v>-309.11507812293166</v>
      </c>
      <c r="T412" s="257"/>
      <c r="U412" s="257"/>
      <c r="V412" s="109" t="s">
        <v>36</v>
      </c>
      <c r="W412" s="301"/>
      <c r="X412" s="274"/>
      <c r="Y412" s="302">
        <f t="shared" si="128"/>
        <v>36.786415665768907</v>
      </c>
      <c r="Z412" s="275">
        <f t="shared" si="129"/>
        <v>4398.2387847974005</v>
      </c>
      <c r="AA412" s="274"/>
      <c r="AB412" s="302">
        <f t="shared" si="130"/>
        <v>46.411107684857775</v>
      </c>
      <c r="AC412" s="275">
        <f t="shared" si="131"/>
        <v>4398.2387847974005</v>
      </c>
      <c r="AD412" s="303"/>
      <c r="AE412" s="302">
        <f t="shared" si="132"/>
        <v>35.899456521739133</v>
      </c>
      <c r="AF412" s="275">
        <f t="shared" si="133"/>
        <v>3302.75</v>
      </c>
      <c r="AG412" s="276">
        <f t="shared" si="134"/>
        <v>-10.511651163118643</v>
      </c>
      <c r="AH412" s="277">
        <f t="shared" si="134"/>
        <v>-1095.4887847974005</v>
      </c>
      <c r="AI412" s="304">
        <f t="shared" si="140"/>
        <v>-0.24907442237651561</v>
      </c>
      <c r="AJ412" s="303"/>
      <c r="AK412" s="277">
        <f t="shared" si="135"/>
        <v>40.471043478260867</v>
      </c>
      <c r="AL412" s="275">
        <f t="shared" si="136"/>
        <v>4654.17</v>
      </c>
      <c r="AM412" s="279">
        <f t="shared" si="137"/>
        <v>-0.88695914402977394</v>
      </c>
      <c r="AN412" s="277">
        <f t="shared" si="138"/>
        <v>-1351.42</v>
      </c>
      <c r="AO412" s="305">
        <f t="shared" si="141"/>
        <v>-0.29036756285223791</v>
      </c>
      <c r="AP412" s="257"/>
      <c r="AQ412" s="257"/>
      <c r="AR412" s="14"/>
      <c r="AS412" s="257"/>
      <c r="AT412" s="257"/>
      <c r="AU412" s="257"/>
      <c r="AV412" s="257"/>
      <c r="AW412" s="257"/>
      <c r="AX412" s="257"/>
      <c r="AY412" s="257"/>
      <c r="AZ412" s="257"/>
      <c r="BA412" s="257"/>
      <c r="BB412" s="257"/>
      <c r="BC412" s="257"/>
      <c r="BD412" s="257"/>
      <c r="BE412" s="257"/>
      <c r="BF412" s="257"/>
      <c r="BG412" s="257"/>
      <c r="BH412" s="257"/>
      <c r="BI412" s="257"/>
    </row>
    <row r="413" spans="1:61" ht="15.75" customHeight="1">
      <c r="A413" t="str">
        <f t="shared" si="12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L413" s="11" t="s">
        <v>223</v>
      </c>
      <c r="M413" s="495">
        <f>L207</f>
        <v>2783.27</v>
      </c>
      <c r="N413" s="497">
        <f>$N$408</f>
        <v>8.8495575221238937E-2</v>
      </c>
      <c r="O413" s="495">
        <f>($J$407*$M$439)*N413</f>
        <v>2711.3802143900161</v>
      </c>
      <c r="P413" s="499"/>
      <c r="Q413" s="495">
        <f t="shared" si="142"/>
        <v>-71.889785609983846</v>
      </c>
      <c r="R413" s="257">
        <v>6431</v>
      </c>
      <c r="S413" s="498">
        <f>Q413</f>
        <v>-71.889785609983846</v>
      </c>
      <c r="T413" s="257"/>
      <c r="U413" s="257"/>
      <c r="V413" s="108" t="s">
        <v>37</v>
      </c>
      <c r="W413" s="297" t="s">
        <v>140</v>
      </c>
      <c r="X413" s="294"/>
      <c r="Y413" s="298">
        <f t="shared" si="128"/>
        <v>106.70843354941447</v>
      </c>
      <c r="Z413" s="291">
        <f t="shared" si="129"/>
        <v>12758.219647334074</v>
      </c>
      <c r="AA413" s="294"/>
      <c r="AB413" s="298">
        <f t="shared" si="130"/>
        <v>134.62732127372783</v>
      </c>
      <c r="AC413" s="291">
        <f t="shared" si="131"/>
        <v>12758.219647334074</v>
      </c>
      <c r="AD413" s="299"/>
      <c r="AE413" s="298">
        <f t="shared" si="132"/>
        <v>151.53739130434786</v>
      </c>
      <c r="AF413" s="291">
        <f t="shared" si="133"/>
        <v>13941.440000000002</v>
      </c>
      <c r="AG413" s="292">
        <f t="shared" si="134"/>
        <v>16.910070030620034</v>
      </c>
      <c r="AH413" s="293">
        <f t="shared" si="134"/>
        <v>1183.2203526659287</v>
      </c>
      <c r="AI413" s="294">
        <f t="shared" si="140"/>
        <v>9.2741807663828044E-2</v>
      </c>
      <c r="AJ413" s="299"/>
      <c r="AK413" s="293">
        <f t="shared" si="135"/>
        <v>136.08695652173913</v>
      </c>
      <c r="AL413" s="291">
        <f t="shared" si="136"/>
        <v>15650</v>
      </c>
      <c r="AM413" s="295">
        <f t="shared" si="137"/>
        <v>44.828957754933398</v>
      </c>
      <c r="AN413" s="293">
        <f t="shared" si="138"/>
        <v>-1708.5599999999977</v>
      </c>
      <c r="AO413" s="300">
        <f t="shared" si="141"/>
        <v>-0.10917316293929698</v>
      </c>
      <c r="AP413" s="257"/>
      <c r="AQ413" s="257"/>
      <c r="AR413" s="14"/>
      <c r="AS413" s="257"/>
      <c r="AT413" s="257"/>
      <c r="AU413" s="257"/>
      <c r="AV413" s="257"/>
      <c r="AW413" s="257"/>
      <c r="AX413" s="257"/>
      <c r="AY413" s="257"/>
      <c r="AZ413" s="257"/>
      <c r="BA413" s="257"/>
      <c r="BB413" s="257"/>
      <c r="BC413" s="257"/>
      <c r="BD413" s="257"/>
      <c r="BE413" s="257"/>
      <c r="BF413" s="257"/>
      <c r="BG413" s="257"/>
      <c r="BH413" s="257"/>
      <c r="BI413" s="257"/>
    </row>
    <row r="414" spans="1:61" ht="15.75" customHeight="1">
      <c r="A414" t="str">
        <f t="shared" si="125"/>
        <v>Intérêt de gros</v>
      </c>
      <c r="B414" s="7"/>
      <c r="C414" s="11"/>
      <c r="D414" s="11"/>
      <c r="E414" s="11"/>
      <c r="F414" s="11" t="s">
        <v>221</v>
      </c>
      <c r="G414" s="11"/>
      <c r="H414" s="11"/>
      <c r="I414" s="11"/>
      <c r="J414" s="11"/>
      <c r="L414" s="11"/>
      <c r="M414" s="495">
        <f>SUM(M411:M413)</f>
        <v>31450.93</v>
      </c>
      <c r="N414" s="495"/>
      <c r="O414" s="495">
        <f t="shared" ref="O414" si="143">SUM(O411:O413)</f>
        <v>30638.596422607181</v>
      </c>
      <c r="Q414" s="495">
        <f>O414-M414</f>
        <v>-812.33357739281928</v>
      </c>
      <c r="R414" s="257"/>
      <c r="S414" s="498"/>
      <c r="T414" s="257"/>
      <c r="U414" s="257"/>
      <c r="V414" s="108" t="s">
        <v>38</v>
      </c>
      <c r="W414" s="297" t="s">
        <v>141</v>
      </c>
      <c r="X414" s="290"/>
      <c r="Y414" s="298">
        <f t="shared" si="128"/>
        <v>133.88119771385954</v>
      </c>
      <c r="Z414" s="291">
        <f t="shared" si="129"/>
        <v>16007.035903967248</v>
      </c>
      <c r="AA414" s="290"/>
      <c r="AB414" s="298">
        <f t="shared" si="130"/>
        <v>168.90948932156024</v>
      </c>
      <c r="AC414" s="291">
        <f t="shared" si="131"/>
        <v>16007.035903967248</v>
      </c>
      <c r="AD414" s="299"/>
      <c r="AE414" s="298">
        <f>IF(AF414=0,0,AF414/(J$13+J$13))</f>
        <v>141.01527272727273</v>
      </c>
      <c r="AF414" s="291">
        <f t="shared" si="133"/>
        <v>15511.68</v>
      </c>
      <c r="AG414" s="292">
        <f t="shared" si="134"/>
        <v>-27.894216594287514</v>
      </c>
      <c r="AH414" s="293">
        <f t="shared" si="134"/>
        <v>-495.35590396724729</v>
      </c>
      <c r="AI414" s="294">
        <f t="shared" si="140"/>
        <v>-3.0946135620553979E-2</v>
      </c>
      <c r="AJ414" s="299"/>
      <c r="AK414" s="293">
        <f t="shared" si="135"/>
        <v>188.93852173913044</v>
      </c>
      <c r="AL414" s="291">
        <f t="shared" si="136"/>
        <v>21727.93</v>
      </c>
      <c r="AM414" s="295">
        <f t="shared" si="137"/>
        <v>7.1340750134131952</v>
      </c>
      <c r="AN414" s="293">
        <f t="shared" si="138"/>
        <v>-6216.25</v>
      </c>
      <c r="AO414" s="300">
        <f t="shared" si="141"/>
        <v>-0.28609490181531327</v>
      </c>
      <c r="AP414" s="257"/>
      <c r="AQ414" s="257"/>
      <c r="AR414" s="14"/>
      <c r="AS414" s="257"/>
      <c r="AT414" s="257"/>
      <c r="AU414" s="257"/>
      <c r="AV414" s="257"/>
      <c r="AW414" s="257"/>
      <c r="AX414" s="257"/>
      <c r="AY414" s="257"/>
      <c r="AZ414" s="257"/>
      <c r="BA414" s="257"/>
      <c r="BB414" s="257"/>
      <c r="BC414" s="257"/>
      <c r="BD414" s="257"/>
      <c r="BE414" s="257"/>
      <c r="BF414" s="257"/>
      <c r="BG414" s="257"/>
      <c r="BH414" s="257"/>
      <c r="BI414" s="257"/>
    </row>
    <row r="415" spans="1:61" ht="15.75" hidden="1" customHeight="1">
      <c r="A415" t="str">
        <f t="shared" si="12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L415" s="11" t="s">
        <v>223</v>
      </c>
      <c r="M415" s="11"/>
      <c r="N415" s="11"/>
      <c r="O415" s="497"/>
      <c r="P415" s="499"/>
      <c r="Q415" s="495">
        <f t="shared" ref="Q415:Q416" si="144">O415-M415</f>
        <v>0</v>
      </c>
      <c r="R415" s="257"/>
      <c r="S415" s="498"/>
      <c r="T415" s="257"/>
      <c r="U415" s="257"/>
      <c r="V415" s="108" t="s">
        <v>21</v>
      </c>
      <c r="W415" s="297"/>
      <c r="X415" s="294"/>
      <c r="Y415" s="298">
        <f t="shared" si="128"/>
        <v>0</v>
      </c>
      <c r="Z415" s="291">
        <f>IFERROR(SUMIF($C:$C,$V415,F:F),0)</f>
        <v>0</v>
      </c>
      <c r="AA415" s="290"/>
      <c r="AB415" s="298">
        <f t="shared" si="130"/>
        <v>0</v>
      </c>
      <c r="AC415" s="291">
        <f>IFERROR(SUMIF($C:$C,$V415,I:I),0)</f>
        <v>0</v>
      </c>
      <c r="AD415" s="299"/>
      <c r="AE415" s="298">
        <f t="shared" ref="AE415:AE417" si="145">IF(AF415=0,0,AF415/(J$13+J$13))</f>
        <v>0</v>
      </c>
      <c r="AF415" s="291">
        <f>IFERROR(SUMIF($C:$C,$V415,L:L),0)</f>
        <v>0</v>
      </c>
      <c r="AG415" s="292">
        <f t="shared" si="134"/>
        <v>0</v>
      </c>
      <c r="AH415" s="293">
        <f t="shared" si="134"/>
        <v>0</v>
      </c>
      <c r="AI415" s="294">
        <f t="shared" si="140"/>
        <v>0</v>
      </c>
      <c r="AJ415" s="299"/>
      <c r="AK415" s="293">
        <f t="shared" si="135"/>
        <v>0</v>
      </c>
      <c r="AL415" s="291">
        <f>IFERROR(SUMIF($C:$C,$V415,Q:Q),0)</f>
        <v>0</v>
      </c>
      <c r="AM415" s="295">
        <f t="shared" si="137"/>
        <v>0</v>
      </c>
      <c r="AN415" s="293">
        <f t="shared" si="138"/>
        <v>0</v>
      </c>
      <c r="AO415" s="300">
        <f t="shared" si="141"/>
        <v>0</v>
      </c>
      <c r="AP415" s="257"/>
      <c r="AQ415" s="257"/>
      <c r="AR415" s="14"/>
      <c r="AS415" s="257"/>
      <c r="AT415" s="257"/>
      <c r="AU415" s="257"/>
      <c r="AV415" s="257"/>
      <c r="AW415" s="257"/>
      <c r="AX415" s="257"/>
      <c r="AY415" s="257"/>
      <c r="AZ415" s="257"/>
      <c r="BA415" s="257"/>
      <c r="BB415" s="257"/>
      <c r="BC415" s="257"/>
      <c r="BD415" s="257"/>
      <c r="BE415" s="257"/>
      <c r="BF415" s="257"/>
      <c r="BG415" s="257"/>
      <c r="BH415" s="257"/>
      <c r="BI415" s="257"/>
    </row>
    <row r="416" spans="1:61" ht="15.75" hidden="1" customHeight="1">
      <c r="A416" t="str">
        <f t="shared" si="12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497"/>
      <c r="P416" s="499"/>
      <c r="Q416" s="495">
        <f t="shared" si="144"/>
        <v>0</v>
      </c>
      <c r="R416" s="257"/>
      <c r="S416" s="498"/>
      <c r="T416" s="257"/>
      <c r="U416" s="257"/>
      <c r="V416" s="108" t="s">
        <v>21</v>
      </c>
      <c r="W416" s="297"/>
      <c r="X416" s="294"/>
      <c r="Y416" s="298">
        <f t="shared" si="128"/>
        <v>0</v>
      </c>
      <c r="Z416" s="291">
        <f>IFERROR(SUMIF($C:$C,$V416,F:F),0)</f>
        <v>0</v>
      </c>
      <c r="AA416" s="290"/>
      <c r="AB416" s="298">
        <f t="shared" si="130"/>
        <v>0</v>
      </c>
      <c r="AC416" s="291">
        <f>IFERROR(SUMIF($C:$C,$V416,I:I),0)</f>
        <v>0</v>
      </c>
      <c r="AD416" s="299"/>
      <c r="AE416" s="298">
        <f t="shared" si="145"/>
        <v>0</v>
      </c>
      <c r="AF416" s="291">
        <f>IFERROR(SUMIF($C:$C,$V416,L:L),0)</f>
        <v>0</v>
      </c>
      <c r="AG416" s="292">
        <f t="shared" si="134"/>
        <v>0</v>
      </c>
      <c r="AH416" s="293">
        <f t="shared" si="134"/>
        <v>0</v>
      </c>
      <c r="AI416" s="294">
        <f t="shared" si="140"/>
        <v>0</v>
      </c>
      <c r="AJ416" s="299"/>
      <c r="AK416" s="293">
        <f t="shared" si="135"/>
        <v>0</v>
      </c>
      <c r="AL416" s="291">
        <f t="shared" ref="AL416:AL417" si="146">IFERROR(SUMIF($C:$C,$V416,Q:Q),0)</f>
        <v>0</v>
      </c>
      <c r="AM416" s="295">
        <f t="shared" si="137"/>
        <v>0</v>
      </c>
      <c r="AN416" s="293">
        <f t="shared" si="138"/>
        <v>0</v>
      </c>
      <c r="AO416" s="300">
        <f t="shared" si="141"/>
        <v>0</v>
      </c>
      <c r="AP416" s="257"/>
      <c r="AQ416" s="257"/>
      <c r="AR416" s="14"/>
      <c r="AS416" s="257"/>
      <c r="AT416" s="257"/>
      <c r="AU416" s="257"/>
      <c r="AV416" s="257"/>
      <c r="AW416" s="257"/>
      <c r="AX416" s="257"/>
      <c r="AY416" s="257"/>
      <c r="AZ416" s="257"/>
      <c r="BA416" s="257"/>
      <c r="BB416" s="257"/>
      <c r="BC416" s="257"/>
      <c r="BD416" s="257"/>
      <c r="BE416" s="257"/>
      <c r="BF416" s="257"/>
      <c r="BG416" s="257"/>
      <c r="BH416" s="257"/>
      <c r="BI416" s="257"/>
    </row>
    <row r="417" spans="1:61" ht="15.75" hidden="1" customHeight="1">
      <c r="A417" t="str">
        <f t="shared" si="12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497"/>
      <c r="P417" s="499"/>
      <c r="Q417" s="11"/>
      <c r="R417" s="257"/>
      <c r="S417" s="498"/>
      <c r="T417" s="257"/>
      <c r="U417" s="257"/>
      <c r="V417" s="108" t="s">
        <v>21</v>
      </c>
      <c r="W417" s="297" t="s">
        <v>141</v>
      </c>
      <c r="X417" s="290"/>
      <c r="Y417" s="298">
        <f t="shared" si="128"/>
        <v>0</v>
      </c>
      <c r="Z417" s="291">
        <f>IFERROR(SUMIF($C:$C,$V417,F:F),0)</f>
        <v>0</v>
      </c>
      <c r="AA417" s="290"/>
      <c r="AB417" s="298">
        <f t="shared" si="130"/>
        <v>0</v>
      </c>
      <c r="AC417" s="291">
        <f>IFERROR(SUMIF($C:$C,$V417,I:I),0)</f>
        <v>0</v>
      </c>
      <c r="AD417" s="299"/>
      <c r="AE417" s="298">
        <f t="shared" si="145"/>
        <v>0</v>
      </c>
      <c r="AF417" s="291">
        <f>IFERROR(SUMIF($C:$C,$V417,L:L),0)</f>
        <v>0</v>
      </c>
      <c r="AG417" s="292">
        <f t="shared" si="134"/>
        <v>0</v>
      </c>
      <c r="AH417" s="293">
        <f t="shared" si="134"/>
        <v>0</v>
      </c>
      <c r="AI417" s="294">
        <f t="shared" si="140"/>
        <v>0</v>
      </c>
      <c r="AJ417" s="299"/>
      <c r="AK417" s="293">
        <f t="shared" si="135"/>
        <v>0</v>
      </c>
      <c r="AL417" s="291">
        <f t="shared" si="146"/>
        <v>0</v>
      </c>
      <c r="AM417" s="295">
        <f t="shared" si="137"/>
        <v>0</v>
      </c>
      <c r="AN417" s="293">
        <f t="shared" si="138"/>
        <v>0</v>
      </c>
      <c r="AO417" s="300">
        <f t="shared" si="141"/>
        <v>0</v>
      </c>
      <c r="AP417" s="257"/>
      <c r="AQ417" s="257"/>
      <c r="AR417" s="14"/>
      <c r="AS417" s="257"/>
      <c r="AT417" s="257"/>
      <c r="AU417" s="257"/>
      <c r="AV417" s="257"/>
      <c r="AW417" s="257"/>
      <c r="AX417" s="257"/>
      <c r="AY417" s="257"/>
      <c r="AZ417" s="257"/>
      <c r="BA417" s="257"/>
      <c r="BB417" s="257"/>
      <c r="BC417" s="257"/>
      <c r="BD417" s="257"/>
      <c r="BE417" s="257"/>
      <c r="BF417" s="257"/>
      <c r="BG417" s="257"/>
      <c r="BH417" s="257"/>
      <c r="BI417" s="257"/>
    </row>
    <row r="418" spans="1:61" ht="15.75" customHeight="1">
      <c r="A418" t="str">
        <f t="shared" si="125"/>
        <v>TOTAL VARIABLES</v>
      </c>
      <c r="B418" s="7"/>
      <c r="C418" s="11"/>
      <c r="D418" s="11"/>
      <c r="E418" s="11"/>
      <c r="F418" s="11" t="s">
        <v>228</v>
      </c>
      <c r="G418" s="11"/>
      <c r="H418" s="11"/>
      <c r="I418" s="11"/>
      <c r="J418" s="11"/>
      <c r="L418" s="11" t="s">
        <v>226</v>
      </c>
      <c r="M418" s="495">
        <f>SUM(M411:M413)</f>
        <v>31450.93</v>
      </c>
      <c r="N418" s="497">
        <f>M414/$M$439</f>
        <v>0.40814397699823068</v>
      </c>
      <c r="O418" s="497">
        <f>J407</f>
        <v>0.39760218834758332</v>
      </c>
      <c r="P418" s="499">
        <f>O418*$M$439</f>
        <v>30638.596422607181</v>
      </c>
      <c r="Q418" s="315">
        <f>P418-M414</f>
        <v>-812.33357739281928</v>
      </c>
      <c r="R418" s="257"/>
      <c r="S418" s="498"/>
      <c r="T418" s="257"/>
      <c r="U418" s="257"/>
      <c r="V418" s="307" t="s">
        <v>39</v>
      </c>
      <c r="W418" s="308"/>
      <c r="X418" s="309">
        <f>Z418/Z406</f>
        <v>0.24202459244436483</v>
      </c>
      <c r="Y418" s="308"/>
      <c r="Z418" s="310">
        <f>SUM(Z408:Z417)</f>
        <v>127334.27755853772</v>
      </c>
      <c r="AA418" s="309">
        <f>AC418/AC406</f>
        <v>0.24202459244436483</v>
      </c>
      <c r="AB418" s="308"/>
      <c r="AC418" s="310">
        <f>SUM(AC408:AC417)</f>
        <v>127334.27755853772</v>
      </c>
      <c r="AD418" s="311">
        <f>AF418/AF406</f>
        <v>0.24033517453138273</v>
      </c>
      <c r="AE418" s="308"/>
      <c r="AF418" s="310">
        <f>SUM(AF408:AF417)</f>
        <v>149359.01</v>
      </c>
      <c r="AG418" s="312"/>
      <c r="AH418" s="313">
        <f>AF418-AC418</f>
        <v>22024.732441462285</v>
      </c>
      <c r="AI418" s="309">
        <f>AH418/AC418</f>
        <v>0.17296782032110045</v>
      </c>
      <c r="AJ418" s="311">
        <f>IF($AL$406=0,0,AL418/$AL$406)</f>
        <v>0.25846438659766713</v>
      </c>
      <c r="AK418" s="308"/>
      <c r="AL418" s="310">
        <f>SUM(AL408:AL417)</f>
        <v>143285.06999999998</v>
      </c>
      <c r="AM418" s="314"/>
      <c r="AN418" s="313">
        <f t="shared" si="138"/>
        <v>6073.9400000000314</v>
      </c>
      <c r="AO418" s="288">
        <f>IF(AL418=0,0,AN418/AL418)</f>
        <v>4.239059938345309E-2</v>
      </c>
      <c r="AP418" s="257"/>
      <c r="AQ418" s="257"/>
      <c r="AR418" s="14"/>
      <c r="AS418" s="257"/>
      <c r="AT418" s="257"/>
      <c r="AU418" s="257"/>
      <c r="AV418" s="257"/>
      <c r="AW418" s="257"/>
      <c r="AX418" s="257"/>
      <c r="AY418" s="257"/>
      <c r="AZ418" s="257"/>
      <c r="BA418" s="257"/>
      <c r="BB418" s="257"/>
      <c r="BC418" s="257"/>
      <c r="BD418" s="257"/>
      <c r="BE418" s="257"/>
      <c r="BF418" s="257"/>
      <c r="BG418" s="257"/>
      <c r="BH418" s="257"/>
      <c r="BI418" s="257"/>
    </row>
    <row r="419" spans="1:61" ht="15.75" customHeight="1">
      <c r="A419" t="str">
        <f t="shared" si="125"/>
        <v>Salaires propriétaire</v>
      </c>
      <c r="B419" s="7"/>
      <c r="C419" s="11"/>
      <c r="D419" s="11"/>
      <c r="E419" s="11"/>
      <c r="F419" s="11" t="s">
        <v>223</v>
      </c>
      <c r="G419" s="11"/>
      <c r="H419" s="11"/>
      <c r="I419" s="11"/>
      <c r="J419" s="11"/>
      <c r="L419" s="11" t="s">
        <v>221</v>
      </c>
      <c r="M419" s="315">
        <f>L261</f>
        <v>624.25</v>
      </c>
      <c r="N419" s="497">
        <f>$N$406</f>
        <v>0.53097345132743357</v>
      </c>
      <c r="O419" s="315">
        <f>($J$408*$M$439)*N419</f>
        <v>624.47240094773395</v>
      </c>
      <c r="P419" s="499"/>
      <c r="Q419" s="495">
        <f>O419-M419</f>
        <v>0.22240094773394503</v>
      </c>
      <c r="R419" s="257">
        <v>6532</v>
      </c>
      <c r="S419" s="498">
        <f>Q419</f>
        <v>0.22240094773394503</v>
      </c>
      <c r="T419" s="257"/>
      <c r="U419" s="257"/>
      <c r="V419" s="108" t="s">
        <v>142</v>
      </c>
      <c r="W419" s="297" t="s">
        <v>143</v>
      </c>
      <c r="X419" s="290"/>
      <c r="Y419" s="290"/>
      <c r="Z419" s="291">
        <f>+INDEX('[7]Budget original'!$A$2:$AO$496,MATCH($A419,'[7]Budget original'!$A$2:$A$496,0),MATCH(F$2,'[7]Budget original'!$A$2:$AO$2,0))</f>
        <v>0</v>
      </c>
      <c r="AA419" s="290"/>
      <c r="AB419" s="290"/>
      <c r="AC419" s="291">
        <f>+INDEX('[7]Budget révisé'!$A$2:$AO$496,MATCH($A419,'[7]Budget révisé'!$A$2:$A$496,0),MATCH(I$2,'[7]Budget révisé'!$A$2:$AO$2,0))</f>
        <v>0</v>
      </c>
      <c r="AD419" s="299"/>
      <c r="AE419" s="298"/>
      <c r="AF419" s="291">
        <f>SUMIFS([7]BV_Data_An_Cour!$O:$O,[7]BV_Data_An_Cour!$V:$V,$V419)</f>
        <v>2336.25</v>
      </c>
      <c r="AG419" s="292"/>
      <c r="AH419" s="293">
        <f t="shared" ref="AH419:AH450" si="147">AF419-AC419</f>
        <v>2336.25</v>
      </c>
      <c r="AI419" s="294">
        <f>IF(AC419=0,0,AH419/AC419)</f>
        <v>0</v>
      </c>
      <c r="AJ419" s="299"/>
      <c r="AK419" s="290"/>
      <c r="AL419" s="291">
        <f>SUMIFS([7]BV_Data_An_Prec!$O:$O,[7]BV_Data_An_Prec!$V:$V,$V419)</f>
        <v>9542.18</v>
      </c>
      <c r="AM419" s="295"/>
      <c r="AN419" s="293">
        <f t="shared" si="138"/>
        <v>-7205.93</v>
      </c>
      <c r="AO419" s="300">
        <f t="shared" ref="AO419:AO430" si="148">IF(AL419=0,0,AN419/AL419)</f>
        <v>-0.75516601028276553</v>
      </c>
      <c r="AP419" s="257"/>
      <c r="AQ419" s="257"/>
      <c r="AR419" s="257"/>
      <c r="AS419" s="257"/>
      <c r="AT419" s="257"/>
      <c r="AU419" s="257"/>
      <c r="AV419" s="257"/>
      <c r="AW419" s="257"/>
      <c r="AX419" s="257"/>
      <c r="AY419" s="257"/>
      <c r="AZ419" s="257"/>
      <c r="BA419" s="257"/>
      <c r="BB419" s="257"/>
      <c r="BC419" s="257"/>
      <c r="BD419" s="257"/>
      <c r="BE419" s="257"/>
      <c r="BF419" s="257"/>
      <c r="BG419" s="257"/>
      <c r="BH419" s="257"/>
      <c r="BI419" s="257"/>
    </row>
    <row r="420" spans="1:61" ht="15.75" customHeight="1">
      <c r="A420" t="str">
        <f t="shared" si="12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222</v>
      </c>
      <c r="M420" s="315">
        <f>L262</f>
        <v>447.38</v>
      </c>
      <c r="N420" s="497">
        <f>$N$407</f>
        <v>0.38053097345132741</v>
      </c>
      <c r="O420" s="315">
        <f>($J$408*$M$439)*N420</f>
        <v>447.5385540125427</v>
      </c>
      <c r="P420" s="499"/>
      <c r="Q420" s="495">
        <f t="shared" ref="Q420:Q421" si="149">O420-M420</f>
        <v>0.15855401254270873</v>
      </c>
      <c r="R420" s="257">
        <v>6539</v>
      </c>
      <c r="S420" s="498">
        <f>Q420</f>
        <v>0.15855401254270873</v>
      </c>
      <c r="T420" s="257"/>
      <c r="U420" s="257"/>
      <c r="V420" s="108" t="s">
        <v>42</v>
      </c>
      <c r="W420" s="297" t="s">
        <v>144</v>
      </c>
      <c r="X420" s="290"/>
      <c r="Y420" s="290"/>
      <c r="Z420" s="291">
        <f t="shared" ref="Z420:Z430" si="150">+SUMIF($C:$C,$V420,F:F)</f>
        <v>53818.620880569077</v>
      </c>
      <c r="AA420" s="290"/>
      <c r="AB420" s="290"/>
      <c r="AC420" s="291">
        <f t="shared" ref="AC420:AC430" si="151">+SUMIF($C:$C,$V420,I:I)</f>
        <v>53818.620880569077</v>
      </c>
      <c r="AD420" s="299"/>
      <c r="AE420" s="298"/>
      <c r="AF420" s="291">
        <f t="shared" ref="AF420:AF430" si="152">+SUMIF($C:$C,$V420,L:L)</f>
        <v>59639.140000000007</v>
      </c>
      <c r="AG420" s="292"/>
      <c r="AH420" s="293">
        <f t="shared" si="147"/>
        <v>5820.51911943093</v>
      </c>
      <c r="AI420" s="294">
        <f t="shared" ref="AI420:AI431" si="153">IF(AC420=0,0,AH420/AC420)</f>
        <v>0.10815065537163174</v>
      </c>
      <c r="AJ420" s="299"/>
      <c r="AK420" s="290"/>
      <c r="AL420" s="291">
        <f t="shared" ref="AL420:AL430" si="154">+SUMIF($C:$C,$V420,Q:Q)</f>
        <v>52294.77</v>
      </c>
      <c r="AM420" s="295"/>
      <c r="AN420" s="293">
        <f t="shared" si="138"/>
        <v>7344.3700000000099</v>
      </c>
      <c r="AO420" s="300">
        <f t="shared" si="148"/>
        <v>0.14044176884227638</v>
      </c>
      <c r="AP420" s="257"/>
      <c r="AQ420" s="257" t="s">
        <v>248</v>
      </c>
      <c r="AR420" s="257"/>
      <c r="AS420" s="257"/>
      <c r="AT420" s="257"/>
      <c r="AU420" s="257"/>
      <c r="AV420" s="257"/>
      <c r="AW420" s="257"/>
      <c r="AX420" s="257"/>
      <c r="AY420" s="257"/>
      <c r="AZ420" s="257"/>
      <c r="BA420" s="257"/>
      <c r="BB420" s="257"/>
      <c r="BC420" s="257"/>
      <c r="BD420" s="257"/>
      <c r="BE420" s="257"/>
      <c r="BF420" s="257"/>
      <c r="BG420" s="257"/>
      <c r="BH420" s="257"/>
      <c r="BI420" s="257"/>
    </row>
    <row r="421" spans="1:61" ht="15.75" customHeight="1">
      <c r="A421" t="str">
        <f t="shared" si="125"/>
        <v>Salaires commis</v>
      </c>
      <c r="B421" s="7"/>
      <c r="C421" s="257"/>
      <c r="D421" s="257"/>
      <c r="E421" s="257"/>
      <c r="F421" s="257"/>
      <c r="G421" s="257"/>
      <c r="H421" s="257"/>
      <c r="I421" s="257"/>
      <c r="J421" s="257"/>
      <c r="K421" s="257"/>
      <c r="L421" s="11" t="s">
        <v>223</v>
      </c>
      <c r="M421" s="315">
        <f>L263</f>
        <v>104.04</v>
      </c>
      <c r="N421" s="497">
        <f>$N$408</f>
        <v>8.8495575221238937E-2</v>
      </c>
      <c r="O421" s="315">
        <f>($J$408*$M$439)*N421</f>
        <v>104.078733491289</v>
      </c>
      <c r="P421" s="504"/>
      <c r="Q421" s="495">
        <f t="shared" si="149"/>
        <v>3.873349128899406E-2</v>
      </c>
      <c r="R421" s="257">
        <v>6531</v>
      </c>
      <c r="S421" s="498">
        <f>Q421</f>
        <v>3.873349128899406E-2</v>
      </c>
      <c r="T421" s="257"/>
      <c r="U421" s="257"/>
      <c r="V421" s="109" t="s">
        <v>43</v>
      </c>
      <c r="W421" s="301" t="s">
        <v>145</v>
      </c>
      <c r="X421" s="274"/>
      <c r="Y421" s="274"/>
      <c r="Z421" s="275">
        <f t="shared" si="150"/>
        <v>26435.301540536399</v>
      </c>
      <c r="AA421" s="274"/>
      <c r="AB421" s="274"/>
      <c r="AC421" s="275">
        <f t="shared" si="151"/>
        <v>26435.301540536399</v>
      </c>
      <c r="AD421" s="303"/>
      <c r="AE421" s="302"/>
      <c r="AF421" s="275">
        <f t="shared" si="152"/>
        <v>24523.37</v>
      </c>
      <c r="AG421" s="276"/>
      <c r="AH421" s="277">
        <f t="shared" si="147"/>
        <v>-1911.9315405363996</v>
      </c>
      <c r="AI421" s="304">
        <f t="shared" si="153"/>
        <v>-7.2324937833775305E-2</v>
      </c>
      <c r="AJ421" s="303"/>
      <c r="AK421" s="274"/>
      <c r="AL421" s="275">
        <f t="shared" si="154"/>
        <v>29776.150000000005</v>
      </c>
      <c r="AM421" s="279"/>
      <c r="AN421" s="277">
        <f t="shared" si="138"/>
        <v>-5252.7800000000061</v>
      </c>
      <c r="AO421" s="280">
        <f t="shared" si="148"/>
        <v>-0.17640897160982885</v>
      </c>
      <c r="AP421" s="257"/>
      <c r="AQ421" s="257" t="s">
        <v>249</v>
      </c>
      <c r="AR421" s="257"/>
      <c r="AS421" s="257"/>
      <c r="AT421" s="257"/>
      <c r="AU421" s="257"/>
      <c r="AV421" s="257"/>
      <c r="AW421" s="257"/>
      <c r="AX421" s="257"/>
      <c r="AY421" s="257"/>
      <c r="AZ421" s="257"/>
      <c r="BA421" s="257"/>
      <c r="BB421" s="257"/>
      <c r="BC421" s="257"/>
      <c r="BD421" s="257"/>
      <c r="BE421" s="257"/>
      <c r="BF421" s="257"/>
      <c r="BG421" s="257"/>
      <c r="BH421" s="257"/>
      <c r="BI421" s="257"/>
    </row>
    <row r="422" spans="1:61" ht="15.75" customHeight="1">
      <c r="A422" t="str">
        <f t="shared" si="125"/>
        <v>Salaires autres</v>
      </c>
      <c r="B422" s="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316">
        <f>SUM(M419:M421)</f>
        <v>1175.67</v>
      </c>
      <c r="N422" s="316"/>
      <c r="O422" s="316">
        <f t="shared" ref="O422" si="155">SUM(O419:O421)</f>
        <v>1176.0896884515657</v>
      </c>
      <c r="Q422" s="502">
        <f>SUM(Q419:Q421)</f>
        <v>0.41968845156564782</v>
      </c>
      <c r="R422" s="257"/>
      <c r="S422" s="498"/>
      <c r="T422" s="257"/>
      <c r="U422" s="257"/>
      <c r="V422" s="108" t="s">
        <v>44</v>
      </c>
      <c r="W422" s="297" t="s">
        <v>146</v>
      </c>
      <c r="X422" s="290"/>
      <c r="Y422" s="290"/>
      <c r="Z422" s="291">
        <f t="shared" si="150"/>
        <v>45745.692907402299</v>
      </c>
      <c r="AA422" s="290"/>
      <c r="AB422" s="290"/>
      <c r="AC422" s="291">
        <f t="shared" si="151"/>
        <v>45745.692907402299</v>
      </c>
      <c r="AD422" s="299"/>
      <c r="AE422" s="298"/>
      <c r="AF422" s="291">
        <f t="shared" si="152"/>
        <v>52419.020000000004</v>
      </c>
      <c r="AG422" s="292"/>
      <c r="AH422" s="293">
        <f t="shared" si="147"/>
        <v>6673.3270925977049</v>
      </c>
      <c r="AI422" s="294">
        <f t="shared" si="153"/>
        <v>0.14587880669128234</v>
      </c>
      <c r="AJ422" s="299"/>
      <c r="AK422" s="290"/>
      <c r="AL422" s="291">
        <f t="shared" si="154"/>
        <v>54215.73</v>
      </c>
      <c r="AM422" s="295"/>
      <c r="AN422" s="293">
        <f t="shared" si="138"/>
        <v>-1796.7099999999991</v>
      </c>
      <c r="AO422" s="300">
        <f t="shared" si="148"/>
        <v>-3.314001305525166E-2</v>
      </c>
      <c r="AP422" s="257"/>
      <c r="AQ422" s="257"/>
      <c r="AR422" s="257"/>
      <c r="AS422" s="257"/>
      <c r="AT422" s="257"/>
      <c r="AU422" s="257"/>
      <c r="AV422" s="257"/>
      <c r="AW422" s="257"/>
      <c r="AX422" s="257"/>
      <c r="AY422" s="257"/>
      <c r="AZ422" s="257"/>
      <c r="BA422" s="257"/>
      <c r="BB422" s="257"/>
      <c r="BC422" s="257"/>
      <c r="BD422" s="257"/>
      <c r="BE422" s="257"/>
      <c r="BF422" s="257"/>
      <c r="BG422" s="257"/>
      <c r="BH422" s="257"/>
      <c r="BI422" s="257"/>
    </row>
    <row r="423" spans="1:61" ht="15.75" customHeight="1">
      <c r="A423" t="str">
        <f t="shared" si="125"/>
        <v>Salaires spécialistes</v>
      </c>
      <c r="B423" s="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316">
        <f>SUM(M419:M421)</f>
        <v>1175.67</v>
      </c>
      <c r="N423" s="497">
        <f>M422/$M$439</f>
        <v>1.5256866154276199E-2</v>
      </c>
      <c r="O423" s="505">
        <f>J408</f>
        <v>1.526231252148131E-2</v>
      </c>
      <c r="P423" s="499">
        <f>O423*$M$439</f>
        <v>1176.0896884515657</v>
      </c>
      <c r="Q423" s="315">
        <f>P423-M422</f>
        <v>0.41968845156566204</v>
      </c>
      <c r="R423" s="257"/>
      <c r="S423" s="498"/>
      <c r="T423" s="257"/>
      <c r="U423" s="257"/>
      <c r="V423" s="108" t="s">
        <v>45</v>
      </c>
      <c r="W423" s="297" t="s">
        <v>147</v>
      </c>
      <c r="X423" s="290"/>
      <c r="Y423" s="290"/>
      <c r="Z423" s="291">
        <f t="shared" si="150"/>
        <v>34709.818583908047</v>
      </c>
      <c r="AA423" s="290"/>
      <c r="AB423" s="290"/>
      <c r="AC423" s="291">
        <f t="shared" si="151"/>
        <v>34709.818583908047</v>
      </c>
      <c r="AD423" s="299"/>
      <c r="AE423" s="298"/>
      <c r="AF423" s="291">
        <f t="shared" si="152"/>
        <v>30463.27</v>
      </c>
      <c r="AG423" s="292"/>
      <c r="AH423" s="293">
        <f t="shared" si="147"/>
        <v>-4246.5485839080466</v>
      </c>
      <c r="AI423" s="294">
        <f t="shared" si="153"/>
        <v>-0.1223443036339235</v>
      </c>
      <c r="AJ423" s="299"/>
      <c r="AK423" s="290"/>
      <c r="AL423" s="291">
        <f t="shared" si="154"/>
        <v>31680.84</v>
      </c>
      <c r="AM423" s="295"/>
      <c r="AN423" s="293">
        <f t="shared" si="138"/>
        <v>-1217.5699999999997</v>
      </c>
      <c r="AO423" s="300">
        <f t="shared" si="148"/>
        <v>-3.8432377424335959E-2</v>
      </c>
      <c r="AP423" s="257"/>
      <c r="AQ423" s="257" t="s">
        <v>250</v>
      </c>
      <c r="AR423" s="257"/>
      <c r="AS423" s="257"/>
      <c r="AT423" s="257"/>
      <c r="AU423" s="257"/>
      <c r="AV423" s="257"/>
      <c r="AW423" s="257"/>
      <c r="AX423" s="257"/>
      <c r="AY423" s="257"/>
      <c r="AZ423" s="257"/>
      <c r="BA423" s="257"/>
      <c r="BB423" s="257"/>
      <c r="BC423" s="257"/>
      <c r="BD423" s="257"/>
      <c r="BE423" s="257"/>
      <c r="BF423" s="257"/>
      <c r="BG423" s="257"/>
      <c r="BH423" s="257"/>
      <c r="BI423" s="257"/>
    </row>
    <row r="424" spans="1:61" ht="15.75" hidden="1" customHeight="1">
      <c r="A424" t="str">
        <f t="shared" si="125"/>
        <v>[...]</v>
      </c>
      <c r="B424" s="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316"/>
      <c r="N424" s="162"/>
      <c r="O424" s="505"/>
      <c r="P424" s="504"/>
      <c r="Q424" s="257"/>
      <c r="R424" s="257"/>
      <c r="S424" s="498"/>
      <c r="T424" s="257"/>
      <c r="U424" s="257"/>
      <c r="V424" s="108" t="s">
        <v>21</v>
      </c>
      <c r="W424" s="297"/>
      <c r="X424" s="290"/>
      <c r="Y424" s="290"/>
      <c r="Z424" s="291">
        <f>IFERROR(SUMIF($C:$C,$V424,F:F),0)</f>
        <v>0</v>
      </c>
      <c r="AA424" s="290"/>
      <c r="AB424" s="290"/>
      <c r="AC424" s="291">
        <f>IFERROR(SUMIF($C:$C,$V424,I:I),0)</f>
        <v>0</v>
      </c>
      <c r="AD424" s="299"/>
      <c r="AE424" s="298"/>
      <c r="AF424" s="291">
        <f>IFERROR(SUMIF($C:$C,$V424,L:L),0)</f>
        <v>0</v>
      </c>
      <c r="AG424" s="292"/>
      <c r="AH424" s="293">
        <f t="shared" si="147"/>
        <v>0</v>
      </c>
      <c r="AI424" s="294">
        <f t="shared" si="153"/>
        <v>0</v>
      </c>
      <c r="AJ424" s="299"/>
      <c r="AK424" s="290"/>
      <c r="AL424" s="291">
        <f>IFERROR(SUMIF($C:$C,$V424,Q:Q),0)</f>
        <v>0</v>
      </c>
      <c r="AM424" s="295"/>
      <c r="AN424" s="293">
        <f t="shared" si="138"/>
        <v>0</v>
      </c>
      <c r="AO424" s="300">
        <f t="shared" si="148"/>
        <v>0</v>
      </c>
      <c r="AP424" s="257"/>
      <c r="AQ424" s="257"/>
      <c r="AR424" s="257"/>
      <c r="AS424" s="257"/>
      <c r="AT424" s="257"/>
      <c r="AU424" s="257"/>
      <c r="AV424" s="257"/>
      <c r="AW424" s="257"/>
      <c r="AX424" s="257"/>
      <c r="AY424" s="257"/>
      <c r="AZ424" s="257"/>
      <c r="BA424" s="257"/>
      <c r="BB424" s="257"/>
      <c r="BC424" s="257"/>
      <c r="BD424" s="257"/>
      <c r="BE424" s="257"/>
      <c r="BF424" s="257"/>
      <c r="BG424" s="257"/>
      <c r="BH424" s="257"/>
      <c r="BI424" s="257"/>
    </row>
    <row r="425" spans="1:61" ht="15.75" hidden="1" customHeight="1">
      <c r="A425" t="str">
        <f t="shared" si="125"/>
        <v>[...]</v>
      </c>
      <c r="B425" s="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316"/>
      <c r="N425" s="162"/>
      <c r="O425" s="505"/>
      <c r="P425" s="504"/>
      <c r="Q425" s="257"/>
      <c r="R425" s="257"/>
      <c r="S425" s="498"/>
      <c r="T425" s="257"/>
      <c r="U425" s="257"/>
      <c r="V425" s="108" t="s">
        <v>21</v>
      </c>
      <c r="W425" s="297"/>
      <c r="X425" s="290"/>
      <c r="Y425" s="290"/>
      <c r="Z425" s="291">
        <f>IFERROR(SUMIF($C:$C,$V425,F:F),0)</f>
        <v>0</v>
      </c>
      <c r="AA425" s="290"/>
      <c r="AB425" s="290"/>
      <c r="AC425" s="291">
        <f>IFERROR(SUMIF($C:$C,$V425,I:I),0)</f>
        <v>0</v>
      </c>
      <c r="AD425" s="299"/>
      <c r="AE425" s="298"/>
      <c r="AF425" s="291">
        <f>IFERROR(SUMIF($C:$C,$V425,L:L),0)</f>
        <v>0</v>
      </c>
      <c r="AG425" s="292"/>
      <c r="AH425" s="293">
        <f t="shared" si="147"/>
        <v>0</v>
      </c>
      <c r="AI425" s="294">
        <f t="shared" si="153"/>
        <v>0</v>
      </c>
      <c r="AJ425" s="299"/>
      <c r="AK425" s="290"/>
      <c r="AL425" s="291">
        <f t="shared" ref="AL425:AL426" si="156">IFERROR(SUMIF($C:$C,$V425,Q:Q),0)</f>
        <v>0</v>
      </c>
      <c r="AM425" s="295"/>
      <c r="AN425" s="293">
        <f t="shared" si="138"/>
        <v>0</v>
      </c>
      <c r="AO425" s="300">
        <f t="shared" si="148"/>
        <v>0</v>
      </c>
      <c r="AP425" s="257"/>
      <c r="AQ425" s="257"/>
      <c r="AR425" s="257"/>
      <c r="AS425" s="257"/>
      <c r="AT425" s="257"/>
      <c r="AU425" s="257"/>
      <c r="AV425" s="257"/>
      <c r="AW425" s="257"/>
      <c r="AX425" s="257"/>
      <c r="AY425" s="257"/>
      <c r="AZ425" s="257"/>
      <c r="BA425" s="257"/>
      <c r="BB425" s="257"/>
      <c r="BC425" s="257"/>
      <c r="BD425" s="257"/>
      <c r="BE425" s="257"/>
      <c r="BF425" s="257"/>
      <c r="BG425" s="257"/>
      <c r="BH425" s="257"/>
      <c r="BI425" s="257"/>
    </row>
    <row r="426" spans="1:61" ht="15.75" hidden="1" customHeight="1">
      <c r="A426" t="str">
        <f t="shared" si="125"/>
        <v>[...]</v>
      </c>
      <c r="B426" s="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316"/>
      <c r="N426" s="162"/>
      <c r="O426" s="505"/>
      <c r="P426" s="504"/>
      <c r="Q426" s="257"/>
      <c r="R426" s="257"/>
      <c r="S426" s="498"/>
      <c r="T426" s="257"/>
      <c r="U426" s="257"/>
      <c r="V426" s="108" t="s">
        <v>21</v>
      </c>
      <c r="W426" s="297"/>
      <c r="X426" s="290"/>
      <c r="Y426" s="290"/>
      <c r="Z426" s="291">
        <f>IFERROR(SUMIF($C:$C,$V426,F:F),0)</f>
        <v>0</v>
      </c>
      <c r="AA426" s="290"/>
      <c r="AB426" s="290"/>
      <c r="AC426" s="291">
        <f>IFERROR(SUMIF($C:$C,$V426,I:I),0)</f>
        <v>0</v>
      </c>
      <c r="AD426" s="299"/>
      <c r="AE426" s="298"/>
      <c r="AF426" s="291">
        <f>IFERROR(SUMIF($C:$C,$V426,L:L),0)</f>
        <v>0</v>
      </c>
      <c r="AG426" s="292"/>
      <c r="AH426" s="293">
        <f t="shared" si="147"/>
        <v>0</v>
      </c>
      <c r="AI426" s="294">
        <f t="shared" si="153"/>
        <v>0</v>
      </c>
      <c r="AJ426" s="299"/>
      <c r="AK426" s="290"/>
      <c r="AL426" s="291">
        <f t="shared" si="156"/>
        <v>0</v>
      </c>
      <c r="AM426" s="295"/>
      <c r="AN426" s="293">
        <f t="shared" si="138"/>
        <v>0</v>
      </c>
      <c r="AO426" s="300">
        <f t="shared" si="148"/>
        <v>0</v>
      </c>
      <c r="AP426" s="257"/>
      <c r="AQ426" s="257"/>
      <c r="AR426" s="257"/>
      <c r="AS426" s="257"/>
      <c r="AT426" s="257"/>
      <c r="AU426" s="257"/>
      <c r="AV426" s="257"/>
      <c r="AW426" s="257"/>
      <c r="AX426" s="257"/>
      <c r="AY426" s="257"/>
      <c r="AZ426" s="257"/>
      <c r="BA426" s="257"/>
      <c r="BB426" s="257"/>
      <c r="BC426" s="257"/>
      <c r="BD426" s="257"/>
      <c r="BE426" s="257"/>
      <c r="BF426" s="257"/>
      <c r="BG426" s="257"/>
      <c r="BH426" s="257"/>
      <c r="BI426" s="257"/>
    </row>
    <row r="427" spans="1:61" ht="15.75" customHeight="1">
      <c r="A427" t="str">
        <f t="shared" si="125"/>
        <v>Salaires en absences</v>
      </c>
      <c r="B427" s="7"/>
      <c r="C427" s="257"/>
      <c r="D427" s="257"/>
      <c r="E427" s="257"/>
      <c r="F427" s="257"/>
      <c r="G427" s="257"/>
      <c r="H427" s="257"/>
      <c r="I427" s="257"/>
      <c r="J427" s="257"/>
      <c r="K427" s="257"/>
      <c r="L427" s="11" t="s">
        <v>227</v>
      </c>
      <c r="M427" s="316"/>
      <c r="N427" s="162"/>
      <c r="O427" s="505"/>
      <c r="P427" s="504"/>
      <c r="Q427" s="257"/>
      <c r="R427" s="257"/>
      <c r="S427" s="498"/>
      <c r="T427" s="257"/>
      <c r="U427" s="257"/>
      <c r="V427" s="109" t="s">
        <v>46</v>
      </c>
      <c r="W427" s="301" t="s">
        <v>148</v>
      </c>
      <c r="X427" s="274"/>
      <c r="Y427" s="274"/>
      <c r="Z427" s="275">
        <f t="shared" si="150"/>
        <v>37414.988572296192</v>
      </c>
      <c r="AA427" s="274"/>
      <c r="AB427" s="274"/>
      <c r="AC427" s="275">
        <f t="shared" si="151"/>
        <v>37414.988572296192</v>
      </c>
      <c r="AD427" s="303"/>
      <c r="AE427" s="302"/>
      <c r="AF427" s="275">
        <f t="shared" si="152"/>
        <v>39441.650000000009</v>
      </c>
      <c r="AG427" s="276"/>
      <c r="AH427" s="277">
        <f t="shared" si="147"/>
        <v>2026.661427703817</v>
      </c>
      <c r="AI427" s="304">
        <f t="shared" si="153"/>
        <v>5.416710000559647E-2</v>
      </c>
      <c r="AJ427" s="303"/>
      <c r="AK427" s="274"/>
      <c r="AL427" s="275">
        <f t="shared" si="154"/>
        <v>43335.24</v>
      </c>
      <c r="AM427" s="279"/>
      <c r="AN427" s="277">
        <f t="shared" si="138"/>
        <v>-3893.5899999999892</v>
      </c>
      <c r="AO427" s="305">
        <f t="shared" si="148"/>
        <v>-8.9848123605638028E-2</v>
      </c>
      <c r="AP427" s="257"/>
      <c r="AQ427" s="257"/>
      <c r="AR427" s="257"/>
      <c r="AS427" s="257"/>
      <c r="AT427" s="257"/>
      <c r="AU427" s="257"/>
      <c r="AV427" s="257"/>
      <c r="AW427" s="257"/>
      <c r="AX427" s="257"/>
      <c r="AY427" s="257"/>
      <c r="AZ427" s="257"/>
      <c r="BA427" s="257"/>
      <c r="BB427" s="257"/>
      <c r="BC427" s="257"/>
      <c r="BD427" s="257"/>
      <c r="BE427" s="257"/>
      <c r="BF427" s="257"/>
      <c r="BG427" s="257"/>
      <c r="BH427" s="257"/>
      <c r="BI427" s="257"/>
    </row>
    <row r="428" spans="1:61" ht="15.75" customHeight="1">
      <c r="A428" t="str">
        <f t="shared" si="125"/>
        <v>Déduction à la source</v>
      </c>
      <c r="B428" s="7"/>
      <c r="C428" s="257"/>
      <c r="D428" s="257"/>
      <c r="E428" s="257"/>
      <c r="F428" s="257"/>
      <c r="G428" s="257"/>
      <c r="H428" s="257"/>
      <c r="I428" s="257"/>
      <c r="J428" s="257"/>
      <c r="K428" s="257"/>
      <c r="L428" s="11" t="s">
        <v>221</v>
      </c>
      <c r="M428" s="316">
        <f>L325</f>
        <v>51.58</v>
      </c>
      <c r="N428" s="497">
        <f>$N$406</f>
        <v>0.53097345132743357</v>
      </c>
      <c r="O428" s="316">
        <f>($J$409*$M$439)*N428</f>
        <v>3873.7157527773888</v>
      </c>
      <c r="P428" s="504"/>
      <c r="Q428" s="495">
        <f>O428-M428</f>
        <v>3822.1357527773889</v>
      </c>
      <c r="R428" s="257">
        <v>6732</v>
      </c>
      <c r="S428" s="498">
        <f>Q428</f>
        <v>3822.1357527773889</v>
      </c>
      <c r="T428" s="257"/>
      <c r="U428" s="257"/>
      <c r="V428" s="108" t="s">
        <v>47</v>
      </c>
      <c r="W428" s="297" t="s">
        <v>149</v>
      </c>
      <c r="X428" s="290"/>
      <c r="Y428" s="290"/>
      <c r="Z428" s="291">
        <f t="shared" si="150"/>
        <v>37414.988572296192</v>
      </c>
      <c r="AA428" s="290"/>
      <c r="AB428" s="290"/>
      <c r="AC428" s="291">
        <f t="shared" si="151"/>
        <v>37414.988572296192</v>
      </c>
      <c r="AD428" s="299"/>
      <c r="AE428" s="298"/>
      <c r="AF428" s="291">
        <f t="shared" si="152"/>
        <v>37071.050000000003</v>
      </c>
      <c r="AG428" s="292"/>
      <c r="AH428" s="293">
        <f t="shared" si="147"/>
        <v>-343.9385722961888</v>
      </c>
      <c r="AI428" s="294">
        <f t="shared" si="153"/>
        <v>-9.1925344740277967E-3</v>
      </c>
      <c r="AJ428" s="299"/>
      <c r="AK428" s="290"/>
      <c r="AL428" s="291">
        <f t="shared" si="154"/>
        <v>34220.81</v>
      </c>
      <c r="AM428" s="295"/>
      <c r="AN428" s="293">
        <f t="shared" si="138"/>
        <v>2850.2400000000052</v>
      </c>
      <c r="AO428" s="300">
        <f t="shared" si="148"/>
        <v>8.3289670817260186E-2</v>
      </c>
      <c r="AP428" s="257"/>
      <c r="AQ428" s="257"/>
      <c r="AR428" s="257"/>
      <c r="AS428" s="257"/>
      <c r="AT428" s="257"/>
      <c r="AU428" s="257"/>
      <c r="AV428" s="257"/>
      <c r="AW428" s="257"/>
      <c r="AX428" s="257"/>
      <c r="AY428" s="257"/>
      <c r="AZ428" s="257"/>
      <c r="BA428" s="257"/>
      <c r="BB428" s="257"/>
      <c r="BC428" s="257"/>
      <c r="BD428" s="257"/>
      <c r="BE428" s="257"/>
      <c r="BF428" s="257"/>
      <c r="BG428" s="257"/>
      <c r="BH428" s="257"/>
      <c r="BI428" s="257"/>
    </row>
    <row r="429" spans="1:61" ht="15.75" customHeight="1">
      <c r="A429" t="str">
        <f t="shared" si="125"/>
        <v>Bénéfices marginaux</v>
      </c>
      <c r="B429" s="7"/>
      <c r="C429" s="257"/>
      <c r="D429" s="257"/>
      <c r="E429" s="257"/>
      <c r="F429" s="257"/>
      <c r="G429" s="257"/>
      <c r="H429" s="257"/>
      <c r="I429" s="257"/>
      <c r="J429" s="257"/>
      <c r="K429" s="257"/>
      <c r="L429" s="11" t="s">
        <v>222</v>
      </c>
      <c r="M429" s="316">
        <f>L326</f>
        <v>2792.49</v>
      </c>
      <c r="N429" s="497">
        <f>$N$407</f>
        <v>0.38053097345132741</v>
      </c>
      <c r="O429" s="316">
        <f>($J$409*$M$439)*N429</f>
        <v>2776.162956157129</v>
      </c>
      <c r="P429" s="504"/>
      <c r="Q429" s="495">
        <f t="shared" ref="Q429:Q430" si="157">O429-M429</f>
        <v>-16.327043842870808</v>
      </c>
      <c r="R429" s="257">
        <v>6739</v>
      </c>
      <c r="S429" s="498">
        <f>Q429</f>
        <v>-16.327043842870808</v>
      </c>
      <c r="T429" s="257"/>
      <c r="U429" s="257"/>
      <c r="V429" s="108" t="s">
        <v>48</v>
      </c>
      <c r="W429" s="297" t="s">
        <v>150</v>
      </c>
      <c r="X429" s="290"/>
      <c r="Y429" s="290"/>
      <c r="Z429" s="291">
        <f t="shared" si="150"/>
        <v>26814.075143478938</v>
      </c>
      <c r="AA429" s="290"/>
      <c r="AB429" s="290"/>
      <c r="AC429" s="291">
        <f t="shared" si="151"/>
        <v>26814.075143478938</v>
      </c>
      <c r="AD429" s="299"/>
      <c r="AE429" s="298"/>
      <c r="AF429" s="291">
        <f t="shared" si="152"/>
        <v>29323.11</v>
      </c>
      <c r="AG429" s="292"/>
      <c r="AH429" s="293">
        <f t="shared" si="147"/>
        <v>2509.0348565210625</v>
      </c>
      <c r="AI429" s="294">
        <f t="shared" si="153"/>
        <v>9.3571560573896886E-2</v>
      </c>
      <c r="AJ429" s="299"/>
      <c r="AK429" s="290"/>
      <c r="AL429" s="291">
        <f t="shared" si="154"/>
        <v>26571.49</v>
      </c>
      <c r="AM429" s="295"/>
      <c r="AN429" s="293">
        <f t="shared" si="138"/>
        <v>2751.619999999999</v>
      </c>
      <c r="AO429" s="300">
        <f t="shared" si="148"/>
        <v>0.10355535199569157</v>
      </c>
      <c r="AP429" s="257"/>
      <c r="AQ429" s="257"/>
      <c r="AR429" s="257"/>
      <c r="AS429" s="257"/>
      <c r="AT429" s="257"/>
      <c r="AU429" s="257"/>
      <c r="AV429" s="257"/>
      <c r="AW429" s="257"/>
      <c r="AX429" s="257"/>
      <c r="AY429" s="257"/>
      <c r="AZ429" s="257"/>
      <c r="BA429" s="257"/>
      <c r="BB429" s="257"/>
      <c r="BC429" s="257"/>
      <c r="BD429" s="257"/>
      <c r="BE429" s="257"/>
      <c r="BF429" s="257"/>
      <c r="BG429" s="257"/>
      <c r="BH429" s="257"/>
      <c r="BI429" s="257"/>
    </row>
    <row r="430" spans="1:61" ht="15.75" customHeight="1">
      <c r="A430" t="str">
        <f t="shared" si="125"/>
        <v>Csst</v>
      </c>
      <c r="B430" s="7"/>
      <c r="C430" s="257"/>
      <c r="D430" s="257"/>
      <c r="E430" s="257"/>
      <c r="F430" s="257"/>
      <c r="G430" s="257"/>
      <c r="H430" s="257"/>
      <c r="I430" s="257"/>
      <c r="J430" s="257"/>
      <c r="K430" s="257"/>
      <c r="L430" s="11" t="s">
        <v>223</v>
      </c>
      <c r="M430" s="316">
        <f>L327</f>
        <v>4494.3499999999995</v>
      </c>
      <c r="N430" s="497">
        <f>$N$408</f>
        <v>8.8495575221238937E-2</v>
      </c>
      <c r="O430" s="316">
        <f>($J$409*$M$439)*N430</f>
        <v>645.61929212956488</v>
      </c>
      <c r="P430" s="504"/>
      <c r="Q430" s="495">
        <f t="shared" si="157"/>
        <v>-3848.7307078704343</v>
      </c>
      <c r="R430" s="257">
        <v>6731</v>
      </c>
      <c r="S430" s="498">
        <f>Q430</f>
        <v>-3848.7307078704343</v>
      </c>
      <c r="T430" s="257"/>
      <c r="U430" s="257"/>
      <c r="V430" s="108" t="s">
        <v>49</v>
      </c>
      <c r="W430" s="297"/>
      <c r="X430" s="290"/>
      <c r="Y430" s="290"/>
      <c r="Z430" s="291">
        <f t="shared" si="150"/>
        <v>6235.831428716032</v>
      </c>
      <c r="AA430" s="290"/>
      <c r="AB430" s="290"/>
      <c r="AC430" s="291">
        <f t="shared" si="151"/>
        <v>6235.831428716032</v>
      </c>
      <c r="AD430" s="299"/>
      <c r="AE430" s="298"/>
      <c r="AF430" s="291">
        <f t="shared" si="152"/>
        <v>10664.26</v>
      </c>
      <c r="AG430" s="292"/>
      <c r="AH430" s="293">
        <f t="shared" si="147"/>
        <v>4428.4285712839683</v>
      </c>
      <c r="AI430" s="317">
        <f t="shared" si="153"/>
        <v>0.71015848037376939</v>
      </c>
      <c r="AJ430" s="299"/>
      <c r="AK430" s="290"/>
      <c r="AL430" s="291">
        <f t="shared" si="154"/>
        <v>12715.619999999999</v>
      </c>
      <c r="AM430" s="295"/>
      <c r="AN430" s="293">
        <f t="shared" si="138"/>
        <v>-2051.3599999999988</v>
      </c>
      <c r="AO430" s="300">
        <f t="shared" si="148"/>
        <v>-0.1613259911824983</v>
      </c>
      <c r="AP430" s="257"/>
      <c r="AQ430" s="257"/>
      <c r="AR430" s="257"/>
      <c r="AS430" s="257"/>
      <c r="AT430" s="257"/>
      <c r="AU430" s="257"/>
      <c r="AV430" s="257"/>
      <c r="AW430" s="257"/>
      <c r="AX430" s="257"/>
      <c r="AY430" s="257"/>
      <c r="AZ430" s="257"/>
      <c r="BA430" s="257"/>
      <c r="BB430" s="257"/>
      <c r="BC430" s="257"/>
      <c r="BD430" s="257"/>
      <c r="BE430" s="257"/>
      <c r="BF430" s="257"/>
      <c r="BG430" s="257"/>
      <c r="BH430" s="257"/>
      <c r="BI430" s="257"/>
    </row>
    <row r="431" spans="1:61" ht="15.75" hidden="1" customHeight="1">
      <c r="A431" t="str">
        <f t="shared" si="12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499"/>
      <c r="Q431" s="502">
        <f>SUM(Q428:Q430)</f>
        <v>-42.921998935916235</v>
      </c>
      <c r="R431" s="257"/>
      <c r="T431" s="257"/>
      <c r="U431" s="257"/>
      <c r="V431" s="30" t="s">
        <v>21</v>
      </c>
      <c r="W431" s="297"/>
      <c r="X431" s="290"/>
      <c r="Y431" s="298"/>
      <c r="Z431" s="291">
        <f>IFERROR(SUMIF($C:$C,$V431,F:F),0)</f>
        <v>0</v>
      </c>
      <c r="AA431" s="290"/>
      <c r="AB431" s="290"/>
      <c r="AC431" s="291">
        <f>IFERROR(SUMIF($C:$C,$V431,I:I),0)</f>
        <v>0</v>
      </c>
      <c r="AD431" s="299"/>
      <c r="AE431" s="298"/>
      <c r="AF431" s="291">
        <f>IFERROR(SUMIF($C:$C,$V431,L:L),0)</f>
        <v>0</v>
      </c>
      <c r="AG431" s="292"/>
      <c r="AH431" s="293">
        <f t="shared" si="147"/>
        <v>0</v>
      </c>
      <c r="AI431" s="294">
        <f t="shared" si="153"/>
        <v>0</v>
      </c>
      <c r="AJ431" s="299"/>
      <c r="AK431" s="290"/>
      <c r="AL431" s="291">
        <f>IFERROR(SUMIF($C:$C,$V431,Q:Q),0)</f>
        <v>0</v>
      </c>
      <c r="AM431" s="295"/>
      <c r="AN431" s="293"/>
      <c r="AO431" s="305"/>
      <c r="AP431" s="257"/>
      <c r="AQ431" s="257"/>
      <c r="AR431" s="257"/>
      <c r="AS431" s="257"/>
      <c r="AT431" s="257"/>
      <c r="AU431" s="257"/>
      <c r="AV431" s="257"/>
      <c r="AW431" s="257"/>
      <c r="AX431" s="257"/>
      <c r="AY431" s="257"/>
      <c r="AZ431" s="257"/>
      <c r="BA431" s="257"/>
      <c r="BB431" s="257"/>
      <c r="BC431" s="257"/>
      <c r="BD431" s="257"/>
      <c r="BE431" s="257"/>
      <c r="BF431" s="257"/>
      <c r="BG431" s="257"/>
      <c r="BH431" s="257"/>
      <c r="BI431" s="257"/>
    </row>
    <row r="432" spans="1:61" ht="15.75" customHeight="1">
      <c r="A432" t="str">
        <f t="shared" si="125"/>
        <v>TOTAL PERSONNEL</v>
      </c>
      <c r="B432" s="7"/>
      <c r="C432" s="257"/>
      <c r="D432" s="257"/>
      <c r="E432" s="257"/>
      <c r="F432" s="257"/>
      <c r="G432" s="257"/>
      <c r="H432" s="257"/>
      <c r="I432" s="257"/>
      <c r="J432" s="257"/>
      <c r="K432" s="257"/>
      <c r="O432" s="506">
        <f>SUM(O428:O431)</f>
        <v>7295.4980010640829</v>
      </c>
      <c r="Q432" s="500">
        <f>SUM(Q428:Q430)</f>
        <v>-42.921998935916235</v>
      </c>
      <c r="R432" s="257"/>
      <c r="T432" s="257"/>
      <c r="U432" s="257"/>
      <c r="V432" s="307" t="s">
        <v>50</v>
      </c>
      <c r="W432" s="308"/>
      <c r="X432" s="309">
        <f>Z432/Z406</f>
        <v>0.51050841439167038</v>
      </c>
      <c r="Y432" s="308"/>
      <c r="Z432" s="310">
        <f>SUM(Z419:Z431)</f>
        <v>268589.31762920314</v>
      </c>
      <c r="AA432" s="309">
        <f>AC432/AC406</f>
        <v>0.51050841439167038</v>
      </c>
      <c r="AB432" s="308"/>
      <c r="AC432" s="310">
        <f>SUM(AC419:AC431)</f>
        <v>268589.31762920314</v>
      </c>
      <c r="AD432" s="311">
        <f>AF432/AF406</f>
        <v>0.46001435648527106</v>
      </c>
      <c r="AE432" s="318"/>
      <c r="AF432" s="310">
        <f>SUM(AF419:AF431)</f>
        <v>285881.12</v>
      </c>
      <c r="AG432" s="319"/>
      <c r="AH432" s="313">
        <f t="shared" si="147"/>
        <v>17291.802370796853</v>
      </c>
      <c r="AI432" s="309">
        <f>AH432/AC432</f>
        <v>6.4380082288562138E-2</v>
      </c>
      <c r="AJ432" s="311">
        <f>IF($AL$406=0,0,AL432/$AL$406)</f>
        <v>0.5309675575357391</v>
      </c>
      <c r="AK432" s="308"/>
      <c r="AL432" s="310">
        <f>SUM(AL419:AL431)</f>
        <v>294352.83</v>
      </c>
      <c r="AM432" s="320"/>
      <c r="AN432" s="313">
        <f t="shared" ref="AN432:AN450" si="158">AF432-AL432</f>
        <v>-8471.710000000021</v>
      </c>
      <c r="AO432" s="288">
        <f>IF(AL432=0,0,AN432/AL432)</f>
        <v>-2.8780800238951399E-2</v>
      </c>
      <c r="AP432" s="257"/>
      <c r="AQ432" s="257"/>
      <c r="AR432" s="257"/>
      <c r="AS432" s="257"/>
      <c r="AT432" s="257"/>
      <c r="AU432" s="257"/>
      <c r="AV432" s="257"/>
      <c r="AW432" s="257"/>
      <c r="AX432" s="257"/>
      <c r="AY432" s="257"/>
      <c r="AZ432" s="257"/>
      <c r="BA432" s="257"/>
      <c r="BB432" s="257"/>
      <c r="BC432" s="257"/>
      <c r="BD432" s="257"/>
      <c r="BE432" s="257"/>
      <c r="BF432" s="257"/>
      <c r="BG432" s="257"/>
      <c r="BH432" s="257"/>
      <c r="BI432" s="257"/>
    </row>
    <row r="433" spans="1:62" ht="15.75" customHeight="1">
      <c r="A433" t="str">
        <f t="shared" si="125"/>
        <v>Publicité 2</v>
      </c>
      <c r="B433" s="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506">
        <f>SUM(M428:M431)</f>
        <v>7338.4199999999992</v>
      </c>
      <c r="N433" s="497">
        <f>M433/$M$439</f>
        <v>9.5231903275462951E-2</v>
      </c>
      <c r="O433" s="507">
        <f>J409</f>
        <v>9.4674897318996198E-2</v>
      </c>
      <c r="P433" s="499">
        <f>O433*$M$439</f>
        <v>7295.4980010640829</v>
      </c>
      <c r="Q433" s="315">
        <f>P433-M433</f>
        <v>-42.921998935916235</v>
      </c>
      <c r="R433" s="257"/>
      <c r="T433" s="257"/>
      <c r="U433" s="257"/>
      <c r="V433" s="221" t="s">
        <v>51</v>
      </c>
      <c r="W433" s="322" t="s">
        <v>140</v>
      </c>
      <c r="X433" s="323"/>
      <c r="Y433" s="323"/>
      <c r="Z433" s="324">
        <f t="shared" ref="Z433:Z447" si="159">+SUMIF($C:$C,$V433,F:F)</f>
        <v>10881.833333333332</v>
      </c>
      <c r="AA433" s="323"/>
      <c r="AB433" s="323"/>
      <c r="AC433" s="324">
        <f t="shared" ref="AC433:AC447" si="160">+SUMIF($C:$C,$V433,I:I)</f>
        <v>10881.833333333332</v>
      </c>
      <c r="AD433" s="325"/>
      <c r="AE433" s="326"/>
      <c r="AF433" s="324">
        <f t="shared" ref="AF433:AF446" si="161">+SUMIF($C:$C,$V433,L:L)</f>
        <v>7462.47</v>
      </c>
      <c r="AG433" s="325"/>
      <c r="AH433" s="327">
        <f t="shared" si="147"/>
        <v>-3419.3633333333319</v>
      </c>
      <c r="AI433" s="328">
        <f>IF(AC433=0,0,AH433/AC433)</f>
        <v>-0.31422676938628591</v>
      </c>
      <c r="AJ433" s="325"/>
      <c r="AK433" s="323"/>
      <c r="AL433" s="324">
        <f t="shared" ref="AL433:AL446" si="162">+SUMIF($C:$C,$V433,Q:Q)</f>
        <v>21975.4</v>
      </c>
      <c r="AM433" s="329"/>
      <c r="AN433" s="327">
        <f t="shared" si="158"/>
        <v>-14512.93</v>
      </c>
      <c r="AO433" s="296">
        <f t="shared" ref="AO433:AO450" si="163">IF(AL433=0,0,AN433/AL433)</f>
        <v>-0.66041710276035925</v>
      </c>
      <c r="AP433" s="257"/>
      <c r="AQ433" s="257"/>
      <c r="AR433" s="257"/>
      <c r="AS433" s="257"/>
      <c r="AT433" s="257"/>
      <c r="AU433" s="257"/>
      <c r="AV433" s="257"/>
      <c r="AW433" s="257"/>
      <c r="AX433" s="257"/>
      <c r="AY433" s="257"/>
      <c r="AZ433" s="257"/>
      <c r="BA433" s="257"/>
      <c r="BB433" s="257"/>
      <c r="BC433" s="257"/>
      <c r="BD433" s="257"/>
      <c r="BE433" s="257"/>
      <c r="BF433" s="257"/>
      <c r="BG433" s="257"/>
      <c r="BH433" s="257"/>
      <c r="BI433" s="257"/>
    </row>
    <row r="434" spans="1:62" ht="15.75" customHeight="1">
      <c r="A434" t="str">
        <f t="shared" si="125"/>
        <v>Service gratuit 2</v>
      </c>
      <c r="B434" s="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 t="s">
        <v>206</v>
      </c>
      <c r="M434" s="257"/>
      <c r="O434" s="505"/>
      <c r="P434" s="508"/>
      <c r="Q434" s="257"/>
      <c r="R434" s="257"/>
      <c r="T434" s="257"/>
      <c r="U434" s="257"/>
      <c r="V434" s="108" t="s">
        <v>52</v>
      </c>
      <c r="W434" s="297" t="s">
        <v>151</v>
      </c>
      <c r="X434" s="290"/>
      <c r="Y434" s="290"/>
      <c r="Z434" s="291">
        <f t="shared" si="159"/>
        <v>5083.1928547194548</v>
      </c>
      <c r="AA434" s="290"/>
      <c r="AB434" s="290"/>
      <c r="AC434" s="291">
        <f t="shared" si="160"/>
        <v>5083.1928547194548</v>
      </c>
      <c r="AD434" s="299"/>
      <c r="AE434" s="298"/>
      <c r="AF434" s="291">
        <f t="shared" si="161"/>
        <v>4992.8</v>
      </c>
      <c r="AG434" s="292"/>
      <c r="AH434" s="293">
        <f t="shared" si="147"/>
        <v>-90.39285471945459</v>
      </c>
      <c r="AI434" s="294">
        <f t="shared" ref="AI434:AI450" si="164">IF(AC434=0,0,AH434/AC434)</f>
        <v>-1.7782692355559553E-2</v>
      </c>
      <c r="AJ434" s="299"/>
      <c r="AK434" s="290"/>
      <c r="AL434" s="291">
        <f t="shared" si="162"/>
        <v>3137.72</v>
      </c>
      <c r="AM434" s="295"/>
      <c r="AN434" s="293">
        <f t="shared" si="158"/>
        <v>1855.0800000000004</v>
      </c>
      <c r="AO434" s="300">
        <f t="shared" si="163"/>
        <v>0.59121910176816306</v>
      </c>
      <c r="AP434" s="257"/>
      <c r="AQ434" s="257"/>
      <c r="AR434" s="257"/>
      <c r="AS434" s="257"/>
      <c r="AT434" s="257"/>
      <c r="AU434" s="257"/>
      <c r="AV434" s="257"/>
      <c r="AW434" s="257"/>
      <c r="AX434" s="257"/>
      <c r="AY434" s="257"/>
      <c r="AZ434" s="257"/>
      <c r="BA434" s="257"/>
      <c r="BB434" s="257"/>
      <c r="BC434" s="257"/>
      <c r="BD434" s="257"/>
      <c r="BE434" s="257"/>
      <c r="BF434" s="257"/>
      <c r="BG434" s="257"/>
      <c r="BH434" s="257"/>
      <c r="BI434" s="257"/>
    </row>
    <row r="435" spans="1:62" ht="15.75" customHeight="1">
      <c r="A435" t="str">
        <f t="shared" si="125"/>
        <v>Frais véhicules de cie</v>
      </c>
      <c r="B435" s="7"/>
      <c r="C435" s="257"/>
      <c r="D435" s="257"/>
      <c r="E435" s="257"/>
      <c r="F435" s="257"/>
      <c r="G435" s="257"/>
      <c r="H435" s="257"/>
      <c r="I435" s="257"/>
      <c r="J435" s="257"/>
      <c r="K435" s="257"/>
      <c r="L435" s="11" t="s">
        <v>221</v>
      </c>
      <c r="M435" s="316">
        <f>M401+M406+M411+M419+M428</f>
        <v>37071.050000000003</v>
      </c>
      <c r="N435" s="497">
        <f>$N$406</f>
        <v>0.53097345132743357</v>
      </c>
      <c r="O435" s="316">
        <f t="shared" ref="O435:O437" si="165">O401+O406+O411+O419+O428</f>
        <v>40915.975221238936</v>
      </c>
      <c r="P435" s="508"/>
      <c r="Q435" s="316">
        <f>Q401+Q406+Q411+Q419+Q428</f>
        <v>3844.925221238931</v>
      </c>
      <c r="R435" s="257"/>
      <c r="T435" s="257"/>
      <c r="U435" s="257"/>
      <c r="V435" s="109" t="s">
        <v>53</v>
      </c>
      <c r="W435" s="301" t="s">
        <v>152</v>
      </c>
      <c r="X435" s="274"/>
      <c r="Y435" s="274"/>
      <c r="Z435" s="275">
        <f t="shared" si="159"/>
        <v>26652.437500000004</v>
      </c>
      <c r="AA435" s="274"/>
      <c r="AB435" s="274"/>
      <c r="AC435" s="275">
        <f t="shared" si="160"/>
        <v>26652.437500000004</v>
      </c>
      <c r="AD435" s="303"/>
      <c r="AE435" s="302"/>
      <c r="AF435" s="275">
        <f t="shared" si="161"/>
        <v>25529.22</v>
      </c>
      <c r="AG435" s="276"/>
      <c r="AH435" s="277">
        <f t="shared" si="147"/>
        <v>-1123.2175000000025</v>
      </c>
      <c r="AI435" s="304">
        <f t="shared" si="164"/>
        <v>-4.2143143568013332E-2</v>
      </c>
      <c r="AJ435" s="303"/>
      <c r="AK435" s="274"/>
      <c r="AL435" s="275">
        <f t="shared" si="162"/>
        <v>39044.530000000006</v>
      </c>
      <c r="AM435" s="279"/>
      <c r="AN435" s="277">
        <f t="shared" si="158"/>
        <v>-13515.310000000005</v>
      </c>
      <c r="AO435" s="280">
        <f t="shared" si="163"/>
        <v>-0.34615117661808203</v>
      </c>
      <c r="AP435" s="257"/>
      <c r="AQ435" s="257"/>
      <c r="AR435" s="257"/>
      <c r="AS435" s="257"/>
      <c r="AT435" s="257"/>
      <c r="AU435" s="257"/>
      <c r="AV435" s="257"/>
      <c r="AW435" s="257"/>
      <c r="AX435" s="257"/>
      <c r="AY435" s="257"/>
      <c r="AZ435" s="257"/>
      <c r="BA435" s="257"/>
      <c r="BB435" s="257"/>
      <c r="BC435" s="257"/>
      <c r="BD435" s="257"/>
      <c r="BE435" s="257"/>
      <c r="BF435" s="257"/>
      <c r="BG435" s="257"/>
      <c r="BH435" s="257"/>
      <c r="BI435" s="257"/>
      <c r="BJ435" s="257"/>
    </row>
    <row r="436" spans="1:62" ht="15.75" customHeight="1">
      <c r="A436" t="str">
        <f t="shared" si="125"/>
        <v>Informatique</v>
      </c>
      <c r="B436" s="7"/>
      <c r="C436" s="257"/>
      <c r="D436" s="257"/>
      <c r="E436" s="257"/>
      <c r="F436" s="257"/>
      <c r="G436" s="257"/>
      <c r="H436" s="257"/>
      <c r="I436" s="257"/>
      <c r="J436" s="257"/>
      <c r="K436" s="257"/>
      <c r="L436" s="11" t="s">
        <v>222</v>
      </c>
      <c r="M436" s="316">
        <f>M402+M407+M412+M420+M429</f>
        <v>29323.11</v>
      </c>
      <c r="N436" s="497">
        <f>$N$407</f>
        <v>0.38053097345132741</v>
      </c>
      <c r="O436" s="316">
        <f t="shared" si="165"/>
        <v>29323.115575221236</v>
      </c>
      <c r="P436" s="508"/>
      <c r="Q436" s="316">
        <f>Q402+Q407+Q412+Q420+Q429</f>
        <v>5.5752212385868916E-3</v>
      </c>
      <c r="R436" s="257"/>
      <c r="T436" s="257"/>
      <c r="U436" s="257"/>
      <c r="V436" s="108" t="s">
        <v>54</v>
      </c>
      <c r="W436" s="297" t="s">
        <v>153</v>
      </c>
      <c r="X436" s="290"/>
      <c r="Y436" s="290"/>
      <c r="Z436" s="291">
        <f t="shared" si="159"/>
        <v>19483.113333333335</v>
      </c>
      <c r="AA436" s="290"/>
      <c r="AB436" s="290"/>
      <c r="AC436" s="291">
        <f t="shared" si="160"/>
        <v>19483.113333333335</v>
      </c>
      <c r="AD436" s="299"/>
      <c r="AE436" s="298"/>
      <c r="AF436" s="291">
        <f t="shared" si="161"/>
        <v>15901.68</v>
      </c>
      <c r="AG436" s="292"/>
      <c r="AH436" s="293">
        <f t="shared" si="147"/>
        <v>-3581.4333333333343</v>
      </c>
      <c r="AI436" s="294">
        <f t="shared" si="164"/>
        <v>-0.18382243494965045</v>
      </c>
      <c r="AJ436" s="299"/>
      <c r="AK436" s="290"/>
      <c r="AL436" s="291">
        <f t="shared" si="162"/>
        <v>17423.199999999997</v>
      </c>
      <c r="AM436" s="295"/>
      <c r="AN436" s="293">
        <f t="shared" si="158"/>
        <v>-1521.5199999999968</v>
      </c>
      <c r="AO436" s="300">
        <f t="shared" si="163"/>
        <v>-8.7327241838468087E-2</v>
      </c>
      <c r="AP436" s="257"/>
      <c r="AQ436" s="257"/>
      <c r="AR436" s="257"/>
      <c r="AS436" s="257"/>
      <c r="AT436" s="257"/>
      <c r="AU436" s="257"/>
      <c r="AV436" s="257"/>
      <c r="AW436" s="257"/>
      <c r="AX436" s="257"/>
      <c r="AY436" s="257"/>
      <c r="AZ436" s="257"/>
      <c r="BA436" s="257"/>
      <c r="BB436" s="257"/>
      <c r="BC436" s="257"/>
      <c r="BD436" s="257"/>
      <c r="BE436" s="257"/>
      <c r="BF436" s="257"/>
      <c r="BG436" s="257"/>
      <c r="BH436" s="257"/>
      <c r="BI436" s="257"/>
      <c r="BJ436" s="257"/>
    </row>
    <row r="437" spans="1:62" ht="15.75" customHeight="1">
      <c r="A437" t="str">
        <f t="shared" si="125"/>
        <v>Frais de déplacement</v>
      </c>
      <c r="B437" s="7"/>
      <c r="C437" s="257"/>
      <c r="D437" s="257"/>
      <c r="E437" s="257"/>
      <c r="F437" s="257"/>
      <c r="G437" s="257"/>
      <c r="H437" s="257"/>
      <c r="I437" s="257"/>
      <c r="J437" s="257"/>
      <c r="K437" s="257"/>
      <c r="L437" s="11" t="s">
        <v>223</v>
      </c>
      <c r="M437" s="316">
        <f>M403+M408+M413+M421+M430</f>
        <v>10664.26</v>
      </c>
      <c r="N437" s="497">
        <f>$N$408</f>
        <v>8.8495575221238937E-2</v>
      </c>
      <c r="O437" s="316">
        <f t="shared" si="165"/>
        <v>6819.3292035398235</v>
      </c>
      <c r="P437" s="508"/>
      <c r="Q437" s="316">
        <f t="shared" ref="Q437" si="166">Q403+Q408+Q413+Q421+Q430</f>
        <v>-3844.9307964601762</v>
      </c>
      <c r="R437" s="257"/>
      <c r="T437" s="257"/>
      <c r="U437" s="257"/>
      <c r="V437" s="108" t="s">
        <v>55</v>
      </c>
      <c r="W437" s="297" t="s">
        <v>154</v>
      </c>
      <c r="X437" s="290"/>
      <c r="Y437" s="290"/>
      <c r="Z437" s="291">
        <f t="shared" si="159"/>
        <v>4989.0524999999998</v>
      </c>
      <c r="AA437" s="290"/>
      <c r="AB437" s="290"/>
      <c r="AC437" s="291">
        <f t="shared" si="160"/>
        <v>4989.0524999999998</v>
      </c>
      <c r="AD437" s="299"/>
      <c r="AE437" s="298"/>
      <c r="AF437" s="291">
        <f t="shared" si="161"/>
        <v>2361.5</v>
      </c>
      <c r="AG437" s="292"/>
      <c r="AH437" s="293">
        <f t="shared" si="147"/>
        <v>-2627.5524999999998</v>
      </c>
      <c r="AI437" s="294">
        <f t="shared" si="164"/>
        <v>-0.52666363001792427</v>
      </c>
      <c r="AJ437" s="299"/>
      <c r="AK437" s="290"/>
      <c r="AL437" s="291">
        <f t="shared" si="162"/>
        <v>6077.0000000000009</v>
      </c>
      <c r="AM437" s="295"/>
      <c r="AN437" s="293">
        <f t="shared" si="158"/>
        <v>-3715.5000000000009</v>
      </c>
      <c r="AO437" s="300">
        <f t="shared" si="163"/>
        <v>-0.61140365311831502</v>
      </c>
      <c r="AP437" s="257"/>
      <c r="AQ437" s="257"/>
      <c r="AR437" s="257"/>
      <c r="AS437" s="257"/>
      <c r="AT437" s="257"/>
      <c r="AU437" s="257"/>
      <c r="AV437" s="257"/>
      <c r="AW437" s="257"/>
      <c r="AX437" s="257"/>
      <c r="AY437" s="257"/>
      <c r="AZ437" s="257"/>
      <c r="BA437" s="257"/>
      <c r="BB437" s="257"/>
      <c r="BC437" s="257"/>
      <c r="BD437" s="257"/>
      <c r="BE437" s="257"/>
      <c r="BF437" s="257"/>
      <c r="BG437" s="257"/>
      <c r="BH437" s="257"/>
      <c r="BI437" s="257"/>
      <c r="BJ437" s="257"/>
    </row>
    <row r="438" spans="1:62" ht="15.75" customHeight="1">
      <c r="A438" t="str">
        <f t="shared" si="125"/>
        <v>Services extérieurs</v>
      </c>
      <c r="B438" s="7"/>
      <c r="C438" s="257"/>
      <c r="D438" s="257"/>
      <c r="E438" s="257"/>
      <c r="F438" s="257"/>
      <c r="G438" s="257"/>
      <c r="H438" s="257"/>
      <c r="I438" s="257"/>
      <c r="J438" s="257"/>
      <c r="K438" s="257"/>
      <c r="L438" s="11"/>
      <c r="M438" s="11"/>
      <c r="N438" s="11"/>
      <c r="O438" s="315">
        <f>SUM(O435:O437)</f>
        <v>77058.419999999984</v>
      </c>
      <c r="P438" s="508"/>
      <c r="Q438" s="315">
        <f>SUM(Q435:Q437)</f>
        <v>-6.8212102632969618E-12</v>
      </c>
      <c r="R438" s="257"/>
      <c r="T438" s="257"/>
      <c r="U438" s="257"/>
      <c r="V438" s="108" t="s">
        <v>56</v>
      </c>
      <c r="W438" s="297" t="s">
        <v>155</v>
      </c>
      <c r="X438" s="290"/>
      <c r="Y438" s="290"/>
      <c r="Z438" s="291">
        <f t="shared" si="159"/>
        <v>24222.601333333332</v>
      </c>
      <c r="AA438" s="290"/>
      <c r="AB438" s="290"/>
      <c r="AC438" s="291">
        <f t="shared" si="160"/>
        <v>24222.601333333332</v>
      </c>
      <c r="AD438" s="299"/>
      <c r="AE438" s="298"/>
      <c r="AF438" s="291">
        <f t="shared" si="161"/>
        <v>16163.55</v>
      </c>
      <c r="AG438" s="292"/>
      <c r="AH438" s="293">
        <f t="shared" si="147"/>
        <v>-8059.0513333333329</v>
      </c>
      <c r="AI438" s="294">
        <f t="shared" si="164"/>
        <v>-0.33270792110354674</v>
      </c>
      <c r="AJ438" s="299"/>
      <c r="AK438" s="290"/>
      <c r="AL438" s="291">
        <f t="shared" si="162"/>
        <v>35378.75</v>
      </c>
      <c r="AM438" s="295"/>
      <c r="AN438" s="293">
        <f t="shared" si="158"/>
        <v>-19215.2</v>
      </c>
      <c r="AO438" s="300">
        <f t="shared" si="163"/>
        <v>-0.54312829028724874</v>
      </c>
      <c r="AP438" s="257"/>
      <c r="AQ438" s="257"/>
      <c r="AR438" s="257"/>
      <c r="AS438" s="257"/>
      <c r="AT438" s="257"/>
      <c r="AU438" s="257"/>
      <c r="AV438" s="257"/>
      <c r="AW438" s="257"/>
      <c r="AX438" s="257"/>
      <c r="AY438" s="257"/>
      <c r="AZ438" s="257"/>
      <c r="BA438" s="257"/>
      <c r="BB438" s="257"/>
      <c r="BC438" s="257"/>
      <c r="BD438" s="257"/>
      <c r="BE438" s="257"/>
      <c r="BF438" s="257"/>
      <c r="BG438" s="257"/>
      <c r="BH438" s="257"/>
      <c r="BI438" s="257"/>
      <c r="BJ438" s="257"/>
    </row>
    <row r="439" spans="1:62" ht="15.75" customHeight="1">
      <c r="B439" s="7"/>
      <c r="C439" s="257"/>
      <c r="D439" s="257"/>
      <c r="E439" s="257"/>
      <c r="F439" s="257"/>
      <c r="G439" s="257"/>
      <c r="H439" s="257"/>
      <c r="I439" s="257"/>
      <c r="J439" s="257"/>
      <c r="K439" s="257"/>
      <c r="M439" s="506">
        <f>SUM(M435:M438)</f>
        <v>77058.42</v>
      </c>
      <c r="N439" s="497">
        <f>M439/$M$439</f>
        <v>1</v>
      </c>
      <c r="O439" s="505"/>
      <c r="P439" s="508"/>
      <c r="Q439" s="257"/>
      <c r="R439" s="257"/>
      <c r="T439" s="257"/>
      <c r="U439" s="257"/>
      <c r="V439" s="222" t="s">
        <v>99</v>
      </c>
      <c r="W439" s="330"/>
      <c r="X439" s="331"/>
      <c r="Y439" s="331"/>
      <c r="Z439" s="332">
        <f t="shared" si="159"/>
        <v>0</v>
      </c>
      <c r="AA439" s="331"/>
      <c r="AB439" s="331"/>
      <c r="AC439" s="332">
        <f t="shared" si="160"/>
        <v>0</v>
      </c>
      <c r="AD439" s="333"/>
      <c r="AE439" s="334"/>
      <c r="AF439" s="332">
        <f t="shared" si="161"/>
        <v>0</v>
      </c>
      <c r="AG439" s="335"/>
      <c r="AH439" s="336">
        <f t="shared" si="147"/>
        <v>0</v>
      </c>
      <c r="AI439" s="337">
        <f t="shared" si="164"/>
        <v>0</v>
      </c>
      <c r="AJ439" s="333"/>
      <c r="AK439" s="331"/>
      <c r="AL439" s="332">
        <f t="shared" si="162"/>
        <v>0</v>
      </c>
      <c r="AM439" s="338"/>
      <c r="AN439" s="336">
        <f t="shared" si="158"/>
        <v>0</v>
      </c>
      <c r="AO439" s="339">
        <f t="shared" si="163"/>
        <v>0</v>
      </c>
      <c r="AP439" s="257"/>
      <c r="AQ439" s="257"/>
      <c r="AR439" s="257"/>
      <c r="AS439" s="257"/>
      <c r="AT439" s="257"/>
      <c r="AU439" s="257"/>
      <c r="AV439" s="257"/>
      <c r="AW439" s="257"/>
      <c r="AX439" s="257"/>
      <c r="AY439" s="257"/>
      <c r="AZ439" s="257"/>
      <c r="BA439" s="257"/>
      <c r="BB439" s="257"/>
      <c r="BC439" s="257"/>
      <c r="BD439" s="257"/>
      <c r="BE439" s="257"/>
      <c r="BF439" s="257"/>
      <c r="BG439" s="257"/>
      <c r="BH439" s="257"/>
      <c r="BI439" s="257"/>
      <c r="BJ439" s="257"/>
    </row>
    <row r="440" spans="1:62" ht="15.75" customHeight="1">
      <c r="A440" t="str">
        <f t="shared" si="125"/>
        <v>Fournitures autres</v>
      </c>
      <c r="B440" s="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340"/>
      <c r="Q440" s="321"/>
      <c r="R440" s="257"/>
      <c r="S440" s="257"/>
      <c r="T440" s="257"/>
      <c r="U440" s="257"/>
      <c r="V440" s="108" t="s">
        <v>57</v>
      </c>
      <c r="W440" s="297" t="s">
        <v>156</v>
      </c>
      <c r="X440" s="290"/>
      <c r="Y440" s="298"/>
      <c r="Z440" s="291">
        <f t="shared" si="159"/>
        <v>1075.8272153679354</v>
      </c>
      <c r="AA440" s="290"/>
      <c r="AB440" s="298"/>
      <c r="AC440" s="291">
        <f t="shared" si="160"/>
        <v>1075.8272153679354</v>
      </c>
      <c r="AD440" s="299"/>
      <c r="AE440" s="298"/>
      <c r="AF440" s="291">
        <f t="shared" si="161"/>
        <v>1148.78</v>
      </c>
      <c r="AG440" s="292"/>
      <c r="AH440" s="293">
        <f t="shared" si="147"/>
        <v>72.952784632064549</v>
      </c>
      <c r="AI440" s="294">
        <f t="shared" si="164"/>
        <v>6.7810874822602923E-2</v>
      </c>
      <c r="AJ440" s="299"/>
      <c r="AK440" s="290"/>
      <c r="AL440" s="291">
        <f t="shared" si="162"/>
        <v>985</v>
      </c>
      <c r="AM440" s="295"/>
      <c r="AN440" s="293">
        <f t="shared" si="158"/>
        <v>163.77999999999997</v>
      </c>
      <c r="AO440" s="300">
        <f t="shared" si="163"/>
        <v>0.16627411167512687</v>
      </c>
      <c r="AP440" s="257"/>
      <c r="AQ440" s="257"/>
      <c r="AR440" s="257"/>
      <c r="AS440" s="257"/>
      <c r="AT440" s="257"/>
      <c r="AU440" s="257"/>
      <c r="AV440" s="257"/>
      <c r="AW440" s="257"/>
      <c r="AX440" s="257"/>
      <c r="AY440" s="257"/>
      <c r="AZ440" s="257"/>
      <c r="BA440" s="257"/>
      <c r="BB440" s="257"/>
      <c r="BC440" s="257"/>
      <c r="BD440" s="257"/>
      <c r="BE440" s="257"/>
      <c r="BF440" s="257"/>
      <c r="BG440" s="257"/>
      <c r="BH440" s="257"/>
      <c r="BI440" s="257"/>
      <c r="BJ440" s="257"/>
    </row>
    <row r="441" spans="1:62" ht="15.75" customHeight="1">
      <c r="A441" t="str">
        <f t="shared" si="125"/>
        <v>Uniformes</v>
      </c>
      <c r="B441" s="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Q441" s="321"/>
      <c r="S441" s="257"/>
      <c r="T441" s="257"/>
      <c r="U441" s="257"/>
      <c r="V441" s="108" t="s">
        <v>58</v>
      </c>
      <c r="W441" s="297" t="s">
        <v>157</v>
      </c>
      <c r="X441" s="290"/>
      <c r="Y441" s="290"/>
      <c r="Z441" s="291">
        <f t="shared" si="159"/>
        <v>1515</v>
      </c>
      <c r="AA441" s="290"/>
      <c r="AB441" s="290"/>
      <c r="AC441" s="291">
        <f t="shared" si="160"/>
        <v>1515</v>
      </c>
      <c r="AD441" s="299"/>
      <c r="AE441" s="298"/>
      <c r="AF441" s="291">
        <f t="shared" si="161"/>
        <v>677.03</v>
      </c>
      <c r="AG441" s="292"/>
      <c r="AH441" s="293">
        <f t="shared" si="147"/>
        <v>-837.97</v>
      </c>
      <c r="AI441" s="317">
        <f t="shared" si="164"/>
        <v>-0.55311551155115513</v>
      </c>
      <c r="AJ441" s="299"/>
      <c r="AK441" s="290"/>
      <c r="AL441" s="291">
        <f t="shared" si="162"/>
        <v>1515</v>
      </c>
      <c r="AM441" s="295"/>
      <c r="AN441" s="293">
        <f t="shared" si="158"/>
        <v>-837.97</v>
      </c>
      <c r="AO441" s="300">
        <f t="shared" si="163"/>
        <v>-0.55311551155115513</v>
      </c>
      <c r="AP441" s="257"/>
      <c r="AQ441" s="257"/>
      <c r="AR441" s="257"/>
      <c r="AS441" s="257"/>
      <c r="AT441" s="257"/>
      <c r="AU441" s="257"/>
      <c r="AV441" s="257"/>
      <c r="AW441" s="257"/>
      <c r="AX441" s="257"/>
      <c r="AY441" s="257"/>
      <c r="AZ441" s="257"/>
      <c r="BA441" s="257"/>
      <c r="BB441" s="257"/>
      <c r="BC441" s="257"/>
      <c r="BD441" s="257"/>
      <c r="BE441" s="257"/>
      <c r="BF441" s="257"/>
      <c r="BG441" s="257"/>
      <c r="BH441" s="257"/>
      <c r="BI441" s="257"/>
      <c r="BJ441" s="257"/>
    </row>
    <row r="442" spans="1:62" ht="15.75" customHeight="1">
      <c r="A442" t="str">
        <f t="shared" si="125"/>
        <v>Papeterie</v>
      </c>
      <c r="B442" s="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340"/>
      <c r="Q442" s="321"/>
      <c r="R442" s="257"/>
      <c r="S442" s="257"/>
      <c r="T442" s="257"/>
      <c r="U442" s="257"/>
      <c r="V442" s="108" t="s">
        <v>59</v>
      </c>
      <c r="W442" s="297" t="s">
        <v>158</v>
      </c>
      <c r="X442" s="290"/>
      <c r="Y442" s="290"/>
      <c r="Z442" s="291">
        <f t="shared" si="159"/>
        <v>2180</v>
      </c>
      <c r="AA442" s="290"/>
      <c r="AB442" s="290"/>
      <c r="AC442" s="291">
        <f t="shared" si="160"/>
        <v>2180</v>
      </c>
      <c r="AD442" s="299"/>
      <c r="AE442" s="298"/>
      <c r="AF442" s="291">
        <f t="shared" si="161"/>
        <v>1999.21</v>
      </c>
      <c r="AG442" s="292"/>
      <c r="AH442" s="293">
        <f t="shared" si="147"/>
        <v>-180.78999999999996</v>
      </c>
      <c r="AI442" s="294">
        <f t="shared" si="164"/>
        <v>-8.2931192660550448E-2</v>
      </c>
      <c r="AJ442" s="299"/>
      <c r="AK442" s="290"/>
      <c r="AL442" s="291">
        <f t="shared" si="162"/>
        <v>1850</v>
      </c>
      <c r="AM442" s="295"/>
      <c r="AN442" s="293">
        <f t="shared" si="158"/>
        <v>149.21000000000004</v>
      </c>
      <c r="AO442" s="300">
        <f t="shared" si="163"/>
        <v>8.065405405405407E-2</v>
      </c>
      <c r="AP442" s="257"/>
      <c r="AQ442" s="257"/>
      <c r="AR442" s="257"/>
      <c r="AS442" s="257"/>
      <c r="AT442" s="257"/>
      <c r="AU442" s="257"/>
      <c r="AV442" s="257"/>
      <c r="AW442" s="257"/>
      <c r="AX442" s="257"/>
      <c r="AY442" s="257"/>
      <c r="AZ442" s="257"/>
      <c r="BA442" s="257"/>
      <c r="BB442" s="257"/>
      <c r="BC442" s="257"/>
      <c r="BD442" s="257"/>
      <c r="BE442" s="257"/>
      <c r="BF442" s="257"/>
      <c r="BG442" s="257"/>
      <c r="BH442" s="257"/>
      <c r="BI442" s="257"/>
      <c r="BJ442" s="257"/>
    </row>
    <row r="443" spans="1:62" ht="15.75" customHeight="1">
      <c r="A443" t="str">
        <f t="shared" si="125"/>
        <v>Téléphone</v>
      </c>
      <c r="B443" s="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321"/>
      <c r="S443" s="257"/>
      <c r="T443" s="257"/>
      <c r="U443" s="257"/>
      <c r="V443" s="108" t="s">
        <v>60</v>
      </c>
      <c r="W443" s="297" t="s">
        <v>159</v>
      </c>
      <c r="X443" s="290"/>
      <c r="Y443" s="290"/>
      <c r="Z443" s="291">
        <f t="shared" si="159"/>
        <v>1949.1</v>
      </c>
      <c r="AA443" s="290"/>
      <c r="AB443" s="290"/>
      <c r="AC443" s="291">
        <f t="shared" si="160"/>
        <v>1949.1</v>
      </c>
      <c r="AD443" s="299"/>
      <c r="AE443" s="298"/>
      <c r="AF443" s="291">
        <f t="shared" si="161"/>
        <v>617.02</v>
      </c>
      <c r="AG443" s="292"/>
      <c r="AH443" s="293">
        <f t="shared" si="147"/>
        <v>-1332.08</v>
      </c>
      <c r="AI443" s="317">
        <f t="shared" si="164"/>
        <v>-0.68343337950849115</v>
      </c>
      <c r="AJ443" s="299"/>
      <c r="AK443" s="290"/>
      <c r="AL443" s="291">
        <f t="shared" si="162"/>
        <v>1656.2400000000002</v>
      </c>
      <c r="AM443" s="295"/>
      <c r="AN443" s="293">
        <f t="shared" si="158"/>
        <v>-1039.2200000000003</v>
      </c>
      <c r="AO443" s="300">
        <f t="shared" si="163"/>
        <v>-0.62745737332753715</v>
      </c>
      <c r="AP443" s="257"/>
      <c r="AQ443" s="257"/>
      <c r="AR443" s="257"/>
      <c r="AS443" s="257"/>
      <c r="AT443" s="257"/>
      <c r="AU443" s="257"/>
      <c r="AV443" s="257"/>
      <c r="AW443" s="257"/>
      <c r="AX443" s="257"/>
      <c r="AY443" s="257"/>
      <c r="AZ443" s="257"/>
      <c r="BA443" s="257"/>
      <c r="BB443" s="257"/>
      <c r="BC443" s="257"/>
      <c r="BD443" s="257"/>
      <c r="BE443" s="257"/>
      <c r="BF443" s="257"/>
      <c r="BG443" s="257"/>
      <c r="BH443" s="257"/>
      <c r="BI443" s="257"/>
      <c r="BJ443" s="257"/>
    </row>
    <row r="444" spans="1:62" ht="15.75" customHeight="1">
      <c r="A444" t="str">
        <f t="shared" si="125"/>
        <v>Frais postaux</v>
      </c>
      <c r="B444" s="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321"/>
      <c r="S444" s="257"/>
      <c r="T444" s="257"/>
      <c r="U444" s="257"/>
      <c r="V444" s="108" t="s">
        <v>61</v>
      </c>
      <c r="W444" s="297" t="s">
        <v>160</v>
      </c>
      <c r="X444" s="290"/>
      <c r="Y444" s="290"/>
      <c r="Z444" s="291">
        <f t="shared" si="159"/>
        <v>865</v>
      </c>
      <c r="AA444" s="290"/>
      <c r="AB444" s="290"/>
      <c r="AC444" s="291">
        <f t="shared" si="160"/>
        <v>865</v>
      </c>
      <c r="AD444" s="299"/>
      <c r="AE444" s="298"/>
      <c r="AF444" s="291">
        <f t="shared" si="161"/>
        <v>520.09</v>
      </c>
      <c r="AG444" s="292"/>
      <c r="AH444" s="293">
        <f t="shared" si="147"/>
        <v>-344.90999999999997</v>
      </c>
      <c r="AI444" s="294">
        <f t="shared" si="164"/>
        <v>-0.39873988439306357</v>
      </c>
      <c r="AJ444" s="299"/>
      <c r="AK444" s="290"/>
      <c r="AL444" s="291">
        <f t="shared" si="162"/>
        <v>222.26</v>
      </c>
      <c r="AM444" s="295"/>
      <c r="AN444" s="293">
        <f t="shared" si="158"/>
        <v>297.83000000000004</v>
      </c>
      <c r="AO444" s="300">
        <f t="shared" si="163"/>
        <v>1.3400071987762083</v>
      </c>
      <c r="AP444" s="257"/>
      <c r="AQ444" s="257"/>
      <c r="AR444" s="257"/>
      <c r="AS444" s="257"/>
      <c r="AT444" s="257"/>
      <c r="AU444" s="257"/>
      <c r="AV444" s="257"/>
      <c r="AW444" s="257"/>
      <c r="AX444" s="257"/>
      <c r="AY444" s="257"/>
      <c r="AZ444" s="257"/>
      <c r="BA444" s="257"/>
      <c r="BB444" s="257"/>
      <c r="BC444" s="257"/>
      <c r="BD444" s="257"/>
      <c r="BE444" s="257"/>
      <c r="BF444" s="257"/>
      <c r="BG444" s="257"/>
      <c r="BH444" s="257"/>
      <c r="BI444" s="257"/>
      <c r="BJ444" s="257"/>
    </row>
    <row r="445" spans="1:62" ht="15.75" customHeight="1">
      <c r="A445" t="str">
        <f t="shared" si="125"/>
        <v>Divers</v>
      </c>
      <c r="B445" s="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321"/>
      <c r="R445" s="257"/>
      <c r="S445" s="257"/>
      <c r="T445" s="257"/>
      <c r="U445" s="257"/>
      <c r="V445" s="108" t="s">
        <v>62</v>
      </c>
      <c r="W445" s="297" t="s">
        <v>161</v>
      </c>
      <c r="X445" s="290"/>
      <c r="Y445" s="298"/>
      <c r="Z445" s="291">
        <f t="shared" si="159"/>
        <v>3891</v>
      </c>
      <c r="AA445" s="290"/>
      <c r="AB445" s="298"/>
      <c r="AC445" s="291">
        <f t="shared" si="160"/>
        <v>3891</v>
      </c>
      <c r="AD445" s="299"/>
      <c r="AE445" s="298"/>
      <c r="AF445" s="291">
        <f t="shared" si="161"/>
        <v>234.77</v>
      </c>
      <c r="AG445" s="292"/>
      <c r="AH445" s="293">
        <f t="shared" si="147"/>
        <v>-3656.23</v>
      </c>
      <c r="AI445" s="317">
        <f t="shared" si="164"/>
        <v>-0.93966332562323307</v>
      </c>
      <c r="AJ445" s="299"/>
      <c r="AK445" s="290"/>
      <c r="AL445" s="291">
        <f t="shared" si="162"/>
        <v>5378.66</v>
      </c>
      <c r="AM445" s="295"/>
      <c r="AN445" s="293">
        <f t="shared" si="158"/>
        <v>-5143.8899999999994</v>
      </c>
      <c r="AO445" s="300">
        <f t="shared" si="163"/>
        <v>-0.95635158199254078</v>
      </c>
      <c r="AP445" s="257"/>
      <c r="AQ445" s="257"/>
      <c r="AR445" s="257"/>
      <c r="AS445" s="257"/>
      <c r="AT445" s="257"/>
      <c r="AU445" s="257"/>
      <c r="AV445" s="257"/>
      <c r="AW445" s="257"/>
      <c r="AX445" s="257"/>
      <c r="AY445" s="257"/>
      <c r="AZ445" s="257"/>
      <c r="BA445" s="257"/>
      <c r="BB445" s="257"/>
      <c r="BC445" s="257"/>
      <c r="BD445" s="257"/>
      <c r="BE445" s="257"/>
      <c r="BF445" s="257"/>
      <c r="BG445" s="257"/>
      <c r="BH445" s="257"/>
      <c r="BI445" s="257"/>
      <c r="BJ445" s="257"/>
    </row>
    <row r="446" spans="1:62" ht="15.75" customHeight="1">
      <c r="A446" t="str">
        <f t="shared" si="125"/>
        <v>Formation</v>
      </c>
      <c r="B446" s="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321"/>
      <c r="R446" s="257"/>
      <c r="S446" s="257"/>
      <c r="T446" s="257"/>
      <c r="U446" s="257"/>
      <c r="V446" s="108" t="s">
        <v>63</v>
      </c>
      <c r="W446" s="297" t="s">
        <v>162</v>
      </c>
      <c r="X446" s="290"/>
      <c r="Y446" s="298"/>
      <c r="Z446" s="291">
        <f t="shared" si="159"/>
        <v>3188.5833333333335</v>
      </c>
      <c r="AA446" s="290"/>
      <c r="AB446" s="298"/>
      <c r="AC446" s="291">
        <f t="shared" si="160"/>
        <v>3188.5833333333335</v>
      </c>
      <c r="AD446" s="299"/>
      <c r="AE446" s="298"/>
      <c r="AF446" s="291">
        <f t="shared" si="161"/>
        <v>2983.5399999999995</v>
      </c>
      <c r="AG446" s="292"/>
      <c r="AH446" s="293">
        <f t="shared" si="147"/>
        <v>-205.04333333333398</v>
      </c>
      <c r="AI446" s="294">
        <f t="shared" si="164"/>
        <v>-6.4305464809346041E-2</v>
      </c>
      <c r="AJ446" s="299"/>
      <c r="AK446" s="290"/>
      <c r="AL446" s="291">
        <f t="shared" si="162"/>
        <v>7762.5</v>
      </c>
      <c r="AM446" s="295"/>
      <c r="AN446" s="293">
        <f t="shared" si="158"/>
        <v>-4778.9600000000009</v>
      </c>
      <c r="AO446" s="300">
        <f t="shared" si="163"/>
        <v>-0.61564702093397761</v>
      </c>
      <c r="AP446" s="257"/>
      <c r="AQ446" s="257"/>
      <c r="AR446" s="257"/>
      <c r="AS446" s="257"/>
      <c r="AT446" s="257"/>
      <c r="AU446" s="257"/>
      <c r="AV446" s="257"/>
      <c r="AW446" s="257"/>
      <c r="AX446" s="257"/>
      <c r="AY446" s="257"/>
      <c r="AZ446" s="257"/>
      <c r="BA446" s="257"/>
      <c r="BB446" s="257"/>
      <c r="BC446" s="257"/>
      <c r="BD446" s="257"/>
      <c r="BE446" s="257"/>
      <c r="BF446" s="257"/>
      <c r="BG446" s="257"/>
      <c r="BH446" s="257"/>
      <c r="BI446" s="257"/>
      <c r="BJ446" s="257"/>
    </row>
    <row r="447" spans="1:62" ht="15.75" customHeight="1">
      <c r="A447" t="str">
        <f t="shared" si="125"/>
        <v>Frais bancaires</v>
      </c>
      <c r="B447" s="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321"/>
      <c r="R447" s="257"/>
      <c r="S447" s="257"/>
      <c r="T447" s="257"/>
      <c r="U447" s="257"/>
      <c r="V447" s="108" t="s">
        <v>64</v>
      </c>
      <c r="W447" s="297" t="s">
        <v>163</v>
      </c>
      <c r="X447" s="290"/>
      <c r="Y447" s="298"/>
      <c r="Z447" s="291">
        <f t="shared" si="159"/>
        <v>7581.8373529437131</v>
      </c>
      <c r="AA447" s="290"/>
      <c r="AB447" s="298"/>
      <c r="AC447" s="291">
        <f t="shared" si="160"/>
        <v>7581.8373529437131</v>
      </c>
      <c r="AD447" s="299"/>
      <c r="AE447" s="298"/>
      <c r="AF447" s="275">
        <f>SUMIFS([7]BV_Data_An_Cour!$O:$O,[7]BV_Data_An_Cour!$V:$V,$V447)</f>
        <v>5895.86</v>
      </c>
      <c r="AG447" s="292"/>
      <c r="AH447" s="293">
        <f t="shared" si="147"/>
        <v>-1685.9773529437134</v>
      </c>
      <c r="AI447" s="294">
        <f t="shared" si="164"/>
        <v>-0.22237055141905918</v>
      </c>
      <c r="AJ447" s="299"/>
      <c r="AK447" s="290"/>
      <c r="AL447" s="291">
        <f>SUMIFS([7]BV_Data_An_Prec!$O:$O,[7]BV_Data_An_Prec!$V:$V,$V447)</f>
        <v>8180.25</v>
      </c>
      <c r="AM447" s="295"/>
      <c r="AN447" s="293">
        <f t="shared" si="158"/>
        <v>-2284.3900000000003</v>
      </c>
      <c r="AO447" s="300">
        <f t="shared" si="163"/>
        <v>-0.27925674643195503</v>
      </c>
      <c r="AP447" s="257"/>
      <c r="AQ447" s="257"/>
      <c r="AR447" s="257"/>
      <c r="AS447" s="257"/>
      <c r="AT447" s="257"/>
      <c r="AU447" s="257"/>
      <c r="AV447" s="257"/>
      <c r="AW447" s="257"/>
      <c r="AX447" s="257"/>
      <c r="AY447" s="257"/>
      <c r="AZ447" s="257"/>
      <c r="BA447" s="257"/>
      <c r="BB447" s="257"/>
      <c r="BC447" s="257"/>
      <c r="BD447" s="257"/>
      <c r="BE447" s="257"/>
      <c r="BF447" s="257"/>
      <c r="BG447" s="257"/>
      <c r="BH447" s="257"/>
      <c r="BI447" s="257"/>
      <c r="BJ447" s="257"/>
    </row>
    <row r="448" spans="1:62" ht="15.75" hidden="1" customHeight="1">
      <c r="A448" t="str">
        <f t="shared" si="125"/>
        <v>[...]</v>
      </c>
      <c r="B448" s="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321"/>
      <c r="R448" s="257"/>
      <c r="S448" s="257"/>
      <c r="T448" s="257"/>
      <c r="U448" s="257"/>
      <c r="V448" s="108" t="s">
        <v>21</v>
      </c>
      <c r="W448" s="297"/>
      <c r="X448" s="290"/>
      <c r="Y448" s="298"/>
      <c r="Z448" s="291">
        <f t="shared" ref="Z448:Z450" si="167">IFERROR(SUMIF($C:$C,$V448,F:F),0)</f>
        <v>0</v>
      </c>
      <c r="AA448" s="290"/>
      <c r="AB448" s="290"/>
      <c r="AC448" s="291">
        <f t="shared" ref="AC448:AC450" si="168">IFERROR(SUMIF($C:$C,$V448,I:I),0)</f>
        <v>0</v>
      </c>
      <c r="AD448" s="299"/>
      <c r="AE448" s="298"/>
      <c r="AF448" s="291">
        <f t="shared" ref="AF448:AF450" si="169">IFERROR(SUMIF($C:$C,$V448,L:L),0)</f>
        <v>0</v>
      </c>
      <c r="AG448" s="292"/>
      <c r="AH448" s="293">
        <f t="shared" si="147"/>
        <v>0</v>
      </c>
      <c r="AI448" s="294">
        <f t="shared" si="164"/>
        <v>0</v>
      </c>
      <c r="AJ448" s="299"/>
      <c r="AK448" s="290"/>
      <c r="AL448" s="291">
        <f t="shared" ref="AL448:AL450" si="170">IFERROR(SUMIF($C:$C,$V448,Q:Q),0)</f>
        <v>0</v>
      </c>
      <c r="AM448" s="295"/>
      <c r="AN448" s="293">
        <f t="shared" si="158"/>
        <v>0</v>
      </c>
      <c r="AO448" s="300">
        <f t="shared" si="163"/>
        <v>0</v>
      </c>
      <c r="AP448" s="257"/>
      <c r="AQ448" s="257"/>
      <c r="AR448" s="257"/>
      <c r="AS448" s="257"/>
      <c r="AT448" s="257"/>
      <c r="AU448" s="257"/>
      <c r="AV448" s="257"/>
      <c r="AW448" s="257"/>
      <c r="AX448" s="257"/>
      <c r="AY448" s="257"/>
      <c r="AZ448" s="257"/>
      <c r="BA448" s="257"/>
      <c r="BB448" s="257"/>
      <c r="BC448" s="257"/>
      <c r="BD448" s="257"/>
      <c r="BE448" s="257"/>
      <c r="BF448" s="257"/>
      <c r="BG448" s="257"/>
      <c r="BH448" s="257"/>
      <c r="BI448" s="257"/>
      <c r="BJ448" s="257"/>
    </row>
    <row r="449" spans="1:62" ht="15.75" hidden="1" customHeight="1">
      <c r="A449" t="str">
        <f t="shared" si="125"/>
        <v>[...]</v>
      </c>
      <c r="B449" s="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321"/>
      <c r="R449" s="257"/>
      <c r="S449" s="257"/>
      <c r="T449" s="257"/>
      <c r="U449" s="257"/>
      <c r="V449" s="108" t="s">
        <v>21</v>
      </c>
      <c r="W449" s="297"/>
      <c r="X449" s="290"/>
      <c r="Y449" s="298"/>
      <c r="Z449" s="291">
        <f t="shared" si="167"/>
        <v>0</v>
      </c>
      <c r="AA449" s="290"/>
      <c r="AB449" s="290"/>
      <c r="AC449" s="291">
        <f t="shared" si="168"/>
        <v>0</v>
      </c>
      <c r="AD449" s="299"/>
      <c r="AE449" s="298"/>
      <c r="AF449" s="291">
        <f t="shared" si="169"/>
        <v>0</v>
      </c>
      <c r="AG449" s="292"/>
      <c r="AH449" s="293">
        <f t="shared" si="147"/>
        <v>0</v>
      </c>
      <c r="AI449" s="294">
        <f t="shared" si="164"/>
        <v>0</v>
      </c>
      <c r="AJ449" s="299"/>
      <c r="AK449" s="290"/>
      <c r="AL449" s="291">
        <f t="shared" si="170"/>
        <v>0</v>
      </c>
      <c r="AM449" s="295"/>
      <c r="AN449" s="293">
        <f t="shared" si="158"/>
        <v>0</v>
      </c>
      <c r="AO449" s="300">
        <f t="shared" si="163"/>
        <v>0</v>
      </c>
      <c r="AP449" s="257"/>
      <c r="AQ449" s="257"/>
      <c r="AR449" s="257"/>
      <c r="AS449" s="257"/>
      <c r="AT449" s="257"/>
      <c r="AU449" s="257"/>
      <c r="AV449" s="257"/>
      <c r="AW449" s="257"/>
      <c r="AX449" s="257"/>
      <c r="AY449" s="257"/>
      <c r="AZ449" s="257"/>
      <c r="BA449" s="257"/>
      <c r="BB449" s="257"/>
      <c r="BC449" s="257"/>
      <c r="BD449" s="257"/>
      <c r="BE449" s="257"/>
      <c r="BF449" s="257"/>
      <c r="BG449" s="257"/>
      <c r="BH449" s="257"/>
      <c r="BI449" s="257"/>
      <c r="BJ449" s="257"/>
    </row>
    <row r="450" spans="1:62" ht="15.75" hidden="1" customHeight="1">
      <c r="A450" t="str">
        <f t="shared" si="125"/>
        <v>[...]</v>
      </c>
      <c r="B450" s="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340"/>
      <c r="Q450" s="321"/>
      <c r="R450" s="257"/>
      <c r="S450" s="257"/>
      <c r="T450" s="257"/>
      <c r="U450" s="257"/>
      <c r="V450" s="108" t="s">
        <v>21</v>
      </c>
      <c r="W450" s="297"/>
      <c r="X450" s="290"/>
      <c r="Y450" s="298"/>
      <c r="Z450" s="291">
        <f t="shared" si="167"/>
        <v>0</v>
      </c>
      <c r="AA450" s="290"/>
      <c r="AB450" s="290"/>
      <c r="AC450" s="291">
        <f t="shared" si="168"/>
        <v>0</v>
      </c>
      <c r="AD450" s="299"/>
      <c r="AE450" s="298"/>
      <c r="AF450" s="291">
        <f t="shared" si="169"/>
        <v>0</v>
      </c>
      <c r="AG450" s="292"/>
      <c r="AH450" s="293">
        <f t="shared" si="147"/>
        <v>0</v>
      </c>
      <c r="AI450" s="294">
        <f t="shared" si="164"/>
        <v>0</v>
      </c>
      <c r="AJ450" s="299"/>
      <c r="AK450" s="290"/>
      <c r="AL450" s="291">
        <f t="shared" si="170"/>
        <v>0</v>
      </c>
      <c r="AM450" s="295"/>
      <c r="AN450" s="293">
        <f t="shared" si="158"/>
        <v>0</v>
      </c>
      <c r="AO450" s="300">
        <f t="shared" si="163"/>
        <v>0</v>
      </c>
      <c r="AP450" s="257"/>
      <c r="AQ450" s="257"/>
      <c r="AR450" s="257"/>
      <c r="AS450" s="257"/>
      <c r="AT450" s="257"/>
      <c r="AU450" s="257"/>
      <c r="AV450" s="257"/>
      <c r="AW450" s="257"/>
      <c r="AX450" s="257"/>
      <c r="AY450" s="257"/>
      <c r="AZ450" s="257"/>
      <c r="BA450" s="257"/>
      <c r="BB450" s="257"/>
      <c r="BC450" s="257"/>
      <c r="BD450" s="257"/>
      <c r="BE450" s="257"/>
      <c r="BF450" s="257"/>
      <c r="BG450" s="257"/>
      <c r="BH450" s="257"/>
      <c r="BI450" s="257"/>
      <c r="BJ450" s="257"/>
    </row>
    <row r="451" spans="1:62" ht="15.75" customHeight="1">
      <c r="A451" t="str">
        <f t="shared" si="125"/>
        <v>TOTAL SEMI-FIXES</v>
      </c>
      <c r="B451" s="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321"/>
      <c r="R451" s="257"/>
      <c r="S451" s="257"/>
      <c r="T451" s="257"/>
      <c r="U451" s="257"/>
      <c r="V451" s="307" t="s">
        <v>65</v>
      </c>
      <c r="W451" s="341"/>
      <c r="X451" s="309">
        <f>Z451/+Z406</f>
        <v>0.21584108591212264</v>
      </c>
      <c r="Y451" s="308"/>
      <c r="Z451" s="310">
        <f>+SUM(Z433:Z450)</f>
        <v>113558.57875636444</v>
      </c>
      <c r="AA451" s="309">
        <f>AC451/+AC406</f>
        <v>0.21584108591212264</v>
      </c>
      <c r="AB451" s="308"/>
      <c r="AC451" s="310">
        <f>+SUM(AC433:AC450)</f>
        <v>113558.57875636444</v>
      </c>
      <c r="AD451" s="311">
        <f>AF451/AF406</f>
        <v>0.13916799002608851</v>
      </c>
      <c r="AE451" s="308"/>
      <c r="AF451" s="310">
        <f>+SUM(AF433:AF450)</f>
        <v>86487.52</v>
      </c>
      <c r="AG451" s="319"/>
      <c r="AH451" s="342">
        <f>+SUM(AH433:AH450)</f>
        <v>-27071.058756364444</v>
      </c>
      <c r="AI451" s="309">
        <f>AH451/AC451</f>
        <v>-0.23838849563663841</v>
      </c>
      <c r="AJ451" s="311">
        <f>IF($AL$406=0,0,AL451/$AL$406)</f>
        <v>0.27163506942512206</v>
      </c>
      <c r="AK451" s="309"/>
      <c r="AL451" s="310">
        <f>+SUM(AL433:AL450)</f>
        <v>150586.51</v>
      </c>
      <c r="AM451" s="320"/>
      <c r="AN451" s="313">
        <f>+SUM(AN433:AN450)</f>
        <v>-64098.990000000005</v>
      </c>
      <c r="AO451" s="343">
        <f>IF(AL451=0,0,AN451/AL451)</f>
        <v>-0.42566223229424732</v>
      </c>
      <c r="AP451" s="257"/>
      <c r="AQ451" s="257"/>
      <c r="AR451" s="257"/>
      <c r="AS451" s="257"/>
      <c r="AT451" s="257"/>
      <c r="AU451" s="257"/>
      <c r="AV451" s="257"/>
      <c r="AW451" s="257"/>
      <c r="AX451" s="257"/>
      <c r="AY451" s="257"/>
      <c r="AZ451" s="257"/>
      <c r="BA451" s="257"/>
      <c r="BB451" s="257"/>
      <c r="BC451" s="257"/>
      <c r="BD451" s="257"/>
      <c r="BE451" s="257"/>
      <c r="BF451" s="257"/>
      <c r="BG451" s="257"/>
      <c r="BH451" s="257"/>
      <c r="BI451" s="257"/>
      <c r="BJ451" s="257"/>
    </row>
    <row r="452" spans="1:62" ht="15.75" customHeight="1">
      <c r="A452" t="str">
        <f t="shared" si="125"/>
        <v>Loyer</v>
      </c>
      <c r="B452" s="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108" t="s">
        <v>164</v>
      </c>
      <c r="W452" s="297" t="s">
        <v>165</v>
      </c>
      <c r="X452" s="290"/>
      <c r="Y452" s="298"/>
      <c r="Z452" s="291">
        <f>+INDEX('[7]Budget original'!$A$2:$AO$496,MATCH($A452,'[7]Budget original'!$A$2:$A$496,0),MATCH(F$2,'[7]Budget original'!$A$2:$AO$2,0))</f>
        <v>26000</v>
      </c>
      <c r="AA452" s="290"/>
      <c r="AB452" s="298"/>
      <c r="AC452" s="291">
        <f>+INDEX('[7]Budget révisé'!$A$2:$AO$496,MATCH($A452,'[7]Budget révisé'!$A$2:$A$496,0),MATCH(I$2,'[7]Budget révisé'!$A$2:$AO$2,0))</f>
        <v>26000</v>
      </c>
      <c r="AD452" s="299"/>
      <c r="AE452" s="298"/>
      <c r="AF452" s="291">
        <f>SUMIFS([7]BV_Data_An_Cour!$O:$O,[7]BV_Data_An_Cour!$V:$V,$V452)</f>
        <v>26000</v>
      </c>
      <c r="AG452" s="292"/>
      <c r="AH452" s="293">
        <f t="shared" ref="AH452:AH460" si="171">AF452-AC452</f>
        <v>0</v>
      </c>
      <c r="AI452" s="294">
        <f>IF(AC452=0,0,AH452/AC452)</f>
        <v>0</v>
      </c>
      <c r="AJ452" s="299"/>
      <c r="AK452" s="290"/>
      <c r="AL452" s="291">
        <f>SUMIFS([7]BV_Data_An_Prec!$O:$O,[7]BV_Data_An_Prec!$V:$V,$V452)</f>
        <v>26000.07</v>
      </c>
      <c r="AM452" s="295"/>
      <c r="AN452" s="293">
        <f t="shared" ref="AN452:AN460" si="172">AF452-AL452</f>
        <v>-6.9999999999708962E-2</v>
      </c>
      <c r="AO452" s="300">
        <f t="shared" ref="AO452:AO460" si="173">IF(AL452=0,0,AN452/AL452)</f>
        <v>-2.6923004437953039E-6</v>
      </c>
      <c r="AP452" s="257"/>
      <c r="AQ452" s="257"/>
      <c r="AR452" s="257"/>
      <c r="AS452" s="257"/>
      <c r="AT452" s="257"/>
      <c r="AU452" s="257"/>
      <c r="AV452" s="257"/>
      <c r="AW452" s="257"/>
      <c r="AX452" s="257"/>
      <c r="AY452" s="257"/>
      <c r="AZ452" s="257"/>
      <c r="BA452" s="257"/>
      <c r="BB452" s="257"/>
      <c r="BC452" s="257"/>
      <c r="BD452" s="257"/>
      <c r="BE452" s="257"/>
      <c r="BF452" s="257"/>
      <c r="BG452" s="257"/>
      <c r="BH452" s="257"/>
      <c r="BI452" s="257"/>
      <c r="BJ452" s="257"/>
    </row>
    <row r="453" spans="1:62" ht="15.75" customHeight="1">
      <c r="A453" t="str">
        <f t="shared" si="125"/>
        <v>Taxes foncières</v>
      </c>
      <c r="B453" s="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108" t="s">
        <v>166</v>
      </c>
      <c r="W453" s="297" t="s">
        <v>167</v>
      </c>
      <c r="X453" s="290"/>
      <c r="Y453" s="298"/>
      <c r="Z453" s="291">
        <f>+INDEX('[7]Budget original'!$A$2:$AO$496,MATCH($A453,'[7]Budget original'!$A$2:$A$496,0),MATCH(F$2,'[7]Budget original'!$A$2:$AO$2,0))</f>
        <v>4810</v>
      </c>
      <c r="AA453" s="290"/>
      <c r="AB453" s="298"/>
      <c r="AC453" s="291">
        <f>+INDEX('[7]Budget révisé'!$A$2:$AO$496,MATCH($A453,'[7]Budget révisé'!$A$2:$A$496,0),MATCH(I$2,'[7]Budget révisé'!$A$2:$AO$2,0))</f>
        <v>4810</v>
      </c>
      <c r="AD453" s="299"/>
      <c r="AE453" s="298"/>
      <c r="AF453" s="291">
        <f>SUMIFS([7]BV_Data_An_Cour!$O:$O,[7]BV_Data_An_Cour!$V:$V,$V453)</f>
        <v>4810</v>
      </c>
      <c r="AG453" s="292"/>
      <c r="AH453" s="293">
        <f t="shared" si="171"/>
        <v>0</v>
      </c>
      <c r="AI453" s="294">
        <f t="shared" ref="AI453:AI460" si="174">IF(AC453=0,0,AH453/AC453)</f>
        <v>0</v>
      </c>
      <c r="AJ453" s="299"/>
      <c r="AK453" s="290"/>
      <c r="AL453" s="291">
        <f>SUMIFS([7]BV_Data_An_Prec!$O:$O,[7]BV_Data_An_Prec!$V:$V,$V453)</f>
        <v>4700</v>
      </c>
      <c r="AM453" s="295"/>
      <c r="AN453" s="293">
        <f t="shared" si="172"/>
        <v>110</v>
      </c>
      <c r="AO453" s="300">
        <f t="shared" si="173"/>
        <v>2.3404255319148935E-2</v>
      </c>
      <c r="AP453" s="257"/>
      <c r="AQ453" s="257"/>
      <c r="AR453" s="257"/>
      <c r="AS453" s="257"/>
      <c r="AT453" s="257"/>
      <c r="AU453" s="257"/>
      <c r="AV453" s="257"/>
      <c r="AW453" s="257"/>
      <c r="AX453" s="257"/>
      <c r="AY453" s="257"/>
      <c r="AZ453" s="257"/>
      <c r="BA453" s="257"/>
      <c r="BB453" s="257"/>
      <c r="BC453" s="257"/>
      <c r="BD453" s="257"/>
      <c r="BE453" s="257"/>
      <c r="BF453" s="257"/>
      <c r="BG453" s="257"/>
      <c r="BH453" s="257"/>
      <c r="BI453" s="257"/>
      <c r="BJ453" s="257"/>
    </row>
    <row r="454" spans="1:62" ht="15.75" customHeight="1">
      <c r="A454" t="str">
        <f t="shared" si="125"/>
        <v>Taxes d`affaires</v>
      </c>
      <c r="B454" s="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109" t="s">
        <v>168</v>
      </c>
      <c r="W454" s="301" t="s">
        <v>169</v>
      </c>
      <c r="X454" s="274"/>
      <c r="Y454" s="302"/>
      <c r="Z454" s="275">
        <f>+INDEX('[7]Budget original'!$A$2:$AO$496,MATCH($A454,'[7]Budget original'!$A$2:$A$496,0),MATCH(F$2,'[7]Budget original'!$A$2:$AO$2,0))</f>
        <v>3200</v>
      </c>
      <c r="AA454" s="274"/>
      <c r="AB454" s="302"/>
      <c r="AC454" s="275">
        <f>+INDEX('[7]Budget révisé'!$A$2:$AO$496,MATCH($A454,'[7]Budget révisé'!$A$2:$A$496,0),MATCH(I$2,'[7]Budget révisé'!$A$2:$AO$2,0))</f>
        <v>3200</v>
      </c>
      <c r="AD454" s="303"/>
      <c r="AE454" s="302"/>
      <c r="AF454" s="275">
        <f>SUMIFS([7]BV_Data_An_Cour!$O:$O,[7]BV_Data_An_Cour!$V:$V,$V454)</f>
        <v>3200</v>
      </c>
      <c r="AG454" s="276"/>
      <c r="AH454" s="277">
        <f t="shared" si="171"/>
        <v>0</v>
      </c>
      <c r="AI454" s="304">
        <f t="shared" si="174"/>
        <v>0</v>
      </c>
      <c r="AJ454" s="303"/>
      <c r="AK454" s="274"/>
      <c r="AL454" s="275">
        <f>SUMIFS([7]BV_Data_An_Prec!$O:$O,[7]BV_Data_An_Prec!$V:$V,$V454)</f>
        <v>3150</v>
      </c>
      <c r="AM454" s="279"/>
      <c r="AN454" s="277">
        <f t="shared" si="172"/>
        <v>50</v>
      </c>
      <c r="AO454" s="280">
        <f t="shared" si="173"/>
        <v>1.5873015873015872E-2</v>
      </c>
      <c r="AP454" s="257"/>
      <c r="AQ454" s="257"/>
      <c r="AR454" s="257"/>
      <c r="AS454" s="257"/>
      <c r="AT454" s="257"/>
      <c r="AU454" s="257"/>
      <c r="AV454" s="257"/>
      <c r="AW454" s="257"/>
      <c r="AX454" s="257"/>
      <c r="AY454" s="257"/>
      <c r="AZ454" s="257"/>
      <c r="BA454" s="257"/>
      <c r="BB454" s="257"/>
      <c r="BC454" s="257"/>
      <c r="BD454" s="257"/>
      <c r="BE454" s="257"/>
      <c r="BF454" s="257"/>
      <c r="BG454" s="257"/>
      <c r="BH454" s="257"/>
      <c r="BI454" s="257"/>
      <c r="BJ454" s="257"/>
    </row>
    <row r="455" spans="1:62" ht="15.75" customHeight="1">
      <c r="A455" t="str">
        <f t="shared" si="125"/>
        <v>Taxe sur le capital</v>
      </c>
      <c r="B455" s="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108" t="s">
        <v>170</v>
      </c>
      <c r="W455" s="297"/>
      <c r="X455" s="290"/>
      <c r="Y455" s="298"/>
      <c r="Z455" s="291">
        <f>+INDEX('[7]Budget original'!$A$2:$AO$496,MATCH($A455,'[7]Budget original'!$A$2:$A$496,0),MATCH(F$2,'[7]Budget original'!$A$2:$AO$2,0))</f>
        <v>0</v>
      </c>
      <c r="AA455" s="290"/>
      <c r="AB455" s="298"/>
      <c r="AC455" s="291">
        <f>+INDEX('[7]Budget révisé'!$A$2:$AO$496,MATCH($A455,'[7]Budget révisé'!$A$2:$A$496,0),MATCH(I$2,'[7]Budget révisé'!$A$2:$AO$2,0))</f>
        <v>0</v>
      </c>
      <c r="AD455" s="299"/>
      <c r="AE455" s="298"/>
      <c r="AF455" s="291">
        <f>SUMIFS([7]BV_Data_An_Cour!$O:$O,[7]BV_Data_An_Cour!$V:$V,$V455)</f>
        <v>0</v>
      </c>
      <c r="AG455" s="292"/>
      <c r="AH455" s="293">
        <f t="shared" si="171"/>
        <v>0</v>
      </c>
      <c r="AI455" s="294">
        <f t="shared" si="174"/>
        <v>0</v>
      </c>
      <c r="AJ455" s="299"/>
      <c r="AK455" s="290"/>
      <c r="AL455" s="291">
        <f>SUMIFS([7]BV_Data_An_Prec!$O:$O,[7]BV_Data_An_Prec!$V:$V,$V455)</f>
        <v>0</v>
      </c>
      <c r="AM455" s="295"/>
      <c r="AN455" s="293">
        <f t="shared" si="172"/>
        <v>0</v>
      </c>
      <c r="AO455" s="300">
        <f t="shared" si="173"/>
        <v>0</v>
      </c>
      <c r="AP455" s="257"/>
      <c r="AQ455" s="257"/>
      <c r="AR455" s="257"/>
      <c r="AS455" s="257"/>
      <c r="AT455" s="257"/>
      <c r="AU455" s="257"/>
      <c r="AV455" s="257"/>
      <c r="AW455" s="257"/>
      <c r="AX455" s="257"/>
      <c r="AY455" s="257"/>
      <c r="AZ455" s="257"/>
      <c r="BA455" s="257"/>
      <c r="BB455" s="257"/>
      <c r="BC455" s="257"/>
      <c r="BD455" s="257"/>
      <c r="BE455" s="257"/>
      <c r="BF455" s="257"/>
      <c r="BG455" s="257"/>
      <c r="BH455" s="257"/>
      <c r="BI455" s="257"/>
      <c r="BJ455" s="257"/>
    </row>
    <row r="456" spans="1:62" ht="15.75" customHeight="1">
      <c r="A456" t="str">
        <f t="shared" si="125"/>
        <v>Assurances</v>
      </c>
      <c r="B456" s="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109" t="s">
        <v>171</v>
      </c>
      <c r="W456" s="301" t="s">
        <v>172</v>
      </c>
      <c r="X456" s="274"/>
      <c r="Y456" s="302"/>
      <c r="Z456" s="275">
        <f>+INDEX('[7]Budget original'!$A$2:$AO$496,MATCH($A456,'[7]Budget original'!$A$2:$A$496,0),MATCH(F$2,'[7]Budget original'!$A$2:$AO$2,0))</f>
        <v>3708.0833333333339</v>
      </c>
      <c r="AA456" s="274"/>
      <c r="AB456" s="302"/>
      <c r="AC456" s="275">
        <f>+INDEX('[7]Budget révisé'!$A$2:$AO$496,MATCH($A456,'[7]Budget révisé'!$A$2:$A$496,0),MATCH(I$2,'[7]Budget révisé'!$A$2:$AO$2,0))</f>
        <v>3708.0833333333339</v>
      </c>
      <c r="AD456" s="303"/>
      <c r="AE456" s="302"/>
      <c r="AF456" s="275">
        <f>SUMIF([7]BV_Data_An_Cour!$V:$V,[7]Print_Mois!$V456,[7]BV_Data_An_Cour!$O:$O)</f>
        <v>3708.11</v>
      </c>
      <c r="AG456" s="276"/>
      <c r="AH456" s="277">
        <f t="shared" si="171"/>
        <v>2.6666666666187666E-2</v>
      </c>
      <c r="AI456" s="304">
        <f t="shared" si="174"/>
        <v>7.1914960557847035E-6</v>
      </c>
      <c r="AJ456" s="303"/>
      <c r="AK456" s="274"/>
      <c r="AL456" s="275">
        <f>SUMIF([7]BV_Data_An_Prec!$V:$V,[7]Print_Mois!$V456,[7]BV_Data_An_Prec!$O:$O)</f>
        <v>1500</v>
      </c>
      <c r="AM456" s="279"/>
      <c r="AN456" s="277">
        <f t="shared" si="172"/>
        <v>2208.11</v>
      </c>
      <c r="AO456" s="280">
        <f t="shared" si="173"/>
        <v>1.4720733333333333</v>
      </c>
      <c r="AP456" s="257"/>
      <c r="AQ456" s="257"/>
      <c r="AR456" s="257"/>
      <c r="AS456" s="257"/>
      <c r="AT456" s="257"/>
      <c r="AU456" s="257"/>
      <c r="AV456" s="257"/>
      <c r="AW456" s="257"/>
      <c r="AX456" s="257"/>
      <c r="AY456" s="257"/>
      <c r="AZ456" s="257"/>
      <c r="BA456" s="257"/>
      <c r="BB456" s="257"/>
      <c r="BC456" s="257"/>
      <c r="BD456" s="257"/>
      <c r="BE456" s="257"/>
      <c r="BF456" s="257"/>
      <c r="BG456" s="257"/>
      <c r="BH456" s="257"/>
      <c r="BI456" s="257"/>
      <c r="BJ456" s="257"/>
    </row>
    <row r="457" spans="1:62" ht="15.75" customHeight="1">
      <c r="A457" t="str">
        <f t="shared" si="125"/>
        <v>Chauffage, éclairage</v>
      </c>
      <c r="B457" s="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108" t="s">
        <v>173</v>
      </c>
      <c r="W457" s="297" t="s">
        <v>174</v>
      </c>
      <c r="X457" s="344"/>
      <c r="Y457" s="345"/>
      <c r="Z457" s="291">
        <f>+INDEX('[7]Budget original'!$A$2:$AO$496,MATCH($A457,'[7]Budget original'!$A$2:$A$496,0),MATCH(F$2,'[7]Budget original'!$A$2:$AO$2,0))</f>
        <v>3810</v>
      </c>
      <c r="AA457" s="344"/>
      <c r="AB457" s="345"/>
      <c r="AC457" s="291">
        <f>+INDEX('[7]Budget révisé'!$A$2:$AO$496,MATCH($A457,'[7]Budget révisé'!$A$2:$A$496,0),MATCH(I$2,'[7]Budget révisé'!$A$2:$AO$2,0))</f>
        <v>3810</v>
      </c>
      <c r="AD457" s="299"/>
      <c r="AE457" s="298"/>
      <c r="AF457" s="534">
        <f>SUMIFS([7]BV_Data_An_Cour!$O:$O,[7]BV_Data_An_Cour!$V:$V,$V457)</f>
        <v>124.46</v>
      </c>
      <c r="AG457" s="292"/>
      <c r="AH457" s="293">
        <f t="shared" si="171"/>
        <v>-3685.54</v>
      </c>
      <c r="AI457" s="294">
        <f t="shared" si="174"/>
        <v>-0.96733333333333338</v>
      </c>
      <c r="AJ457" s="299"/>
      <c r="AK457" s="290"/>
      <c r="AL457" s="291">
        <f>SUMIFS([7]BV_Data_An_Prec!$O:$O,[7]BV_Data_An_Prec!$V:$V,$V457)</f>
        <v>3670.0000000000005</v>
      </c>
      <c r="AM457" s="295"/>
      <c r="AN457" s="293">
        <f t="shared" si="172"/>
        <v>-3545.5400000000004</v>
      </c>
      <c r="AO457" s="300">
        <f t="shared" si="173"/>
        <v>-0.96608719346049043</v>
      </c>
      <c r="AP457" s="257"/>
      <c r="AQ457" s="257"/>
      <c r="AR457" s="257"/>
      <c r="AS457" s="257"/>
      <c r="AT457" s="257"/>
      <c r="AU457" s="257"/>
      <c r="AV457" s="257"/>
      <c r="AW457" s="257"/>
      <c r="AX457" s="257"/>
      <c r="AY457" s="257"/>
      <c r="AZ457" s="257"/>
      <c r="BA457" s="257"/>
      <c r="BB457" s="257"/>
      <c r="BC457" s="257"/>
      <c r="BD457" s="257"/>
      <c r="BE457" s="257"/>
      <c r="BF457" s="257"/>
      <c r="BG457" s="257"/>
      <c r="BH457" s="257"/>
      <c r="BI457" s="257"/>
      <c r="BJ457" s="257"/>
    </row>
    <row r="458" spans="1:62" ht="15.75" customHeight="1">
      <c r="A458" t="str">
        <f t="shared" si="125"/>
        <v>Honoraires</v>
      </c>
      <c r="B458" s="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108" t="s">
        <v>175</v>
      </c>
      <c r="W458" s="297" t="s">
        <v>176</v>
      </c>
      <c r="X458" s="290"/>
      <c r="Y458" s="298"/>
      <c r="Z458" s="291">
        <f>+INDEX('[7]Budget original'!$A$2:$AO$496,MATCH($A458,'[7]Budget original'!$A$2:$A$496,0),MATCH(F$2,'[7]Budget original'!$A$2:$AO$2,0))</f>
        <v>6217.1666666666679</v>
      </c>
      <c r="AA458" s="290"/>
      <c r="AB458" s="298"/>
      <c r="AC458" s="291">
        <f>+INDEX('[7]Budget révisé'!$A$2:$AO$496,MATCH($A458,'[7]Budget révisé'!$A$2:$A$496,0),MATCH(I$2,'[7]Budget révisé'!$A$2:$AO$2,0))</f>
        <v>6217.1666666666679</v>
      </c>
      <c r="AD458" s="299"/>
      <c r="AE458" s="298"/>
      <c r="AF458" s="291">
        <f>SUMIFS([7]BV_Data_An_Cour!$O:$O,[7]BV_Data_An_Cour!$V:$V,$V458)</f>
        <v>6788.5899999999992</v>
      </c>
      <c r="AG458" s="292"/>
      <c r="AH458" s="293">
        <f t="shared" si="171"/>
        <v>571.42333333333136</v>
      </c>
      <c r="AI458" s="294">
        <f t="shared" si="174"/>
        <v>9.1910570195426311E-2</v>
      </c>
      <c r="AJ458" s="299"/>
      <c r="AK458" s="290"/>
      <c r="AL458" s="291">
        <f>SUMIFS([7]BV_Data_An_Prec!$O:$O,[7]BV_Data_An_Prec!$V:$V,$V458)</f>
        <v>8025</v>
      </c>
      <c r="AM458" s="295"/>
      <c r="AN458" s="293">
        <f t="shared" si="172"/>
        <v>-1236.4100000000008</v>
      </c>
      <c r="AO458" s="300">
        <f t="shared" si="173"/>
        <v>-0.15406978193146426</v>
      </c>
      <c r="AP458" s="257"/>
      <c r="AQ458" s="257"/>
      <c r="AR458" s="257"/>
      <c r="AS458" s="257"/>
      <c r="AT458" s="257"/>
      <c r="AU458" s="257"/>
      <c r="AV458" s="257"/>
      <c r="AW458" s="257"/>
      <c r="AX458" s="257"/>
      <c r="AY458" s="257"/>
      <c r="AZ458" s="257"/>
      <c r="BA458" s="257"/>
      <c r="BB458" s="257"/>
      <c r="BC458" s="257"/>
      <c r="BD458" s="257"/>
      <c r="BE458" s="257"/>
      <c r="BF458" s="257"/>
      <c r="BG458" s="257"/>
      <c r="BH458" s="257"/>
      <c r="BI458" s="257"/>
      <c r="BJ458" s="257"/>
    </row>
    <row r="459" spans="1:62" ht="15.75" customHeight="1">
      <c r="A459" t="str">
        <f t="shared" si="125"/>
        <v>Réparation équipement</v>
      </c>
      <c r="B459" s="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109" t="s">
        <v>177</v>
      </c>
      <c r="W459" s="301" t="s">
        <v>178</v>
      </c>
      <c r="X459" s="274"/>
      <c r="Y459" s="302"/>
      <c r="Z459" s="275">
        <f>+INDEX('[7]Budget original'!$A$2:$AO$496,MATCH($A459,'[7]Budget original'!$A$2:$A$496,0),MATCH(F$2,'[7]Budget original'!$A$2:$AO$2,0))</f>
        <v>1000</v>
      </c>
      <c r="AA459" s="274"/>
      <c r="AB459" s="302"/>
      <c r="AC459" s="275">
        <f>+INDEX('[7]Budget révisé'!$A$2:$AO$496,MATCH($A459,'[7]Budget révisé'!$A$2:$A$496,0),MATCH(I$2,'[7]Budget révisé'!$A$2:$AO$2,0))</f>
        <v>1000</v>
      </c>
      <c r="AD459" s="303"/>
      <c r="AE459" s="302"/>
      <c r="AF459" s="275">
        <f>SUMIFS([7]BV_Data_An_Cour!$O:$O,[7]BV_Data_An_Cour!$V:$V,$V459)</f>
        <v>501.69</v>
      </c>
      <c r="AG459" s="276"/>
      <c r="AH459" s="277">
        <f t="shared" si="171"/>
        <v>-498.31</v>
      </c>
      <c r="AI459" s="304">
        <f t="shared" si="174"/>
        <v>-0.49830999999999998</v>
      </c>
      <c r="AJ459" s="303"/>
      <c r="AK459" s="274"/>
      <c r="AL459" s="275">
        <f>SUMIFS([7]BV_Data_An_Prec!$O:$O,[7]BV_Data_An_Prec!$V:$V,$V459)</f>
        <v>884</v>
      </c>
      <c r="AM459" s="279"/>
      <c r="AN459" s="277">
        <f t="shared" si="172"/>
        <v>-382.31</v>
      </c>
      <c r="AO459" s="280">
        <f t="shared" si="173"/>
        <v>-0.43247737556561089</v>
      </c>
      <c r="AP459" s="257"/>
      <c r="AQ459" s="257"/>
      <c r="AR459" s="257"/>
      <c r="AS459" s="257"/>
      <c r="AT459" s="257"/>
      <c r="AU459" s="257"/>
      <c r="AV459" s="257"/>
      <c r="AW459" s="257"/>
      <c r="AX459" s="257"/>
      <c r="AY459" s="257"/>
      <c r="AZ459" s="257"/>
      <c r="BA459" s="257"/>
      <c r="BB459" s="257"/>
      <c r="BC459" s="257"/>
      <c r="BD459" s="257"/>
      <c r="BE459" s="257"/>
      <c r="BF459" s="257"/>
      <c r="BG459" s="257"/>
      <c r="BH459" s="257"/>
      <c r="BI459" s="257"/>
      <c r="BJ459" s="257"/>
    </row>
    <row r="460" spans="1:62" ht="15.75" customHeight="1">
      <c r="A460" t="str">
        <f t="shared" si="125"/>
        <v>Location équipement</v>
      </c>
      <c r="B460" s="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347"/>
      <c r="V460" s="108" t="s">
        <v>179</v>
      </c>
      <c r="W460" s="297" t="s">
        <v>180</v>
      </c>
      <c r="X460" s="290"/>
      <c r="Y460" s="298"/>
      <c r="Z460" s="291">
        <f>+INDEX('[7]Budget original'!$A$2:$AO$496,MATCH($A460,'[7]Budget original'!$A$2:$A$496,0),MATCH(F$2,'[7]Budget original'!$A$2:$AO$2,0))</f>
        <v>900</v>
      </c>
      <c r="AA460" s="290"/>
      <c r="AB460" s="298"/>
      <c r="AC460" s="291">
        <f>+INDEX('[7]Budget révisé'!$A$2:$AO$496,MATCH($A460,'[7]Budget révisé'!$A$2:$A$496,0),MATCH(I$2,'[7]Budget révisé'!$A$2:$AO$2,0))</f>
        <v>900</v>
      </c>
      <c r="AD460" s="299"/>
      <c r="AE460" s="298"/>
      <c r="AF460" s="291">
        <f>SUMIFS([7]BV_Data_An_Cour!$O:$O,[7]BV_Data_An_Cour!$V:$V,$V460)</f>
        <v>0</v>
      </c>
      <c r="AG460" s="292"/>
      <c r="AH460" s="293">
        <f t="shared" si="171"/>
        <v>-900</v>
      </c>
      <c r="AI460" s="348">
        <f t="shared" si="174"/>
        <v>-1</v>
      </c>
      <c r="AJ460" s="290"/>
      <c r="AK460" s="290"/>
      <c r="AL460" s="291">
        <f>SUMIFS([7]BV_Data_An_Prec!$O:$O,[7]BV_Data_An_Prec!$V:$V,$V460)</f>
        <v>900</v>
      </c>
      <c r="AM460" s="295"/>
      <c r="AN460" s="293">
        <f t="shared" si="172"/>
        <v>-900</v>
      </c>
      <c r="AO460" s="300">
        <f t="shared" si="173"/>
        <v>-1</v>
      </c>
      <c r="AP460" s="257"/>
      <c r="AQ460" s="257"/>
      <c r="AR460" s="257"/>
      <c r="AS460" s="257"/>
      <c r="AT460" s="257"/>
      <c r="AU460" s="257"/>
      <c r="AV460" s="257"/>
      <c r="AW460" s="257"/>
      <c r="AX460" s="257"/>
      <c r="AY460" s="257"/>
      <c r="AZ460" s="257"/>
      <c r="BA460" s="257"/>
      <c r="BB460" s="257"/>
      <c r="BC460" s="257"/>
      <c r="BD460" s="257"/>
      <c r="BE460" s="257"/>
      <c r="BF460" s="257"/>
      <c r="BG460" s="257"/>
      <c r="BH460" s="257"/>
      <c r="BI460" s="257"/>
      <c r="BJ460" s="257"/>
    </row>
    <row r="461" spans="1:62" ht="15.75" customHeight="1">
      <c r="A461" t="str">
        <f t="shared" si="125"/>
        <v>Dons</v>
      </c>
      <c r="B461" s="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347"/>
      <c r="V461" s="108" t="s">
        <v>181</v>
      </c>
      <c r="W461" s="297" t="s">
        <v>182</v>
      </c>
      <c r="X461" s="290"/>
      <c r="Y461" s="298"/>
      <c r="Z461" s="291">
        <v>0</v>
      </c>
      <c r="AA461" s="290"/>
      <c r="AB461" s="298"/>
      <c r="AC461" s="291">
        <v>0</v>
      </c>
      <c r="AD461" s="299"/>
      <c r="AE461" s="298"/>
      <c r="AF461" s="291">
        <v>0</v>
      </c>
      <c r="AG461" s="292"/>
      <c r="AH461" s="293">
        <v>0</v>
      </c>
      <c r="AI461" s="317">
        <v>0</v>
      </c>
      <c r="AJ461" s="290"/>
      <c r="AK461" s="290"/>
      <c r="AL461" s="291">
        <v>0</v>
      </c>
      <c r="AM461" s="295"/>
      <c r="AN461" s="293">
        <v>0</v>
      </c>
      <c r="AO461" s="300">
        <v>0</v>
      </c>
      <c r="AP461" s="257"/>
      <c r="AQ461" s="257"/>
      <c r="AR461" s="257"/>
      <c r="AS461" s="257"/>
      <c r="AT461" s="257"/>
      <c r="AU461" s="257"/>
      <c r="AV461" s="257"/>
      <c r="AW461" s="257"/>
      <c r="AX461" s="257"/>
      <c r="AY461" s="257"/>
      <c r="AZ461" s="257"/>
      <c r="BA461" s="257"/>
      <c r="BB461" s="257"/>
      <c r="BC461" s="257"/>
      <c r="BD461" s="257"/>
      <c r="BE461" s="257"/>
      <c r="BF461" s="257"/>
      <c r="BG461" s="257"/>
      <c r="BH461" s="257"/>
      <c r="BI461" s="257"/>
      <c r="BJ461" s="257"/>
    </row>
    <row r="462" spans="1:62" ht="15.75" hidden="1" customHeight="1">
      <c r="A462" t="str">
        <f t="shared" si="125"/>
        <v>[...]</v>
      </c>
      <c r="B462" s="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347"/>
      <c r="V462" s="108" t="s">
        <v>21</v>
      </c>
      <c r="W462" s="297"/>
      <c r="X462" s="290"/>
      <c r="Y462" s="298"/>
      <c r="Z462" s="291">
        <f t="shared" ref="Z462:Z464" si="175">IFERROR(SUMIF($C:$C,$V462,F:F),0)</f>
        <v>0</v>
      </c>
      <c r="AA462" s="290"/>
      <c r="AB462" s="290"/>
      <c r="AC462" s="291">
        <f t="shared" ref="AC462:AC464" si="176">IFERROR(SUMIF($C:$C,$V462,I:I),0)</f>
        <v>0</v>
      </c>
      <c r="AD462" s="299"/>
      <c r="AE462" s="298"/>
      <c r="AF462" s="291">
        <f t="shared" ref="AF462:AF464" si="177">IFERROR(SUMIF($C:$C,$V462,L:L),0)</f>
        <v>0</v>
      </c>
      <c r="AG462" s="292"/>
      <c r="AH462" s="293">
        <f t="shared" ref="AH462:AH464" si="178">AF462-AC462</f>
        <v>0</v>
      </c>
      <c r="AI462" s="294">
        <f t="shared" ref="AI462:AI464" si="179">IF(AC462=0,0,AH462/AC462)</f>
        <v>0</v>
      </c>
      <c r="AJ462" s="299"/>
      <c r="AK462" s="290"/>
      <c r="AL462" s="291">
        <f t="shared" ref="AL462:AL464" si="180">IFERROR(SUMIF($C:$C,$V462,Q:Q),0)</f>
        <v>0</v>
      </c>
      <c r="AM462" s="295"/>
      <c r="AN462" s="293">
        <v>0</v>
      </c>
      <c r="AO462" s="300">
        <v>1</v>
      </c>
      <c r="AP462" s="257"/>
      <c r="AQ462" s="257"/>
      <c r="AR462" s="257"/>
      <c r="AS462" s="257"/>
      <c r="AT462" s="257"/>
      <c r="AU462" s="257"/>
      <c r="AV462" s="257"/>
      <c r="AW462" s="257"/>
      <c r="AX462" s="257"/>
      <c r="AY462" s="257"/>
      <c r="AZ462" s="257"/>
      <c r="BA462" s="257"/>
      <c r="BB462" s="257"/>
      <c r="BC462" s="257"/>
      <c r="BD462" s="257"/>
      <c r="BE462" s="257"/>
      <c r="BF462" s="257"/>
      <c r="BG462" s="257"/>
      <c r="BH462" s="257"/>
      <c r="BI462" s="257"/>
      <c r="BJ462" s="257"/>
    </row>
    <row r="463" spans="1:62" ht="15.75" hidden="1" customHeight="1">
      <c r="A463" t="str">
        <f t="shared" si="125"/>
        <v>[...]</v>
      </c>
      <c r="B463" s="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347"/>
      <c r="V463" s="108" t="s">
        <v>21</v>
      </c>
      <c r="W463" s="297"/>
      <c r="X463" s="290"/>
      <c r="Y463" s="298"/>
      <c r="Z463" s="291">
        <f t="shared" si="175"/>
        <v>0</v>
      </c>
      <c r="AA463" s="290"/>
      <c r="AB463" s="290"/>
      <c r="AC463" s="291">
        <f t="shared" si="176"/>
        <v>0</v>
      </c>
      <c r="AD463" s="299"/>
      <c r="AE463" s="298"/>
      <c r="AF463" s="291">
        <f t="shared" si="177"/>
        <v>0</v>
      </c>
      <c r="AG463" s="292"/>
      <c r="AH463" s="293">
        <f t="shared" si="178"/>
        <v>0</v>
      </c>
      <c r="AI463" s="294">
        <f t="shared" si="179"/>
        <v>0</v>
      </c>
      <c r="AJ463" s="299"/>
      <c r="AK463" s="290"/>
      <c r="AL463" s="291">
        <f t="shared" si="180"/>
        <v>0</v>
      </c>
      <c r="AM463" s="295"/>
      <c r="AN463" s="293">
        <v>0</v>
      </c>
      <c r="AO463" s="300">
        <v>2</v>
      </c>
      <c r="AP463" s="257"/>
      <c r="AQ463" s="257"/>
      <c r="AR463" s="257"/>
      <c r="AS463" s="257"/>
      <c r="AT463" s="257"/>
      <c r="AU463" s="257"/>
      <c r="AV463" s="257"/>
      <c r="AW463" s="257"/>
      <c r="AX463" s="257"/>
      <c r="AY463" s="257"/>
      <c r="AZ463" s="257"/>
      <c r="BA463" s="257"/>
      <c r="BB463" s="257"/>
      <c r="BC463" s="257"/>
      <c r="BD463" s="257"/>
      <c r="BE463" s="257"/>
      <c r="BF463" s="257"/>
      <c r="BG463" s="257"/>
      <c r="BH463" s="257"/>
      <c r="BI463" s="257"/>
      <c r="BJ463" s="257"/>
    </row>
    <row r="464" spans="1:62" ht="15.75" hidden="1" customHeight="1">
      <c r="A464" t="str">
        <f t="shared" si="125"/>
        <v>[...]</v>
      </c>
      <c r="B464" s="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108" t="s">
        <v>21</v>
      </c>
      <c r="W464" s="297"/>
      <c r="X464" s="290"/>
      <c r="Y464" s="298"/>
      <c r="Z464" s="291">
        <f t="shared" si="175"/>
        <v>0</v>
      </c>
      <c r="AA464" s="290"/>
      <c r="AB464" s="290"/>
      <c r="AC464" s="291">
        <f t="shared" si="176"/>
        <v>0</v>
      </c>
      <c r="AD464" s="299"/>
      <c r="AE464" s="298"/>
      <c r="AF464" s="291">
        <f t="shared" si="177"/>
        <v>0</v>
      </c>
      <c r="AG464" s="292"/>
      <c r="AH464" s="293">
        <f t="shared" si="178"/>
        <v>0</v>
      </c>
      <c r="AI464" s="294">
        <f t="shared" si="179"/>
        <v>0</v>
      </c>
      <c r="AJ464" s="299"/>
      <c r="AK464" s="290"/>
      <c r="AL464" s="291">
        <f t="shared" si="180"/>
        <v>0</v>
      </c>
      <c r="AM464" s="295"/>
      <c r="AN464" s="293">
        <v>0</v>
      </c>
      <c r="AO464" s="300">
        <v>3</v>
      </c>
      <c r="AP464" s="257"/>
      <c r="AQ464" s="257"/>
      <c r="AR464" s="257"/>
      <c r="AS464" s="257"/>
      <c r="AT464" s="257"/>
      <c r="AU464" s="257"/>
      <c r="AV464" s="257"/>
      <c r="AW464" s="257"/>
      <c r="AX464" s="257"/>
      <c r="AY464" s="257"/>
      <c r="AZ464" s="257"/>
      <c r="BA464" s="257"/>
      <c r="BB464" s="257"/>
      <c r="BC464" s="257"/>
      <c r="BD464" s="257"/>
      <c r="BE464" s="257"/>
      <c r="BF464" s="257"/>
      <c r="BG464" s="257"/>
      <c r="BH464" s="257"/>
      <c r="BI464" s="257"/>
      <c r="BJ464" s="257"/>
    </row>
    <row r="465" spans="1:62" ht="15.75" customHeight="1">
      <c r="A465" t="str">
        <f t="shared" si="125"/>
        <v>TOTAL DÉPENSES FIXES</v>
      </c>
      <c r="B465" s="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307" t="s">
        <v>183</v>
      </c>
      <c r="W465" s="308"/>
      <c r="X465" s="309">
        <f>Z465/+Z406</f>
        <v>9.436085576034256E-2</v>
      </c>
      <c r="Y465" s="308"/>
      <c r="Z465" s="310">
        <f>SUM(Z452:Z464)</f>
        <v>49645.25</v>
      </c>
      <c r="AA465" s="309">
        <f>AC465/+AC406</f>
        <v>9.436085576034256E-2</v>
      </c>
      <c r="AB465" s="308"/>
      <c r="AC465" s="310">
        <f>SUM(AC452:AC464)</f>
        <v>49645.25</v>
      </c>
      <c r="AD465" s="311">
        <f>AF465/AF406</f>
        <v>7.2623749861817619E-2</v>
      </c>
      <c r="AE465" s="308"/>
      <c r="AF465" s="310">
        <f>SUM(AF452:AF464)</f>
        <v>45132.85</v>
      </c>
      <c r="AG465" s="319"/>
      <c r="AH465" s="349">
        <f>SUM(AH452:AH464)</f>
        <v>-4512.4000000000024</v>
      </c>
      <c r="AI465" s="309">
        <f>IF(AC465=0,0,AH465/AC465)</f>
        <v>-9.0892885019211347E-2</v>
      </c>
      <c r="AJ465" s="311">
        <f>IF($AL$406=0,0,AL465/$AL$406)</f>
        <v>8.8080186063241278E-2</v>
      </c>
      <c r="AK465" s="309"/>
      <c r="AL465" s="310">
        <f>SUM(AL452:AL464)</f>
        <v>48829.07</v>
      </c>
      <c r="AM465" s="320"/>
      <c r="AN465" s="313">
        <f>SUM(AN452:AN464)</f>
        <v>-3696.2200000000007</v>
      </c>
      <c r="AO465" s="343">
        <f>IF(AL465=0,0,AN465/AL465)</f>
        <v>-7.5697120588207004E-2</v>
      </c>
      <c r="AP465" s="257"/>
      <c r="AQ465" s="257"/>
      <c r="AR465" s="257"/>
      <c r="AS465" s="257"/>
      <c r="AT465" s="257"/>
      <c r="AU465" s="257"/>
      <c r="AV465" s="257"/>
      <c r="AW465" s="257"/>
      <c r="AX465" s="257"/>
      <c r="AY465" s="257"/>
      <c r="AZ465" s="257"/>
      <c r="BA465" s="257"/>
      <c r="BB465" s="257"/>
      <c r="BC465" s="257"/>
      <c r="BD465" s="257"/>
      <c r="BE465" s="257"/>
      <c r="BF465" s="257"/>
      <c r="BG465" s="257"/>
      <c r="BH465" s="257"/>
      <c r="BI465" s="257"/>
      <c r="BJ465" s="257"/>
    </row>
    <row r="466" spans="1:62" ht="15.75" customHeight="1">
      <c r="A466" t="str">
        <f t="shared" si="125"/>
        <v/>
      </c>
      <c r="B466" s="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108"/>
      <c r="W466" s="290"/>
      <c r="X466" s="290"/>
      <c r="Y466" s="290"/>
      <c r="Z466" s="350"/>
      <c r="AA466" s="290"/>
      <c r="AB466" s="290"/>
      <c r="AC466" s="350"/>
      <c r="AD466" s="299"/>
      <c r="AE466" s="290"/>
      <c r="AF466" s="350"/>
      <c r="AG466" s="299"/>
      <c r="AH466" s="293">
        <f t="shared" ref="AH466:AH480" si="181">AF466-AC466</f>
        <v>0</v>
      </c>
      <c r="AI466" s="294"/>
      <c r="AJ466" s="299"/>
      <c r="AK466" s="290"/>
      <c r="AL466" s="350"/>
      <c r="AM466" s="351"/>
      <c r="AN466" s="293">
        <f t="shared" ref="AN466:AN482" si="182">AF466-AL466</f>
        <v>0</v>
      </c>
      <c r="AO466" s="352">
        <f>IF(AL466=0,0,AN466/AL466)</f>
        <v>0</v>
      </c>
      <c r="AP466" s="257"/>
      <c r="AQ466" s="257"/>
      <c r="AR466" s="257"/>
      <c r="AS466" s="257"/>
      <c r="AT466" s="257"/>
      <c r="AU466" s="257"/>
      <c r="AV466" s="257"/>
      <c r="AW466" s="257"/>
      <c r="AX466" s="257"/>
      <c r="AY466" s="257"/>
      <c r="AZ466" s="257"/>
      <c r="BA466" s="257"/>
      <c r="BB466" s="257"/>
      <c r="BC466" s="257"/>
      <c r="BD466" s="257"/>
      <c r="BE466" s="257"/>
      <c r="BF466" s="257"/>
      <c r="BG466" s="257"/>
      <c r="BH466" s="257"/>
      <c r="BI466" s="257"/>
      <c r="BJ466" s="257"/>
    </row>
    <row r="467" spans="1:62" ht="15.75" customHeight="1">
      <c r="A467" t="str">
        <f t="shared" si="125"/>
        <v>TOTAL DES DÉPENSES</v>
      </c>
      <c r="B467" s="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307" t="s">
        <v>66</v>
      </c>
      <c r="W467" s="308"/>
      <c r="X467" s="309">
        <f>Z467/+Z406</f>
        <v>1.0627349485085003</v>
      </c>
      <c r="Y467" s="308"/>
      <c r="Z467" s="310">
        <f>Z418+Z432+Z451+Z465</f>
        <v>559127.42394410528</v>
      </c>
      <c r="AA467" s="309">
        <f>AC467/+AC406</f>
        <v>1.0627349485085003</v>
      </c>
      <c r="AB467" s="308"/>
      <c r="AC467" s="310">
        <f>AC418+AC432+AC451+AC465</f>
        <v>559127.42394410528</v>
      </c>
      <c r="AD467" s="311">
        <f>AF467/AF406</f>
        <v>0.91214127090455988</v>
      </c>
      <c r="AE467" s="308"/>
      <c r="AF467" s="310">
        <f>AF418+AF432+AF451+AF465</f>
        <v>566860.5</v>
      </c>
      <c r="AG467" s="319"/>
      <c r="AH467" s="313">
        <f t="shared" si="181"/>
        <v>7733.0760558947222</v>
      </c>
      <c r="AI467" s="309">
        <f>AH467/AC467</f>
        <v>1.3830614855814657E-2</v>
      </c>
      <c r="AJ467" s="311">
        <f>IF($AL$406=0,0,AL467/$AL$406)</f>
        <v>1.1491471996217695</v>
      </c>
      <c r="AK467" s="309"/>
      <c r="AL467" s="310">
        <f>AL418+AL432+AL451+AL465</f>
        <v>637053.48</v>
      </c>
      <c r="AM467" s="320"/>
      <c r="AN467" s="313">
        <f t="shared" si="182"/>
        <v>-70192.979999999981</v>
      </c>
      <c r="AO467" s="288">
        <f>IF(AL467=0,0,AN467/AL467)</f>
        <v>-0.11018381062764147</v>
      </c>
      <c r="AP467" s="257"/>
      <c r="AQ467" s="257"/>
      <c r="AR467" s="257"/>
      <c r="AS467" s="257"/>
      <c r="AT467" s="257"/>
      <c r="AU467" s="257"/>
      <c r="AV467" s="257"/>
      <c r="AW467" s="257"/>
      <c r="AX467" s="257"/>
      <c r="AY467" s="257"/>
      <c r="AZ467" s="257"/>
      <c r="BA467" s="257"/>
      <c r="BB467" s="257"/>
      <c r="BC467" s="257"/>
      <c r="BD467" s="257"/>
      <c r="BE467" s="257"/>
      <c r="BF467" s="257"/>
      <c r="BG467" s="257"/>
      <c r="BH467" s="257"/>
      <c r="BI467" s="257"/>
      <c r="BJ467" s="257"/>
    </row>
    <row r="468" spans="1:62" ht="15.75" customHeight="1">
      <c r="A468" t="str">
        <f t="shared" si="125"/>
        <v>Revenus autres</v>
      </c>
      <c r="B468" s="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108" t="s">
        <v>184</v>
      </c>
      <c r="W468" s="345"/>
      <c r="X468" s="345"/>
      <c r="Y468" s="290"/>
      <c r="Z468" s="324">
        <f>+INDEX('[7]Budget original'!$A$2:$AO$496,MATCH($A468,'[7]Budget original'!$A$2:$A$496,0),MATCH(F$2,'[7]Budget original'!$A$2:$AO$2,0))</f>
        <v>0</v>
      </c>
      <c r="AA468" s="353"/>
      <c r="AB468" s="354"/>
      <c r="AC468" s="324">
        <f>+INDEX('[7]Budget révisé'!$A$2:$AO$496,MATCH($A468,'[7]Budget révisé'!$A$2:$A$496,0),MATCH(I$2,'[7]Budget révisé'!$A$2:$AO$2,0))</f>
        <v>0</v>
      </c>
      <c r="AD468" s="355"/>
      <c r="AE468" s="354"/>
      <c r="AF468" s="291">
        <f>-SUMIFS([7]BV_Data_An_Cour!$O:$O,[7]BV_Data_An_Cour!$V:$V,$V468)</f>
        <v>9287.19</v>
      </c>
      <c r="AG468" s="356"/>
      <c r="AH468" s="293">
        <f t="shared" si="181"/>
        <v>9287.19</v>
      </c>
      <c r="AI468" s="348" t="e">
        <f t="shared" ref="AI468:AI475" si="183">IF(AH468=0,0,AH468/AC468)</f>
        <v>#DIV/0!</v>
      </c>
      <c r="AJ468" s="355"/>
      <c r="AK468" s="353"/>
      <c r="AL468" s="357">
        <f>-SUMIFS([7]BV_Data_An_Prec!$O:$O,[7]BV_Data_An_Prec!$V:$V,$V468)</f>
        <v>19268.11</v>
      </c>
      <c r="AM468" s="358"/>
      <c r="AN468" s="293">
        <f t="shared" si="182"/>
        <v>-9980.92</v>
      </c>
      <c r="AO468" s="300">
        <f>IF(AL468=0,0,AN468/AL468)</f>
        <v>-0.51800202510780768</v>
      </c>
      <c r="AP468" s="257"/>
      <c r="AQ468" s="257" t="s">
        <v>254</v>
      </c>
      <c r="AR468" s="257"/>
      <c r="AS468" s="257"/>
      <c r="AT468" s="257"/>
      <c r="AU468" s="257"/>
      <c r="AV468" s="257"/>
      <c r="AW468" s="257"/>
      <c r="AX468" s="257"/>
      <c r="AY468" s="257"/>
      <c r="AZ468" s="257"/>
      <c r="BA468" s="257"/>
      <c r="BB468" s="257"/>
      <c r="BC468" s="257"/>
      <c r="BD468" s="257"/>
      <c r="BE468" s="257"/>
      <c r="BF468" s="257"/>
      <c r="BG468" s="257"/>
      <c r="BH468" s="257"/>
      <c r="BI468" s="257"/>
      <c r="BJ468" s="257"/>
    </row>
    <row r="469" spans="1:62" ht="30" customHeight="1">
      <c r="A469" t="str">
        <f t="shared" si="125"/>
        <v>Holdbacks</v>
      </c>
      <c r="B469" s="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108" t="s">
        <v>70</v>
      </c>
      <c r="W469" s="290"/>
      <c r="X469" s="290"/>
      <c r="Y469" s="290"/>
      <c r="Z469" s="291">
        <f t="shared" ref="Z469:Z479" si="184">+SUMIF($C:$C,$V469,F:F)</f>
        <v>59140.935486166003</v>
      </c>
      <c r="AA469" s="344"/>
      <c r="AB469" s="345"/>
      <c r="AC469" s="291">
        <f t="shared" ref="AC469:AC479" si="185">+SUMIF($C:$C,$V469,I:I)</f>
        <v>59140.935486166003</v>
      </c>
      <c r="AD469" s="359"/>
      <c r="AE469" s="345"/>
      <c r="AF469" s="291">
        <f t="shared" ref="AF469:AF479" si="186">+SUMIF($C:$C,$V469,L:L)</f>
        <v>45674</v>
      </c>
      <c r="AG469" s="360"/>
      <c r="AH469" s="293">
        <f t="shared" si="181"/>
        <v>-13466.935486166003</v>
      </c>
      <c r="AI469" s="317">
        <f>IF(AC469=0,0,AH469/AC469)</f>
        <v>-0.22770920641450001</v>
      </c>
      <c r="AJ469" s="359"/>
      <c r="AK469" s="344"/>
      <c r="AL469" s="361">
        <f t="shared" ref="AL469:AL479" si="187">+SUMIF($C:$C,$V469,Q:Q)</f>
        <v>72454</v>
      </c>
      <c r="AM469" s="362"/>
      <c r="AN469" s="293">
        <f t="shared" si="182"/>
        <v>-26780</v>
      </c>
      <c r="AO469" s="300">
        <f>IF(AL469=0,0,AN469/AL469)</f>
        <v>-0.36961382394346759</v>
      </c>
      <c r="AP469" s="257"/>
      <c r="AQ469" s="257"/>
      <c r="AR469" s="257"/>
      <c r="AS469" s="257"/>
      <c r="AT469" s="257"/>
      <c r="AU469" s="257"/>
      <c r="AV469" s="257"/>
      <c r="AW469" s="257"/>
      <c r="AX469" s="257"/>
      <c r="AY469" s="257"/>
      <c r="AZ469" s="257"/>
      <c r="BA469" s="257"/>
      <c r="BB469" s="257"/>
      <c r="BC469" s="257"/>
      <c r="BD469" s="257"/>
      <c r="BE469" s="257"/>
      <c r="BF469" s="257"/>
      <c r="BG469" s="257"/>
      <c r="BH469" s="257"/>
      <c r="BI469" s="257"/>
      <c r="BJ469" s="257"/>
    </row>
    <row r="470" spans="1:62" ht="15.75" customHeight="1">
      <c r="A470" t="str">
        <f t="shared" si="125"/>
        <v>Programme neuf 1</v>
      </c>
      <c r="B470" s="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108" t="s">
        <v>200</v>
      </c>
      <c r="W470" s="290"/>
      <c r="X470" s="290"/>
      <c r="Y470" s="290"/>
      <c r="Z470" s="291">
        <f t="shared" si="184"/>
        <v>6590.4401189808532</v>
      </c>
      <c r="AA470" s="344"/>
      <c r="AB470" s="345"/>
      <c r="AC470" s="291">
        <f t="shared" si="185"/>
        <v>6590.4401189808532</v>
      </c>
      <c r="AD470" s="359"/>
      <c r="AE470" s="345"/>
      <c r="AF470" s="291">
        <f t="shared" si="186"/>
        <v>19500</v>
      </c>
      <c r="AG470" s="360"/>
      <c r="AH470" s="293">
        <f t="shared" si="181"/>
        <v>12909.559881019148</v>
      </c>
      <c r="AI470" s="317">
        <f t="shared" si="183"/>
        <v>1.958831223401736</v>
      </c>
      <c r="AJ470" s="359"/>
      <c r="AK470" s="344"/>
      <c r="AL470" s="361">
        <f t="shared" si="187"/>
        <v>45750</v>
      </c>
      <c r="AM470" s="362"/>
      <c r="AN470" s="293">
        <f t="shared" si="182"/>
        <v>-26250</v>
      </c>
      <c r="AO470" s="300">
        <f t="shared" ref="AO470:AO479" si="188">IF(AL470=0,0,AN470/AL470)</f>
        <v>-0.57377049180327866</v>
      </c>
      <c r="AP470" s="257"/>
      <c r="AQ470" s="257" t="s">
        <v>251</v>
      </c>
      <c r="AR470" s="257"/>
      <c r="AS470" s="257"/>
      <c r="AT470" s="257"/>
      <c r="AU470" s="257"/>
      <c r="AV470" s="257"/>
      <c r="AW470" s="257"/>
      <c r="AX470" s="257"/>
      <c r="AY470" s="257"/>
      <c r="AZ470" s="257"/>
      <c r="BA470" s="257"/>
      <c r="BB470" s="257"/>
      <c r="BC470" s="257"/>
      <c r="BD470" s="257"/>
      <c r="BE470" s="257"/>
      <c r="BF470" s="257"/>
      <c r="BG470" s="257"/>
      <c r="BH470" s="257"/>
      <c r="BI470" s="257"/>
      <c r="BJ470" s="257"/>
    </row>
    <row r="471" spans="1:62" ht="15.75" customHeight="1">
      <c r="A471" t="str">
        <f t="shared" si="125"/>
        <v>Programme neuf 2</v>
      </c>
      <c r="B471" s="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108" t="s">
        <v>197</v>
      </c>
      <c r="W471" s="290"/>
      <c r="X471" s="290"/>
      <c r="Y471" s="290"/>
      <c r="Z471" s="291">
        <f t="shared" si="184"/>
        <v>0</v>
      </c>
      <c r="AA471" s="344"/>
      <c r="AB471" s="345"/>
      <c r="AC471" s="291">
        <f t="shared" si="185"/>
        <v>0</v>
      </c>
      <c r="AD471" s="359"/>
      <c r="AE471" s="345"/>
      <c r="AF471" s="291">
        <f t="shared" si="186"/>
        <v>0</v>
      </c>
      <c r="AG471" s="360"/>
      <c r="AH471" s="293">
        <f t="shared" si="181"/>
        <v>0</v>
      </c>
      <c r="AI471" s="317">
        <f t="shared" si="183"/>
        <v>0</v>
      </c>
      <c r="AJ471" s="359"/>
      <c r="AK471" s="344"/>
      <c r="AL471" s="361">
        <f t="shared" si="187"/>
        <v>0</v>
      </c>
      <c r="AM471" s="362"/>
      <c r="AN471" s="293">
        <f t="shared" si="182"/>
        <v>0</v>
      </c>
      <c r="AO471" s="300">
        <f t="shared" si="188"/>
        <v>0</v>
      </c>
      <c r="AP471" s="257"/>
      <c r="AQ471" s="257"/>
      <c r="AR471" s="257"/>
      <c r="AS471" s="257"/>
      <c r="AT471" s="257"/>
      <c r="AU471" s="257"/>
      <c r="AV471" s="257"/>
      <c r="AW471" s="257"/>
      <c r="AX471" s="257"/>
      <c r="AY471" s="257"/>
      <c r="AZ471" s="257"/>
      <c r="BA471" s="257"/>
      <c r="BB471" s="257"/>
      <c r="BC471" s="257"/>
      <c r="BD471" s="257"/>
      <c r="BE471" s="257"/>
      <c r="BF471" s="257"/>
      <c r="BG471" s="257"/>
      <c r="BH471" s="257"/>
      <c r="BI471" s="257"/>
      <c r="BJ471" s="257"/>
    </row>
    <row r="472" spans="1:62" ht="15.75" customHeight="1">
      <c r="A472" t="str">
        <f t="shared" si="125"/>
        <v>Programme neuf 3</v>
      </c>
      <c r="B472" s="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108" t="s">
        <v>69</v>
      </c>
      <c r="W472" s="290"/>
      <c r="X472" s="290"/>
      <c r="Y472" s="290"/>
      <c r="Z472" s="291">
        <f t="shared" si="184"/>
        <v>0</v>
      </c>
      <c r="AA472" s="344"/>
      <c r="AB472" s="345"/>
      <c r="AC472" s="291">
        <f t="shared" si="185"/>
        <v>0</v>
      </c>
      <c r="AD472" s="359"/>
      <c r="AE472" s="345"/>
      <c r="AF472" s="291">
        <f t="shared" si="186"/>
        <v>0</v>
      </c>
      <c r="AG472" s="360"/>
      <c r="AH472" s="293">
        <f t="shared" si="181"/>
        <v>0</v>
      </c>
      <c r="AI472" s="317">
        <f t="shared" si="183"/>
        <v>0</v>
      </c>
      <c r="AJ472" s="359"/>
      <c r="AK472" s="344"/>
      <c r="AL472" s="361">
        <f t="shared" si="187"/>
        <v>0</v>
      </c>
      <c r="AM472" s="362"/>
      <c r="AN472" s="293">
        <f t="shared" si="182"/>
        <v>0</v>
      </c>
      <c r="AO472" s="300">
        <f t="shared" si="188"/>
        <v>0</v>
      </c>
      <c r="AP472" s="257"/>
      <c r="AQ472" s="257"/>
      <c r="AR472" s="257"/>
      <c r="AS472" s="257"/>
      <c r="AT472" s="257"/>
      <c r="AU472" s="257"/>
      <c r="AV472" s="257"/>
      <c r="AW472" s="257"/>
      <c r="AX472" s="257"/>
      <c r="AY472" s="257"/>
      <c r="AZ472" s="257"/>
      <c r="BA472" s="257"/>
      <c r="BB472" s="257"/>
      <c r="BC472" s="257"/>
      <c r="BD472" s="257"/>
      <c r="BE472" s="257"/>
      <c r="BF472" s="257"/>
      <c r="BG472" s="257"/>
      <c r="BH472" s="257"/>
      <c r="BI472" s="257"/>
      <c r="BJ472" s="257"/>
    </row>
    <row r="473" spans="1:62" ht="15.75" customHeight="1">
      <c r="A473" t="str">
        <f t="shared" si="125"/>
        <v>Programme used 1</v>
      </c>
      <c r="B473" s="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108" t="s">
        <v>216</v>
      </c>
      <c r="W473" s="290"/>
      <c r="X473" s="290"/>
      <c r="Y473" s="290"/>
      <c r="Z473" s="291">
        <f t="shared" si="184"/>
        <v>8500</v>
      </c>
      <c r="AA473" s="344"/>
      <c r="AB473" s="345"/>
      <c r="AC473" s="291">
        <f t="shared" si="185"/>
        <v>8500</v>
      </c>
      <c r="AD473" s="359"/>
      <c r="AE473" s="345"/>
      <c r="AF473" s="291">
        <f t="shared" si="186"/>
        <v>8500</v>
      </c>
      <c r="AG473" s="360"/>
      <c r="AH473" s="293">
        <f t="shared" si="181"/>
        <v>0</v>
      </c>
      <c r="AI473" s="317">
        <f t="shared" si="183"/>
        <v>0</v>
      </c>
      <c r="AJ473" s="359"/>
      <c r="AK473" s="344"/>
      <c r="AL473" s="361">
        <f t="shared" si="187"/>
        <v>0</v>
      </c>
      <c r="AM473" s="362"/>
      <c r="AN473" s="293">
        <f t="shared" si="182"/>
        <v>8500</v>
      </c>
      <c r="AO473" s="300">
        <f t="shared" si="188"/>
        <v>0</v>
      </c>
      <c r="AP473" s="257"/>
      <c r="AQ473" s="257"/>
      <c r="AR473" s="257"/>
      <c r="AS473" s="257"/>
      <c r="AT473" s="257"/>
      <c r="AU473" s="257"/>
      <c r="AV473" s="257"/>
      <c r="AW473" s="257"/>
      <c r="AX473" s="257"/>
      <c r="AY473" s="257"/>
      <c r="AZ473" s="257"/>
      <c r="BA473" s="257"/>
      <c r="BB473" s="257"/>
      <c r="BC473" s="257"/>
      <c r="BD473" s="257"/>
      <c r="BE473" s="257"/>
      <c r="BF473" s="257"/>
      <c r="BG473" s="257"/>
      <c r="BH473" s="257"/>
      <c r="BI473" s="257"/>
      <c r="BJ473" s="257"/>
    </row>
    <row r="474" spans="1:62" ht="15.75" customHeight="1">
      <c r="A474" t="str">
        <f t="shared" si="125"/>
        <v>Programme used 2</v>
      </c>
      <c r="B474" s="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108" t="s">
        <v>82</v>
      </c>
      <c r="W474" s="290"/>
      <c r="X474" s="290"/>
      <c r="Y474" s="290"/>
      <c r="Z474" s="291">
        <f t="shared" si="184"/>
        <v>0</v>
      </c>
      <c r="AA474" s="344"/>
      <c r="AB474" s="345"/>
      <c r="AC474" s="291">
        <f t="shared" si="185"/>
        <v>0</v>
      </c>
      <c r="AD474" s="359"/>
      <c r="AE474" s="345"/>
      <c r="AF474" s="291">
        <f t="shared" si="186"/>
        <v>0</v>
      </c>
      <c r="AG474" s="360"/>
      <c r="AH474" s="293">
        <f t="shared" si="181"/>
        <v>0</v>
      </c>
      <c r="AI474" s="317">
        <f t="shared" si="183"/>
        <v>0</v>
      </c>
      <c r="AJ474" s="359"/>
      <c r="AK474" s="344"/>
      <c r="AL474" s="361">
        <f t="shared" si="187"/>
        <v>0</v>
      </c>
      <c r="AM474" s="362"/>
      <c r="AN474" s="293">
        <f t="shared" si="182"/>
        <v>0</v>
      </c>
      <c r="AO474" s="300">
        <f t="shared" si="188"/>
        <v>0</v>
      </c>
      <c r="AP474" s="257"/>
      <c r="AQ474" s="257"/>
      <c r="AR474" s="257"/>
      <c r="AS474" s="257"/>
      <c r="AT474" s="257"/>
      <c r="AU474" s="257"/>
      <c r="AV474" s="257"/>
      <c r="AW474" s="257"/>
      <c r="AX474" s="257"/>
      <c r="AY474" s="257"/>
      <c r="AZ474" s="257"/>
      <c r="BA474" s="257"/>
      <c r="BB474" s="257"/>
      <c r="BC474" s="257"/>
      <c r="BD474" s="257"/>
      <c r="BE474" s="257"/>
      <c r="BF474" s="257"/>
      <c r="BG474" s="257"/>
      <c r="BH474" s="257"/>
      <c r="BI474" s="257"/>
      <c r="BJ474" s="257"/>
    </row>
    <row r="475" spans="1:62" ht="15.75" customHeight="1">
      <c r="A475" t="str">
        <f t="shared" si="125"/>
        <v>Programme used 3</v>
      </c>
      <c r="B475" s="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108" t="s">
        <v>83</v>
      </c>
      <c r="W475" s="290"/>
      <c r="X475" s="290"/>
      <c r="Y475" s="290"/>
      <c r="Z475" s="291">
        <f t="shared" si="184"/>
        <v>0</v>
      </c>
      <c r="AA475" s="344"/>
      <c r="AB475" s="345"/>
      <c r="AC475" s="291">
        <f t="shared" si="185"/>
        <v>0</v>
      </c>
      <c r="AD475" s="359"/>
      <c r="AE475" s="345"/>
      <c r="AF475" s="291">
        <f t="shared" si="186"/>
        <v>0</v>
      </c>
      <c r="AG475" s="360"/>
      <c r="AH475" s="293">
        <f t="shared" si="181"/>
        <v>0</v>
      </c>
      <c r="AI475" s="317">
        <f t="shared" si="183"/>
        <v>0</v>
      </c>
      <c r="AJ475" s="359"/>
      <c r="AK475" s="344"/>
      <c r="AL475" s="361">
        <f t="shared" si="187"/>
        <v>0</v>
      </c>
      <c r="AM475" s="362"/>
      <c r="AN475" s="293">
        <f t="shared" si="182"/>
        <v>0</v>
      </c>
      <c r="AO475" s="300">
        <f t="shared" si="188"/>
        <v>0</v>
      </c>
      <c r="AP475" s="257"/>
      <c r="AQ475" s="257"/>
      <c r="AR475" s="257"/>
      <c r="AS475" s="257"/>
      <c r="AT475" s="257"/>
      <c r="AU475" s="257"/>
      <c r="AV475" s="257"/>
      <c r="AW475" s="257"/>
      <c r="AX475" s="257"/>
      <c r="AY475" s="257"/>
      <c r="AZ475" s="257"/>
      <c r="BA475" s="257"/>
      <c r="BB475" s="257"/>
      <c r="BC475" s="257"/>
      <c r="BD475" s="257"/>
      <c r="BE475" s="257"/>
      <c r="BF475" s="257"/>
      <c r="BG475" s="257"/>
      <c r="BH475" s="257"/>
      <c r="BI475" s="257"/>
      <c r="BJ475" s="257"/>
    </row>
    <row r="476" spans="1:62" ht="15.75" hidden="1" customHeight="1">
      <c r="A476" t="str">
        <f t="shared" si="125"/>
        <v>[...]</v>
      </c>
      <c r="B476" s="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108" t="s">
        <v>21</v>
      </c>
      <c r="W476" s="290"/>
      <c r="X476" s="290"/>
      <c r="Y476" s="290"/>
      <c r="Z476" s="291">
        <f t="shared" ref="Z476:Z478" si="189">IFERROR(SUMIF($C:$C,$V476,F:F),0)</f>
        <v>0</v>
      </c>
      <c r="AA476" s="290"/>
      <c r="AB476" s="290"/>
      <c r="AC476" s="291">
        <f t="shared" ref="AC476:AC478" si="190">IFERROR(SUMIF($C:$C,$V476,I:I),0)</f>
        <v>0</v>
      </c>
      <c r="AD476" s="299"/>
      <c r="AE476" s="298"/>
      <c r="AF476" s="291">
        <f t="shared" ref="AF476:AF478" si="191">IFERROR(SUMIF($C:$C,$V476,L:L),0)</f>
        <v>0</v>
      </c>
      <c r="AG476" s="292"/>
      <c r="AH476" s="293">
        <f t="shared" si="181"/>
        <v>0</v>
      </c>
      <c r="AI476" s="294">
        <f t="shared" ref="AI476:AI478" si="192">IF(AC476=0,0,AH476/AC476)</f>
        <v>0</v>
      </c>
      <c r="AJ476" s="299"/>
      <c r="AK476" s="290"/>
      <c r="AL476" s="291">
        <f t="shared" ref="AL476:AL478" si="193">IFERROR(SUMIF($C:$C,$V476,Q:Q),0)</f>
        <v>0</v>
      </c>
      <c r="AM476" s="362"/>
      <c r="AN476" s="293">
        <f t="shared" si="182"/>
        <v>0</v>
      </c>
      <c r="AO476" s="300">
        <f t="shared" si="188"/>
        <v>0</v>
      </c>
      <c r="AP476" s="257"/>
      <c r="AQ476" s="257"/>
      <c r="AR476" s="257"/>
      <c r="AS476" s="257"/>
      <c r="AT476" s="257"/>
      <c r="AU476" s="257"/>
      <c r="AV476" s="257"/>
      <c r="AW476" s="257"/>
      <c r="AX476" s="257"/>
      <c r="AY476" s="257"/>
      <c r="AZ476" s="257"/>
      <c r="BA476" s="257"/>
      <c r="BB476" s="257"/>
      <c r="BC476" s="257"/>
      <c r="BD476" s="257"/>
      <c r="BE476" s="257"/>
      <c r="BF476" s="257"/>
      <c r="BG476" s="257"/>
      <c r="BH476" s="257"/>
      <c r="BI476" s="257"/>
      <c r="BJ476" s="257"/>
    </row>
    <row r="477" spans="1:62" ht="15.75" hidden="1" customHeight="1">
      <c r="A477" t="str">
        <f t="shared" si="125"/>
        <v>[...]</v>
      </c>
      <c r="B477" s="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108" t="s">
        <v>21</v>
      </c>
      <c r="W477" s="290"/>
      <c r="X477" s="290"/>
      <c r="Y477" s="290"/>
      <c r="Z477" s="291">
        <f t="shared" si="189"/>
        <v>0</v>
      </c>
      <c r="AA477" s="290"/>
      <c r="AB477" s="290"/>
      <c r="AC477" s="291">
        <f t="shared" si="190"/>
        <v>0</v>
      </c>
      <c r="AD477" s="299"/>
      <c r="AE477" s="298"/>
      <c r="AF477" s="291">
        <f t="shared" si="191"/>
        <v>0</v>
      </c>
      <c r="AG477" s="292"/>
      <c r="AH477" s="293">
        <f t="shared" si="181"/>
        <v>0</v>
      </c>
      <c r="AI477" s="294">
        <f t="shared" si="192"/>
        <v>0</v>
      </c>
      <c r="AJ477" s="299"/>
      <c r="AK477" s="290"/>
      <c r="AL477" s="291">
        <f t="shared" si="193"/>
        <v>0</v>
      </c>
      <c r="AM477" s="362"/>
      <c r="AN477" s="293">
        <f t="shared" si="182"/>
        <v>0</v>
      </c>
      <c r="AO477" s="300">
        <f t="shared" si="188"/>
        <v>0</v>
      </c>
      <c r="AP477" s="257"/>
      <c r="AQ477" s="257"/>
      <c r="AR477" s="257"/>
      <c r="AS477" s="257"/>
      <c r="AT477" s="257"/>
      <c r="AU477" s="257"/>
      <c r="AV477" s="257"/>
      <c r="AW477" s="257"/>
      <c r="AX477" s="257"/>
      <c r="AY477" s="257"/>
      <c r="AZ477" s="257"/>
      <c r="BA477" s="257"/>
      <c r="BB477" s="257"/>
      <c r="BC477" s="257"/>
      <c r="BD477" s="257"/>
      <c r="BE477" s="257"/>
      <c r="BF477" s="257"/>
      <c r="BG477" s="257"/>
      <c r="BH477" s="257"/>
      <c r="BI477" s="257"/>
      <c r="BJ477" s="257"/>
    </row>
    <row r="478" spans="1:62" ht="15.75" hidden="1" customHeight="1">
      <c r="A478" t="str">
        <f t="shared" si="125"/>
        <v>[...]</v>
      </c>
      <c r="B478" s="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108" t="s">
        <v>21</v>
      </c>
      <c r="W478" s="290"/>
      <c r="X478" s="290"/>
      <c r="Y478" s="290"/>
      <c r="Z478" s="291">
        <f t="shared" si="189"/>
        <v>0</v>
      </c>
      <c r="AA478" s="290"/>
      <c r="AB478" s="290"/>
      <c r="AC478" s="291">
        <f t="shared" si="190"/>
        <v>0</v>
      </c>
      <c r="AD478" s="299"/>
      <c r="AE478" s="298"/>
      <c r="AF478" s="291">
        <f t="shared" si="191"/>
        <v>0</v>
      </c>
      <c r="AG478" s="292"/>
      <c r="AH478" s="293">
        <f t="shared" si="181"/>
        <v>0</v>
      </c>
      <c r="AI478" s="294">
        <f t="shared" si="192"/>
        <v>0</v>
      </c>
      <c r="AJ478" s="299"/>
      <c r="AK478" s="290"/>
      <c r="AL478" s="291">
        <f t="shared" si="193"/>
        <v>0</v>
      </c>
      <c r="AM478" s="362"/>
      <c r="AN478" s="293">
        <f t="shared" si="182"/>
        <v>0</v>
      </c>
      <c r="AO478" s="300">
        <f t="shared" si="188"/>
        <v>0</v>
      </c>
      <c r="AP478" s="257"/>
      <c r="AQ478" s="257"/>
      <c r="AR478" s="257"/>
      <c r="AS478" s="257"/>
      <c r="AT478" s="257"/>
      <c r="AU478" s="257"/>
      <c r="AV478" s="257"/>
      <c r="AW478" s="257"/>
      <c r="AX478" s="257"/>
      <c r="AY478" s="257"/>
      <c r="AZ478" s="257"/>
      <c r="BA478" s="257"/>
      <c r="BB478" s="257"/>
      <c r="BC478" s="257"/>
      <c r="BD478" s="257"/>
      <c r="BE478" s="257"/>
      <c r="BF478" s="257"/>
      <c r="BG478" s="257"/>
      <c r="BH478" s="257"/>
      <c r="BI478" s="257"/>
      <c r="BJ478" s="257"/>
    </row>
    <row r="479" spans="1:62" ht="15.75" customHeight="1">
      <c r="A479" t="str">
        <f t="shared" si="125"/>
        <v>Frais administration</v>
      </c>
      <c r="B479" s="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109" t="s">
        <v>71</v>
      </c>
      <c r="W479" s="290"/>
      <c r="X479" s="290"/>
      <c r="Y479" s="290"/>
      <c r="Z479" s="291">
        <f t="shared" si="184"/>
        <v>31710.532086767125</v>
      </c>
      <c r="AA479" s="344"/>
      <c r="AB479" s="345"/>
      <c r="AC479" s="291">
        <f t="shared" si="185"/>
        <v>31710.532086767125</v>
      </c>
      <c r="AD479" s="359"/>
      <c r="AE479" s="345"/>
      <c r="AF479" s="291">
        <f t="shared" si="186"/>
        <v>32714</v>
      </c>
      <c r="AG479" s="360"/>
      <c r="AH479" s="293">
        <f t="shared" si="181"/>
        <v>1003.4679132328747</v>
      </c>
      <c r="AI479" s="317">
        <f>IF(AH479=0,0,AH479/AC479)</f>
        <v>3.1644625529687158E-2</v>
      </c>
      <c r="AJ479" s="359"/>
      <c r="AK479" s="344"/>
      <c r="AL479" s="361">
        <f t="shared" si="187"/>
        <v>23127</v>
      </c>
      <c r="AM479" s="362"/>
      <c r="AN479" s="293">
        <f t="shared" si="182"/>
        <v>9587</v>
      </c>
      <c r="AO479" s="300">
        <f t="shared" si="188"/>
        <v>0.4145371211138496</v>
      </c>
      <c r="AP479" s="257"/>
      <c r="AQ479" s="257"/>
      <c r="AR479" s="257"/>
      <c r="AS479" s="257"/>
      <c r="AT479" s="257"/>
      <c r="AU479" s="257"/>
      <c r="AV479" s="257"/>
      <c r="AW479" s="257"/>
      <c r="AX479" s="257"/>
      <c r="AY479" s="257"/>
      <c r="AZ479" s="257"/>
      <c r="BA479" s="257"/>
      <c r="BB479" s="257"/>
      <c r="BC479" s="257"/>
      <c r="BD479" s="257"/>
      <c r="BE479" s="257"/>
      <c r="BF479" s="257"/>
      <c r="BG479" s="257"/>
      <c r="BH479" s="257"/>
      <c r="BI479" s="257"/>
      <c r="BJ479" s="257"/>
    </row>
    <row r="480" spans="1:62" ht="15.75" customHeight="1">
      <c r="A480" t="str">
        <f t="shared" si="125"/>
        <v>TOTAL AUTRES REVENUS</v>
      </c>
      <c r="B480" s="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307" t="s">
        <v>185</v>
      </c>
      <c r="W480" s="308"/>
      <c r="X480" s="309">
        <f>Z480/+Z406</f>
        <v>0.20136405941539667</v>
      </c>
      <c r="Y480" s="341"/>
      <c r="Z480" s="310">
        <f>SUM(Z468:Z479)</f>
        <v>105941.90769191398</v>
      </c>
      <c r="AA480" s="309">
        <f>AC480/+AC406</f>
        <v>0.20136405941539667</v>
      </c>
      <c r="AB480" s="341"/>
      <c r="AC480" s="310">
        <f>SUM(AC468:AC479)</f>
        <v>105941.90769191398</v>
      </c>
      <c r="AD480" s="309">
        <f>AF480/+AF406</f>
        <v>0.18613418084118832</v>
      </c>
      <c r="AE480" s="341"/>
      <c r="AF480" s="310">
        <f>SUM(AF468:AF479)</f>
        <v>115675.19</v>
      </c>
      <c r="AG480" s="319"/>
      <c r="AH480" s="313">
        <f t="shared" si="181"/>
        <v>9733.2823080860253</v>
      </c>
      <c r="AI480" s="309">
        <f>AH480/AC480</f>
        <v>9.1873768559945598E-2</v>
      </c>
      <c r="AJ480" s="363"/>
      <c r="AK480" s="364"/>
      <c r="AL480" s="310">
        <f>SUM(AL468:AL479)</f>
        <v>160599.10999999999</v>
      </c>
      <c r="AM480" s="365"/>
      <c r="AN480" s="313">
        <f t="shared" si="182"/>
        <v>-44923.919999999984</v>
      </c>
      <c r="AO480" s="343">
        <f>IF(AL480=0,0,AN480/AL480)</f>
        <v>-0.27972707943400177</v>
      </c>
      <c r="AP480" s="257"/>
      <c r="AQ480" s="257"/>
      <c r="AR480" s="257"/>
      <c r="AS480" s="257"/>
      <c r="AT480" s="257"/>
      <c r="AU480" s="257"/>
      <c r="AV480" s="257"/>
      <c r="AW480" s="257"/>
      <c r="AX480" s="257"/>
      <c r="AY480" s="257"/>
      <c r="AZ480" s="257"/>
      <c r="BA480" s="257"/>
      <c r="BB480" s="257"/>
      <c r="BC480" s="257"/>
      <c r="BD480" s="257"/>
      <c r="BE480" s="257"/>
      <c r="BF480" s="257"/>
      <c r="BG480" s="257"/>
      <c r="BH480" s="257"/>
      <c r="BI480" s="257"/>
      <c r="BJ480" s="257"/>
    </row>
    <row r="481" spans="1:62" ht="15.75" customHeight="1" thickBot="1">
      <c r="A481" t="str">
        <f t="shared" si="125"/>
        <v/>
      </c>
      <c r="B481" s="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367"/>
      <c r="W481" s="368"/>
      <c r="X481" s="368"/>
      <c r="Y481" s="369"/>
      <c r="Z481" s="370"/>
      <c r="AA481" s="368"/>
      <c r="AB481" s="371"/>
      <c r="AC481" s="370"/>
      <c r="AD481" s="368"/>
      <c r="AE481" s="371"/>
      <c r="AF481" s="372"/>
      <c r="AG481" s="373"/>
      <c r="AH481" s="374"/>
      <c r="AI481" s="375"/>
      <c r="AJ481" s="376"/>
      <c r="AK481" s="377"/>
      <c r="AL481" s="372"/>
      <c r="AM481" s="378"/>
      <c r="AN481" s="374">
        <f t="shared" si="182"/>
        <v>0</v>
      </c>
      <c r="AO481" s="379">
        <f t="shared" ref="AO481" si="194">IF(AL481=0,0,AN481/AL481)</f>
        <v>0</v>
      </c>
      <c r="AP481" s="257"/>
      <c r="AQ481" s="257"/>
      <c r="AR481" s="257"/>
      <c r="AS481" s="257"/>
      <c r="AT481" s="257"/>
      <c r="AU481" s="257"/>
      <c r="AV481" s="257"/>
      <c r="AW481" s="257"/>
      <c r="AX481" s="257"/>
      <c r="AY481" s="257"/>
      <c r="AZ481" s="257"/>
      <c r="BA481" s="257"/>
      <c r="BB481" s="257"/>
      <c r="BC481" s="257"/>
      <c r="BD481" s="257"/>
      <c r="BE481" s="257"/>
      <c r="BF481" s="257"/>
      <c r="BG481" s="257"/>
      <c r="BH481" s="257"/>
      <c r="BI481" s="257"/>
      <c r="BJ481" s="257"/>
    </row>
    <row r="482" spans="1:62" ht="15.75" customHeight="1" thickTop="1" thickBot="1">
      <c r="A482" t="str">
        <f t="shared" si="125"/>
        <v>BAIIA OPÉRATIONNEL</v>
      </c>
      <c r="B482" s="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380" t="s">
        <v>186</v>
      </c>
      <c r="W482" s="381"/>
      <c r="X482" s="382" t="s">
        <v>187</v>
      </c>
      <c r="Y482" s="383">
        <f>Z482/Z405</f>
        <v>2.9201322378950397E-2</v>
      </c>
      <c r="Z482" s="384">
        <f>Z406-Z467+Z480</f>
        <v>72935.719083877135</v>
      </c>
      <c r="AA482" s="382" t="s">
        <v>187</v>
      </c>
      <c r="AB482" s="383">
        <f>AC482/AC405</f>
        <v>2.9201322378950397E-2</v>
      </c>
      <c r="AC482" s="384">
        <f>AC406-AC467+AC480</f>
        <v>72935.719083877135</v>
      </c>
      <c r="AD482" s="382" t="s">
        <v>187</v>
      </c>
      <c r="AE482" s="383">
        <f>AF482/AF405</f>
        <v>3.2883653332308679E-2</v>
      </c>
      <c r="AF482" s="385">
        <f>AF406-AF467+AF480</f>
        <v>170275.99000000005</v>
      </c>
      <c r="AG482" s="386"/>
      <c r="AH482" s="386">
        <f>AF482-AC482</f>
        <v>97340.270916122914</v>
      </c>
      <c r="AI482" s="387">
        <f>AH482/AC482</f>
        <v>1.3346035678921626</v>
      </c>
      <c r="AJ482" s="388" t="s">
        <v>187</v>
      </c>
      <c r="AK482" s="383">
        <f>IF($AL$405=0,0,AL482/$AL$405)</f>
        <v>1.4787905283795626E-2</v>
      </c>
      <c r="AL482" s="385">
        <f>AL406-AL467+AL480</f>
        <v>77916.279999999912</v>
      </c>
      <c r="AM482" s="389"/>
      <c r="AN482" s="385">
        <f t="shared" si="182"/>
        <v>92359.710000000137</v>
      </c>
      <c r="AO482" s="390">
        <f>IF(AL482=0,0,AN482/AL482)</f>
        <v>1.1853711445156294</v>
      </c>
      <c r="AP482" s="257"/>
      <c r="AQ482" s="257"/>
      <c r="AR482" s="257"/>
      <c r="AS482" s="257"/>
      <c r="AT482" s="257"/>
      <c r="AU482" s="257"/>
      <c r="AV482" s="257"/>
      <c r="AW482" s="257"/>
      <c r="AX482" s="257"/>
      <c r="AY482" s="257"/>
      <c r="AZ482" s="257"/>
      <c r="BA482" s="257"/>
      <c r="BB482" s="257"/>
      <c r="BC482" s="257"/>
      <c r="BD482" s="257"/>
      <c r="BE482" s="257"/>
      <c r="BF482" s="257"/>
      <c r="BG482" s="257"/>
      <c r="BH482" s="257"/>
      <c r="BI482" s="257"/>
      <c r="BJ482" s="257"/>
    </row>
    <row r="483" spans="1:62" ht="15.75" customHeight="1" thickTop="1">
      <c r="A483" t="str">
        <f t="shared" si="125"/>
        <v/>
      </c>
      <c r="B483" s="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1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7"/>
      <c r="AQ483" s="257"/>
      <c r="AR483" s="257"/>
      <c r="AS483" s="257"/>
      <c r="AT483" s="257"/>
      <c r="AU483" s="257"/>
      <c r="AV483" s="257"/>
      <c r="AW483" s="257"/>
      <c r="AX483" s="257"/>
      <c r="AY483" s="257"/>
      <c r="AZ483" s="257"/>
      <c r="BA483" s="257"/>
      <c r="BB483" s="257"/>
      <c r="BC483" s="257"/>
      <c r="BD483" s="257"/>
      <c r="BE483" s="257"/>
      <c r="BF483" s="257"/>
      <c r="BG483" s="257"/>
      <c r="BH483" s="257"/>
      <c r="BI483" s="257"/>
      <c r="BJ483" s="257"/>
    </row>
    <row r="484" spans="1:62" ht="35.25" customHeight="1">
      <c r="A484" t="str">
        <f t="shared" ref="A484:A498" si="195">+U484&amp;V484</f>
        <v>Volks</v>
      </c>
      <c r="B484" s="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6" t="str">
        <f>C1</f>
        <v>Volks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6"/>
      <c r="AK484" s="2"/>
      <c r="AL484" s="1"/>
      <c r="AM484" s="6"/>
      <c r="AN484" s="6"/>
      <c r="AO484" s="5" t="str">
        <f>$S$1</f>
        <v>Réalisé, Juin 2021</v>
      </c>
      <c r="AP484" s="257"/>
      <c r="AQ484" s="257"/>
      <c r="AR484" s="257"/>
      <c r="AS484" s="257"/>
      <c r="AT484" s="257"/>
      <c r="AU484" s="257"/>
      <c r="AV484" s="257"/>
      <c r="AW484" s="257"/>
      <c r="AX484" s="257"/>
      <c r="AY484" s="257"/>
      <c r="AZ484" s="257"/>
      <c r="BA484" s="257"/>
      <c r="BB484" s="257"/>
      <c r="BC484" s="257"/>
      <c r="BD484" s="257"/>
      <c r="BE484" s="257"/>
      <c r="BF484" s="257"/>
      <c r="BG484" s="257"/>
      <c r="BH484" s="257"/>
      <c r="BI484" s="257"/>
      <c r="BJ484" s="257"/>
    </row>
    <row r="485" spans="1:62" ht="15.75" customHeight="1">
      <c r="A485" t="str">
        <f t="shared" si="195"/>
        <v/>
      </c>
      <c r="B485" s="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1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7"/>
      <c r="AQ485" s="257"/>
      <c r="AR485" s="257"/>
      <c r="AS485" s="257"/>
      <c r="AT485" s="257"/>
      <c r="AU485" s="257"/>
      <c r="AV485" s="257"/>
      <c r="AW485" s="257"/>
      <c r="AX485" s="257"/>
      <c r="AY485" s="257"/>
      <c r="AZ485" s="257"/>
      <c r="BA485" s="257"/>
      <c r="BB485" s="257"/>
      <c r="BC485" s="257"/>
      <c r="BD485" s="257"/>
      <c r="BE485" s="257"/>
      <c r="BF485" s="257"/>
      <c r="BG485" s="257"/>
      <c r="BH485" s="257"/>
      <c r="BI485" s="257"/>
      <c r="BJ485" s="257"/>
    </row>
    <row r="486" spans="1:62" ht="15.75" customHeight="1">
      <c r="A486" t="str">
        <f t="shared" si="195"/>
        <v/>
      </c>
      <c r="B486" s="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1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7"/>
      <c r="AQ486" s="257"/>
      <c r="AR486" s="257"/>
      <c r="AS486" s="257"/>
      <c r="AT486" s="257"/>
      <c r="AU486" s="257"/>
      <c r="AV486" s="257"/>
      <c r="AW486" s="257"/>
      <c r="AX486" s="257"/>
      <c r="AY486" s="257"/>
      <c r="AZ486" s="257"/>
      <c r="BA486" s="257"/>
      <c r="BB486" s="257"/>
      <c r="BC486" s="257"/>
      <c r="BD486" s="257"/>
      <c r="BE486" s="257"/>
      <c r="BF486" s="257"/>
      <c r="BG486" s="257"/>
      <c r="BH486" s="257"/>
      <c r="BI486" s="257"/>
      <c r="BJ486" s="257"/>
    </row>
    <row r="487" spans="1:62" ht="15.75" customHeight="1" thickBot="1">
      <c r="A487" t="str">
        <f t="shared" si="195"/>
        <v/>
      </c>
      <c r="B487" s="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1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7"/>
      <c r="AQ487" s="257"/>
      <c r="AR487" s="257"/>
      <c r="AS487" s="257"/>
      <c r="AT487" s="257"/>
      <c r="AU487" s="257"/>
      <c r="AV487" s="257"/>
      <c r="AW487" s="257"/>
      <c r="AX487" s="257"/>
      <c r="AY487" s="257"/>
      <c r="AZ487" s="257"/>
      <c r="BA487" s="257"/>
      <c r="BB487" s="257"/>
      <c r="BC487" s="257"/>
      <c r="BD487" s="257"/>
      <c r="BE487" s="257"/>
      <c r="BF487" s="257"/>
      <c r="BG487" s="257"/>
      <c r="BH487" s="257"/>
      <c r="BI487" s="257"/>
      <c r="BJ487" s="257"/>
    </row>
    <row r="488" spans="1:62" ht="15.75" customHeight="1" thickTop="1" thickBot="1">
      <c r="A488" t="str">
        <f t="shared" si="195"/>
        <v>BAIIA OPÉRATIONNEL</v>
      </c>
      <c r="B488" s="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392" t="s">
        <v>186</v>
      </c>
      <c r="W488" s="393"/>
      <c r="X488" s="394" t="s">
        <v>187</v>
      </c>
      <c r="Y488" s="395">
        <f>Z488/Z405</f>
        <v>2.9201322378950397E-2</v>
      </c>
      <c r="Z488" s="396">
        <f>Z482</f>
        <v>72935.719083877135</v>
      </c>
      <c r="AA488" s="394" t="s">
        <v>187</v>
      </c>
      <c r="AB488" s="395">
        <f>AC488/AC405</f>
        <v>2.9201322378950397E-2</v>
      </c>
      <c r="AC488" s="396">
        <f>AC482</f>
        <v>72935.719083877135</v>
      </c>
      <c r="AD488" s="394" t="s">
        <v>187</v>
      </c>
      <c r="AE488" s="395">
        <f>AF488/AF405</f>
        <v>3.2883653332308679E-2</v>
      </c>
      <c r="AF488" s="396">
        <f>AF482</f>
        <v>170275.99000000005</v>
      </c>
      <c r="AG488" s="397"/>
      <c r="AH488" s="386">
        <f>AF488-AC488</f>
        <v>97340.270916122914</v>
      </c>
      <c r="AI488" s="387">
        <f>AH488/AC488</f>
        <v>1.3346035678921626</v>
      </c>
      <c r="AJ488" s="394" t="s">
        <v>187</v>
      </c>
      <c r="AK488" s="395">
        <f>IF($AL$405=0,0,AL488/$AL$405)</f>
        <v>1.4787905283795626E-2</v>
      </c>
      <c r="AL488" s="398">
        <f>AL482</f>
        <v>77916.279999999912</v>
      </c>
      <c r="AM488" s="399"/>
      <c r="AN488" s="400">
        <f>AF488-AL488</f>
        <v>92359.710000000137</v>
      </c>
      <c r="AO488" s="401">
        <f>IF(AL488=0,0,AN488/AL488)</f>
        <v>1.1853711445156294</v>
      </c>
      <c r="AP488" s="257"/>
      <c r="AQ488" s="257"/>
      <c r="AR488" s="257"/>
      <c r="AS488" s="257"/>
      <c r="AT488" s="257"/>
      <c r="AU488" s="257"/>
      <c r="AV488" s="257"/>
      <c r="AW488" s="257"/>
      <c r="AX488" s="257"/>
      <c r="AY488" s="257"/>
      <c r="AZ488" s="257"/>
      <c r="BA488" s="257"/>
      <c r="BB488" s="257"/>
      <c r="BC488" s="257"/>
      <c r="BD488" s="257"/>
      <c r="BE488" s="257"/>
      <c r="BF488" s="257"/>
      <c r="BG488" s="257"/>
      <c r="BH488" s="257"/>
      <c r="BI488" s="257"/>
      <c r="BJ488" s="257"/>
    </row>
    <row r="489" spans="1:62" ht="15.75" customHeight="1" thickTop="1">
      <c r="A489" t="str">
        <f t="shared" si="195"/>
        <v/>
      </c>
      <c r="B489" s="7"/>
      <c r="C489" s="257"/>
      <c r="D489" s="257"/>
      <c r="E489" s="257"/>
      <c r="F489" s="321"/>
      <c r="G489" s="257"/>
      <c r="H489" s="257"/>
      <c r="I489" s="321"/>
      <c r="J489" s="257"/>
      <c r="K489" s="257"/>
      <c r="L489" s="257"/>
      <c r="M489" s="321"/>
      <c r="N489" s="257"/>
      <c r="O489" s="257"/>
      <c r="P489" s="257"/>
      <c r="Q489" s="321"/>
      <c r="R489" s="321"/>
      <c r="S489" s="321"/>
      <c r="T489" s="347"/>
      <c r="U489" s="347"/>
      <c r="V489" s="402"/>
      <c r="W489" s="257"/>
      <c r="X489" s="257"/>
      <c r="Y489" s="257"/>
      <c r="Z489" s="403"/>
      <c r="AA489" s="257"/>
      <c r="AB489" s="257"/>
      <c r="AC489" s="404"/>
      <c r="AD489" s="257"/>
      <c r="AE489" s="257"/>
      <c r="AF489" s="404"/>
      <c r="AG489" s="257"/>
      <c r="AH489" s="257"/>
      <c r="AI489" s="404"/>
      <c r="AJ489" s="257"/>
      <c r="AK489" s="257"/>
      <c r="AL489" s="405"/>
      <c r="AM489" s="406"/>
      <c r="AN489" s="257"/>
      <c r="AO489" s="407"/>
      <c r="AP489" s="257"/>
      <c r="AQ489" s="257"/>
      <c r="AR489" s="257"/>
      <c r="AS489" s="257"/>
      <c r="AT489" s="257"/>
      <c r="AU489" s="257"/>
      <c r="AV489" s="257"/>
      <c r="AW489" s="257"/>
      <c r="AX489" s="257"/>
      <c r="AY489" s="257"/>
      <c r="AZ489" s="257"/>
      <c r="BA489" s="257"/>
      <c r="BB489" s="257"/>
      <c r="BC489" s="257"/>
      <c r="BD489" s="257"/>
      <c r="BE489" s="257"/>
      <c r="BF489" s="257"/>
      <c r="BG489" s="257"/>
      <c r="BH489" s="257"/>
      <c r="BI489" s="257"/>
      <c r="BJ489" s="257"/>
    </row>
    <row r="490" spans="1:62" ht="15.75" customHeight="1">
      <c r="A490" t="str">
        <f t="shared" si="195"/>
        <v>Amortissement</v>
      </c>
      <c r="B490" s="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108" t="s">
        <v>189</v>
      </c>
      <c r="W490" s="297"/>
      <c r="X490" s="290"/>
      <c r="Y490" s="298"/>
      <c r="Z490" s="291">
        <f>+INDEX('[7]Budget original'!$A$2:$AO$496,MATCH($A490,'[7]Budget original'!$A$2:$A$496,0),MATCH(F$2,'[7]Budget original'!$A$2:$AO$2,0))</f>
        <v>9167</v>
      </c>
      <c r="AA490" s="290"/>
      <c r="AB490" s="298"/>
      <c r="AC490" s="291">
        <f>+INDEX('[7]Budget révisé'!$A$2:$AO$496,MATCH($A490,'[7]Budget révisé'!$A$2:$A$496,0),MATCH(I$2,'[7]Budget révisé'!$A$2:$AO$2,0))</f>
        <v>9167</v>
      </c>
      <c r="AD490" s="290"/>
      <c r="AE490" s="298"/>
      <c r="AF490" s="291">
        <f>SUMIFS([7]BV_Data_An_Cour!$O:$O,[7]BV_Data_An_Cour!$V:$V,$V490)</f>
        <v>4314.5</v>
      </c>
      <c r="AG490" s="290"/>
      <c r="AH490" s="293">
        <f t="shared" ref="AH490:AH496" si="196">AF490-AC490</f>
        <v>-4852.5</v>
      </c>
      <c r="AI490" s="317">
        <f>IF(AC490=0,0,AH490/AC490)</f>
        <v>-0.529344387476819</v>
      </c>
      <c r="AJ490" s="290"/>
      <c r="AK490" s="290"/>
      <c r="AL490" s="291">
        <f>SUMIFS([7]BV_Data_An_Prec!$O:$O,[7]BV_Data_An_Prec!$V:$V,$V490)</f>
        <v>9000</v>
      </c>
      <c r="AM490" s="295"/>
      <c r="AN490" s="293">
        <f t="shared" ref="AN490:AN496" si="197">AF490-AL490</f>
        <v>-4685.5</v>
      </c>
      <c r="AO490" s="300">
        <f>IF(AL490=0,0,AN490/AL490)</f>
        <v>-0.52061111111111114</v>
      </c>
      <c r="AP490" s="257"/>
      <c r="AQ490" s="257"/>
      <c r="AR490" s="257"/>
      <c r="AS490" s="257"/>
      <c r="AT490" s="257"/>
      <c r="AU490" s="257"/>
      <c r="AV490" s="257"/>
      <c r="AW490" s="257"/>
      <c r="AX490" s="257"/>
      <c r="AY490" s="257"/>
      <c r="AZ490" s="257"/>
      <c r="BA490" s="257"/>
      <c r="BB490" s="257"/>
      <c r="BC490" s="257"/>
      <c r="BD490" s="257"/>
      <c r="BE490" s="257"/>
      <c r="BF490" s="257"/>
      <c r="BG490" s="257"/>
      <c r="BH490" s="257"/>
      <c r="BI490" s="257"/>
      <c r="BJ490" s="257"/>
    </row>
    <row r="491" spans="1:62" ht="15.75" customHeight="1">
      <c r="A491" t="str">
        <f t="shared" si="195"/>
        <v>Intérêts sur marge</v>
      </c>
      <c r="B491" s="7"/>
      <c r="C491" s="257"/>
      <c r="D491" s="257"/>
      <c r="E491" s="257"/>
      <c r="F491" s="321"/>
      <c r="G491" s="257"/>
      <c r="H491" s="257"/>
      <c r="I491" s="321"/>
      <c r="J491" s="257"/>
      <c r="K491" s="257"/>
      <c r="L491" s="257"/>
      <c r="M491" s="321"/>
      <c r="N491" s="257"/>
      <c r="O491" s="257"/>
      <c r="P491" s="257"/>
      <c r="Q491" s="321"/>
      <c r="R491" s="321"/>
      <c r="S491" s="321"/>
      <c r="T491" s="257"/>
      <c r="U491" s="257"/>
      <c r="V491" s="108" t="s">
        <v>190</v>
      </c>
      <c r="W491" s="11"/>
      <c r="X491" s="11"/>
      <c r="Y491" s="11"/>
      <c r="Z491" s="291">
        <f>+INDEX('[7]Budget original'!$A$2:$AO$496,MATCH($A491,'[7]Budget original'!$A$2:$A$496,0),MATCH(F$2,'[7]Budget original'!$A$2:$AO$2,0))</f>
        <v>456.25</v>
      </c>
      <c r="AA491" s="11"/>
      <c r="AB491" s="11"/>
      <c r="AC491" s="291">
        <f>+INDEX('[7]Budget révisé'!$A$2:$AO$496,MATCH($A491,'[7]Budget révisé'!$A$2:$A$496,0),MATCH(I$2,'[7]Budget révisé'!$A$2:$AO$2,0))</f>
        <v>456.25</v>
      </c>
      <c r="AD491" s="11"/>
      <c r="AE491" s="14"/>
      <c r="AF491" s="291">
        <f>SUMIFS([7]BV_Data_An_Cour!$O:$O,[7]BV_Data_An_Cour!$V:$V,$V491)</f>
        <v>-40.97</v>
      </c>
      <c r="AG491" s="11"/>
      <c r="AH491" s="293">
        <f t="shared" si="196"/>
        <v>-497.22</v>
      </c>
      <c r="AI491" s="317">
        <f t="shared" ref="AI491:AI496" si="198">IF(AC491=0,0,AH491/AC491)</f>
        <v>-1.0897972602739727</v>
      </c>
      <c r="AJ491" s="11"/>
      <c r="AK491" s="11"/>
      <c r="AL491" s="291">
        <f>SUMIFS([7]BV_Data_An_Prec!$O:$O,[7]BV_Data_An_Prec!$V:$V,$V491)</f>
        <v>0</v>
      </c>
      <c r="AM491" s="408"/>
      <c r="AN491" s="293">
        <f t="shared" si="197"/>
        <v>-40.97</v>
      </c>
      <c r="AO491" s="300">
        <f t="shared" ref="AO491:AO496" si="199">IF(AL491=0,0,AN491/AL491)</f>
        <v>0</v>
      </c>
      <c r="AP491" s="257"/>
      <c r="AQ491" s="257"/>
      <c r="AR491" s="257"/>
      <c r="AS491" s="257"/>
      <c r="AT491" s="257"/>
      <c r="AU491" s="257"/>
      <c r="AV491" s="257"/>
      <c r="AW491" s="257"/>
      <c r="AX491" s="257"/>
      <c r="AY491" s="257"/>
      <c r="AZ491" s="257"/>
      <c r="BA491" s="257"/>
      <c r="BB491" s="257"/>
      <c r="BC491" s="257"/>
      <c r="BD491" s="257"/>
      <c r="BE491" s="257"/>
      <c r="BF491" s="257"/>
      <c r="BG491" s="257"/>
      <c r="BH491" s="257"/>
      <c r="BI491" s="257"/>
      <c r="BJ491" s="257"/>
    </row>
    <row r="492" spans="1:62" ht="15.75" customHeight="1">
      <c r="A492" t="str">
        <f t="shared" si="195"/>
        <v>Intérêts sur prêt</v>
      </c>
      <c r="B492" s="7"/>
      <c r="C492" s="257"/>
      <c r="D492" s="257"/>
      <c r="E492" s="257"/>
      <c r="F492" s="321"/>
      <c r="G492" s="257"/>
      <c r="H492" s="257"/>
      <c r="I492" s="321"/>
      <c r="J492" s="257"/>
      <c r="K492" s="257"/>
      <c r="L492" s="257"/>
      <c r="M492" s="321"/>
      <c r="N492" s="257"/>
      <c r="O492" s="257"/>
      <c r="P492" s="257"/>
      <c r="Q492" s="321"/>
      <c r="R492" s="321"/>
      <c r="S492" s="321"/>
      <c r="T492" s="257"/>
      <c r="U492" s="257"/>
      <c r="V492" s="108" t="s">
        <v>191</v>
      </c>
      <c r="W492" s="14"/>
      <c r="X492" s="14"/>
      <c r="Y492" s="14"/>
      <c r="Z492" s="291">
        <f>+INDEX('[7]Budget original'!$A$2:$AO$496,MATCH($A492,'[7]Budget original'!$A$2:$A$496,0),MATCH(F$2,'[7]Budget original'!$A$2:$AO$2,0))</f>
        <v>569.85250084301356</v>
      </c>
      <c r="AA492" s="11"/>
      <c r="AB492" s="11"/>
      <c r="AC492" s="291">
        <f>+INDEX('[7]Budget révisé'!$A$2:$AO$496,MATCH($A492,'[7]Budget révisé'!$A$2:$A$496,0),MATCH(I$2,'[7]Budget révisé'!$A$2:$AO$2,0))</f>
        <v>569.85250084301356</v>
      </c>
      <c r="AD492" s="11"/>
      <c r="AE492" s="14"/>
      <c r="AF492" s="291">
        <f>SUMIFS([7]BV_Data_An_Cour!$O:$O,[7]BV_Data_An_Cour!$V:$V,$V492)</f>
        <v>570.58999999999992</v>
      </c>
      <c r="AG492" s="11"/>
      <c r="AH492" s="293">
        <f t="shared" si="196"/>
        <v>0.73749915698635959</v>
      </c>
      <c r="AI492" s="317">
        <f t="shared" si="198"/>
        <v>1.2941930690754842E-3</v>
      </c>
      <c r="AJ492" s="11"/>
      <c r="AK492" s="11"/>
      <c r="AL492" s="291">
        <f>SUMIFS([7]BV_Data_An_Prec!$O:$O,[7]BV_Data_An_Prec!$V:$V,$V492)</f>
        <v>4607.6400000000003</v>
      </c>
      <c r="AM492" s="408"/>
      <c r="AN492" s="293">
        <f t="shared" si="197"/>
        <v>-4037.05</v>
      </c>
      <c r="AO492" s="300">
        <f t="shared" si="199"/>
        <v>-0.87616437048033269</v>
      </c>
      <c r="AP492" s="257"/>
      <c r="AQ492" s="257"/>
      <c r="AR492" s="257"/>
      <c r="AS492" s="257"/>
      <c r="AT492" s="257"/>
      <c r="AU492" s="257"/>
      <c r="AV492" s="257"/>
      <c r="AW492" s="257"/>
      <c r="AX492" s="257"/>
      <c r="AY492" s="257"/>
      <c r="AZ492" s="257"/>
      <c r="BA492" s="257"/>
      <c r="BB492" s="257"/>
      <c r="BC492" s="257"/>
      <c r="BD492" s="257"/>
      <c r="BE492" s="257"/>
      <c r="BF492" s="257"/>
      <c r="BG492" s="257"/>
      <c r="BH492" s="257"/>
      <c r="BI492" s="257"/>
      <c r="BJ492" s="257"/>
    </row>
    <row r="493" spans="1:62" ht="15.75" customHeight="1" thickBot="1">
      <c r="A493" t="str">
        <f t="shared" si="195"/>
        <v>Intérêts sur avance</v>
      </c>
      <c r="B493" s="7"/>
      <c r="C493" s="257"/>
      <c r="D493" s="257"/>
      <c r="E493" s="257"/>
      <c r="F493" s="321"/>
      <c r="G493" s="257"/>
      <c r="H493" s="257"/>
      <c r="I493" s="321"/>
      <c r="J493" s="257"/>
      <c r="K493" s="257"/>
      <c r="L493" s="257"/>
      <c r="M493" s="321"/>
      <c r="N493" s="257"/>
      <c r="O493" s="257"/>
      <c r="P493" s="257"/>
      <c r="Q493" s="321"/>
      <c r="R493" s="321"/>
      <c r="S493" s="321"/>
      <c r="T493" s="257"/>
      <c r="U493" s="257"/>
      <c r="V493" s="108" t="s">
        <v>192</v>
      </c>
      <c r="W493" s="14"/>
      <c r="X493" s="14"/>
      <c r="Y493" s="14"/>
      <c r="Z493" s="291">
        <f>+INDEX('[7]Budget original'!$A$2:$AO$496,MATCH($A493,'[7]Budget original'!$A$2:$A$496,0),MATCH(F$2,'[7]Budget original'!$A$2:$AO$2,0))</f>
        <v>0</v>
      </c>
      <c r="AA493" s="11"/>
      <c r="AB493" s="11"/>
      <c r="AC493" s="291">
        <f>+INDEX('[7]Budget révisé'!$A$2:$AO$496,MATCH($A493,'[7]Budget révisé'!$A$2:$A$496,0),MATCH(I$2,'[7]Budget révisé'!$A$2:$AO$2,0))</f>
        <v>0</v>
      </c>
      <c r="AD493" s="11"/>
      <c r="AE493" s="14"/>
      <c r="AF493" s="291">
        <f>SUMIFS([7]BV_Data_An_Cour!$O:$O,[7]BV_Data_An_Cour!$V:$V,$V493)</f>
        <v>0</v>
      </c>
      <c r="AG493" s="11"/>
      <c r="AH493" s="293">
        <f t="shared" si="196"/>
        <v>0</v>
      </c>
      <c r="AI493" s="317">
        <f t="shared" si="198"/>
        <v>0</v>
      </c>
      <c r="AJ493" s="11"/>
      <c r="AK493" s="11"/>
      <c r="AL493" s="291">
        <f>SUMIFS([7]BV_Data_An_Prec!$O:$O,[7]BV_Data_An_Prec!$V:$V,$V493)</f>
        <v>0</v>
      </c>
      <c r="AM493" s="408"/>
      <c r="AN493" s="293">
        <f t="shared" si="197"/>
        <v>0</v>
      </c>
      <c r="AO493" s="300">
        <f t="shared" si="199"/>
        <v>0</v>
      </c>
      <c r="AP493" s="257"/>
      <c r="AQ493" s="257"/>
      <c r="AR493" s="257"/>
      <c r="AS493" s="257"/>
      <c r="AT493" s="257"/>
      <c r="AU493" s="257"/>
      <c r="AV493" s="257"/>
      <c r="AW493" s="257"/>
      <c r="AX493" s="257"/>
      <c r="AY493" s="257"/>
      <c r="AZ493" s="257"/>
      <c r="BA493" s="257"/>
      <c r="BB493" s="257"/>
      <c r="BC493" s="257"/>
      <c r="BD493" s="257"/>
      <c r="BE493" s="257"/>
      <c r="BF493" s="257"/>
      <c r="BG493" s="257"/>
      <c r="BH493" s="257"/>
      <c r="BI493" s="257"/>
      <c r="BJ493" s="257"/>
    </row>
    <row r="494" spans="1:62" ht="15.75" hidden="1" customHeight="1">
      <c r="A494" t="str">
        <f t="shared" si="195"/>
        <v>[...]</v>
      </c>
      <c r="B494" s="7"/>
      <c r="C494" s="257"/>
      <c r="D494" s="257"/>
      <c r="E494" s="257"/>
      <c r="F494" s="321"/>
      <c r="G494" s="257"/>
      <c r="H494" s="257"/>
      <c r="I494" s="321"/>
      <c r="J494" s="257"/>
      <c r="K494" s="257"/>
      <c r="L494" s="257"/>
      <c r="M494" s="321"/>
      <c r="N494" s="257"/>
      <c r="O494" s="257"/>
      <c r="P494" s="257"/>
      <c r="Q494" s="321"/>
      <c r="R494" s="321"/>
      <c r="S494" s="321"/>
      <c r="T494" s="257"/>
      <c r="U494" s="257"/>
      <c r="V494" s="108" t="s">
        <v>21</v>
      </c>
      <c r="W494" s="14"/>
      <c r="X494" s="14"/>
      <c r="Y494" s="14"/>
      <c r="Z494" s="291">
        <f t="shared" ref="Z494:Z496" si="200">IFERROR(SUMIF($C:$C,$V494,F:F),0)</f>
        <v>0</v>
      </c>
      <c r="AA494" s="290"/>
      <c r="AB494" s="290"/>
      <c r="AC494" s="291">
        <f t="shared" ref="AC494:AC496" si="201">IFERROR(SUMIF($C:$C,$V494,I:I),0)</f>
        <v>0</v>
      </c>
      <c r="AD494" s="299"/>
      <c r="AE494" s="298"/>
      <c r="AF494" s="291">
        <f t="shared" ref="AF494:AF496" si="202">IFERROR(SUMIF($C:$C,$V494,L:L),0)</f>
        <v>0</v>
      </c>
      <c r="AG494" s="292"/>
      <c r="AH494" s="293">
        <f t="shared" si="196"/>
        <v>0</v>
      </c>
      <c r="AI494" s="294">
        <f t="shared" si="198"/>
        <v>0</v>
      </c>
      <c r="AJ494" s="299"/>
      <c r="AK494" s="290"/>
      <c r="AL494" s="291">
        <f t="shared" ref="AL494:AL496" si="203">IFERROR(SUMIF($C:$C,$V494,Q:Q),0)</f>
        <v>0</v>
      </c>
      <c r="AM494" s="408"/>
      <c r="AN494" s="293">
        <f t="shared" si="197"/>
        <v>0</v>
      </c>
      <c r="AO494" s="300">
        <f t="shared" si="199"/>
        <v>0</v>
      </c>
      <c r="AP494" s="257"/>
      <c r="AQ494" s="257"/>
      <c r="AR494" s="257"/>
      <c r="AS494" s="257"/>
      <c r="AT494" s="257"/>
      <c r="AU494" s="257"/>
      <c r="AV494" s="257"/>
      <c r="AW494" s="257"/>
      <c r="AX494" s="257"/>
      <c r="AY494" s="257"/>
      <c r="AZ494" s="257"/>
      <c r="BA494" s="257"/>
      <c r="BB494" s="257"/>
      <c r="BC494" s="257"/>
      <c r="BD494" s="257"/>
      <c r="BE494" s="257"/>
      <c r="BF494" s="257"/>
      <c r="BG494" s="257"/>
      <c r="BH494" s="257"/>
      <c r="BI494" s="257"/>
      <c r="BJ494" s="257"/>
    </row>
    <row r="495" spans="1:62" ht="15.75" hidden="1" customHeight="1" thickBot="1">
      <c r="A495" t="str">
        <f t="shared" si="195"/>
        <v>[...]</v>
      </c>
      <c r="B495" s="7"/>
      <c r="C495" s="257"/>
      <c r="D495" s="257"/>
      <c r="E495" s="257"/>
      <c r="F495" s="321"/>
      <c r="G495" s="257"/>
      <c r="H495" s="257"/>
      <c r="I495" s="321"/>
      <c r="J495" s="257"/>
      <c r="K495" s="257"/>
      <c r="L495" s="257"/>
      <c r="M495" s="321"/>
      <c r="N495" s="257"/>
      <c r="O495" s="257"/>
      <c r="P495" s="257"/>
      <c r="Q495" s="321"/>
      <c r="R495" s="321"/>
      <c r="S495" s="321"/>
      <c r="T495" s="257"/>
      <c r="U495" s="257"/>
      <c r="V495" s="108" t="s">
        <v>21</v>
      </c>
      <c r="W495" s="14"/>
      <c r="X495" s="14"/>
      <c r="Y495" s="14"/>
      <c r="Z495" s="291">
        <f t="shared" si="200"/>
        <v>0</v>
      </c>
      <c r="AA495" s="290"/>
      <c r="AB495" s="290"/>
      <c r="AC495" s="291">
        <f t="shared" si="201"/>
        <v>0</v>
      </c>
      <c r="AD495" s="299"/>
      <c r="AE495" s="298"/>
      <c r="AF495" s="291">
        <f t="shared" si="202"/>
        <v>0</v>
      </c>
      <c r="AG495" s="292"/>
      <c r="AH495" s="293">
        <f t="shared" si="196"/>
        <v>0</v>
      </c>
      <c r="AI495" s="294">
        <f t="shared" si="198"/>
        <v>0</v>
      </c>
      <c r="AJ495" s="299"/>
      <c r="AK495" s="290"/>
      <c r="AL495" s="291">
        <f t="shared" si="203"/>
        <v>0</v>
      </c>
      <c r="AM495" s="408"/>
      <c r="AN495" s="293">
        <f t="shared" si="197"/>
        <v>0</v>
      </c>
      <c r="AO495" s="300">
        <f t="shared" si="199"/>
        <v>0</v>
      </c>
      <c r="AP495" s="257"/>
      <c r="AQ495" s="257"/>
      <c r="AR495" s="257"/>
      <c r="AS495" s="257"/>
      <c r="AT495" s="257"/>
      <c r="AU495" s="257"/>
      <c r="AV495" s="257"/>
      <c r="AW495" s="257"/>
      <c r="AX495" s="257"/>
      <c r="AY495" s="257"/>
      <c r="AZ495" s="257"/>
      <c r="BA495" s="257"/>
      <c r="BB495" s="257"/>
      <c r="BC495" s="257"/>
      <c r="BD495" s="257"/>
      <c r="BE495" s="257"/>
      <c r="BF495" s="257"/>
      <c r="BG495" s="257"/>
      <c r="BH495" s="257"/>
      <c r="BI495" s="257"/>
      <c r="BJ495" s="257"/>
    </row>
    <row r="496" spans="1:62" ht="15.75" hidden="1" customHeight="1" thickTop="1" thickBot="1">
      <c r="A496" t="str">
        <f t="shared" si="195"/>
        <v>[...]</v>
      </c>
      <c r="B496" s="7"/>
      <c r="C496" s="257"/>
      <c r="D496" s="257"/>
      <c r="E496" s="257"/>
      <c r="F496" s="321"/>
      <c r="G496" s="257"/>
      <c r="H496" s="257"/>
      <c r="I496" s="321"/>
      <c r="J496" s="257"/>
      <c r="K496" s="257"/>
      <c r="L496" s="257"/>
      <c r="M496" s="321"/>
      <c r="N496" s="257"/>
      <c r="O496" s="257"/>
      <c r="P496" s="257"/>
      <c r="Q496" s="321"/>
      <c r="R496" s="321"/>
      <c r="S496" s="321"/>
      <c r="T496" s="257"/>
      <c r="U496" s="257"/>
      <c r="V496" s="108" t="s">
        <v>21</v>
      </c>
      <c r="W496" s="14"/>
      <c r="X496" s="257"/>
      <c r="Y496" s="14"/>
      <c r="Z496" s="291">
        <f t="shared" si="200"/>
        <v>0</v>
      </c>
      <c r="AA496" s="290"/>
      <c r="AB496" s="290"/>
      <c r="AC496" s="291">
        <f t="shared" si="201"/>
        <v>0</v>
      </c>
      <c r="AD496" s="299"/>
      <c r="AE496" s="298"/>
      <c r="AF496" s="291">
        <f t="shared" si="202"/>
        <v>0</v>
      </c>
      <c r="AG496" s="292"/>
      <c r="AH496" s="293">
        <f t="shared" si="196"/>
        <v>0</v>
      </c>
      <c r="AI496" s="294">
        <f t="shared" si="198"/>
        <v>0</v>
      </c>
      <c r="AJ496" s="299"/>
      <c r="AK496" s="290"/>
      <c r="AL496" s="291">
        <f t="shared" si="203"/>
        <v>0</v>
      </c>
      <c r="AM496" s="408"/>
      <c r="AN496" s="293">
        <f t="shared" si="197"/>
        <v>0</v>
      </c>
      <c r="AO496" s="300">
        <f t="shared" si="199"/>
        <v>0</v>
      </c>
      <c r="AP496" s="257"/>
      <c r="AQ496" s="257"/>
      <c r="AR496" s="257"/>
      <c r="AS496" s="257"/>
      <c r="AT496" s="257"/>
      <c r="AU496" s="257"/>
      <c r="AV496" s="257"/>
      <c r="AW496" s="257"/>
      <c r="AX496" s="257"/>
      <c r="AY496" s="257"/>
      <c r="AZ496" s="257"/>
      <c r="BA496" s="257"/>
      <c r="BB496" s="257"/>
      <c r="BC496" s="257"/>
      <c r="BD496" s="257"/>
      <c r="BE496" s="257"/>
      <c r="BF496" s="257"/>
      <c r="BG496" s="257"/>
      <c r="BH496" s="257"/>
      <c r="BI496" s="257"/>
      <c r="BJ496" s="257"/>
    </row>
    <row r="497" spans="1:62" ht="15.75" customHeight="1" thickTop="1" thickBot="1">
      <c r="A497" t="str">
        <f t="shared" si="195"/>
        <v>Profit Net</v>
      </c>
      <c r="B497" s="7"/>
      <c r="C497" s="257"/>
      <c r="D497" s="257"/>
      <c r="E497" s="257"/>
      <c r="F497" s="321"/>
      <c r="G497" s="257"/>
      <c r="H497" s="257"/>
      <c r="I497" s="321"/>
      <c r="J497" s="257"/>
      <c r="K497" s="257"/>
      <c r="L497" s="257"/>
      <c r="M497" s="321"/>
      <c r="N497" s="257"/>
      <c r="O497" s="257"/>
      <c r="P497" s="257"/>
      <c r="Q497" s="321"/>
      <c r="R497" s="321"/>
      <c r="S497" s="321"/>
      <c r="T497" s="257"/>
      <c r="U497" s="257"/>
      <c r="V497" s="380" t="s">
        <v>194</v>
      </c>
      <c r="W497" s="381"/>
      <c r="X497" s="382" t="s">
        <v>187</v>
      </c>
      <c r="Y497" s="383">
        <f>Z497/Z405</f>
        <v>2.5120303148489419E-2</v>
      </c>
      <c r="Z497" s="384">
        <f>Z488-Z490-Z491-Z492-Z496</f>
        <v>62742.61658303412</v>
      </c>
      <c r="AA497" s="382" t="s">
        <v>187</v>
      </c>
      <c r="AB497" s="383">
        <f>AC497/AC405</f>
        <v>2.5120303148489419E-2</v>
      </c>
      <c r="AC497" s="384">
        <f>AC488-AC490-AC491-AC492-AC496</f>
        <v>62742.61658303412</v>
      </c>
      <c r="AD497" s="382" t="s">
        <v>187</v>
      </c>
      <c r="AE497" s="383">
        <f>AF497/AF405</f>
        <v>3.1948158182463403E-2</v>
      </c>
      <c r="AF497" s="385">
        <f>AF488-AF490-AF491-AF492-AF496</f>
        <v>165431.87000000005</v>
      </c>
      <c r="AG497" s="386"/>
      <c r="AH497" s="386">
        <f>AF497-AC497</f>
        <v>102689.25341696593</v>
      </c>
      <c r="AI497" s="387">
        <f>AH497/AC497</f>
        <v>1.6366747038843381</v>
      </c>
      <c r="AJ497" s="388" t="s">
        <v>187</v>
      </c>
      <c r="AK497" s="383">
        <f>IF($AL$405=0,0,AL497/$AL$405)</f>
        <v>1.2205280812298925E-2</v>
      </c>
      <c r="AL497" s="385">
        <f>AL488-AL490-AL491-AL492-AL496</f>
        <v>64308.639999999912</v>
      </c>
      <c r="AM497" s="389"/>
      <c r="AN497" s="385">
        <f>AF497-AL497</f>
        <v>101123.23000000014</v>
      </c>
      <c r="AO497" s="409">
        <f>IF(AL497=0,0,AN497/AL497)</f>
        <v>1.5724672454587794</v>
      </c>
      <c r="AP497" s="257"/>
      <c r="AQ497" s="257"/>
      <c r="AR497" s="257"/>
      <c r="AS497" s="257"/>
      <c r="AT497" s="257"/>
      <c r="AU497" s="257"/>
      <c r="AV497" s="257"/>
      <c r="AW497" s="257"/>
      <c r="AX497" s="257"/>
      <c r="AY497" s="257"/>
      <c r="AZ497" s="257"/>
      <c r="BA497" s="257"/>
      <c r="BB497" s="257"/>
      <c r="BC497" s="257"/>
      <c r="BD497" s="257"/>
      <c r="BE497" s="257"/>
      <c r="BF497" s="257"/>
      <c r="BG497" s="257"/>
      <c r="BH497" s="257"/>
      <c r="BI497" s="257"/>
      <c r="BJ497" s="257"/>
    </row>
    <row r="498" spans="1:62" ht="15.75" customHeight="1" thickTop="1">
      <c r="A498" t="str">
        <f t="shared" si="195"/>
        <v/>
      </c>
      <c r="B498" s="7"/>
      <c r="C498" s="257"/>
      <c r="D498" s="257"/>
      <c r="E498" s="257"/>
      <c r="F498" s="321"/>
      <c r="G498" s="257"/>
      <c r="H498" s="257"/>
      <c r="I498" s="321"/>
      <c r="J498" s="257"/>
      <c r="K498" s="257"/>
      <c r="L498" s="257"/>
      <c r="M498" s="321"/>
      <c r="N498" s="257"/>
      <c r="O498" s="257"/>
      <c r="P498" s="257"/>
      <c r="Q498" s="321"/>
      <c r="R498" s="321"/>
      <c r="S498" s="321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410"/>
      <c r="AF498" s="411"/>
      <c r="AG498" s="257"/>
      <c r="AH498" s="257"/>
      <c r="AI498" s="257"/>
      <c r="AJ498" s="257"/>
      <c r="AK498" s="257"/>
      <c r="AL498" s="257"/>
      <c r="AM498" s="257"/>
      <c r="AN498" s="257"/>
      <c r="AO498" s="257"/>
      <c r="AP498" s="257"/>
      <c r="AQ498" s="257"/>
      <c r="AR498" s="257"/>
      <c r="AS498" s="257"/>
      <c r="AT498" s="257"/>
      <c r="AU498" s="257"/>
      <c r="AV498" s="257"/>
      <c r="AW498" s="257"/>
      <c r="AX498" s="257"/>
      <c r="AY498" s="257"/>
      <c r="AZ498" s="257"/>
      <c r="BA498" s="257"/>
      <c r="BB498" s="257"/>
      <c r="BC498" s="257"/>
      <c r="BD498" s="257"/>
      <c r="BE498" s="257"/>
      <c r="BF498" s="257"/>
      <c r="BG498" s="257"/>
      <c r="BH498" s="257"/>
      <c r="BI498" s="257"/>
      <c r="BJ498" s="257"/>
    </row>
    <row r="499" spans="1:62" ht="15.75" customHeight="1">
      <c r="B499" s="7"/>
      <c r="C499" s="257"/>
      <c r="D499" s="257"/>
      <c r="E499" s="257"/>
      <c r="F499" s="321"/>
      <c r="G499" s="257"/>
      <c r="H499" s="257"/>
      <c r="I499" s="321"/>
      <c r="J499" s="257"/>
      <c r="K499" s="257"/>
      <c r="L499" s="257"/>
      <c r="M499" s="321"/>
      <c r="N499" s="257"/>
      <c r="O499" s="257"/>
      <c r="P499" s="257"/>
      <c r="Q499" s="321"/>
      <c r="R499" s="321"/>
      <c r="S499" s="321"/>
      <c r="T499" s="257"/>
      <c r="U499" s="257"/>
      <c r="V499" s="257"/>
      <c r="W499" s="257"/>
      <c r="X499" s="257"/>
      <c r="Y499" s="257"/>
      <c r="Z499" s="321"/>
      <c r="AA499" s="257"/>
      <c r="AB499" s="257"/>
      <c r="AC499" s="257"/>
      <c r="AD499" s="257"/>
      <c r="AE499" s="257"/>
      <c r="AF499" s="362"/>
      <c r="AG499" s="257"/>
      <c r="AH499" s="257"/>
      <c r="AI499" s="257"/>
      <c r="AJ499" s="257"/>
      <c r="AK499" s="257"/>
      <c r="AL499" s="257"/>
      <c r="AM499" s="257"/>
      <c r="AN499" s="257"/>
      <c r="AO499" s="257"/>
      <c r="AP499" s="257"/>
      <c r="AQ499" s="257"/>
      <c r="AR499" s="257"/>
      <c r="AS499" s="257"/>
      <c r="AT499" s="257"/>
      <c r="AU499" s="257"/>
      <c r="AV499" s="257"/>
      <c r="AW499" s="257"/>
      <c r="AX499" s="257"/>
      <c r="AY499" s="257"/>
      <c r="AZ499" s="257"/>
      <c r="BA499" s="257"/>
      <c r="BB499" s="257"/>
      <c r="BC499" s="257"/>
      <c r="BD499" s="257"/>
      <c r="BE499" s="257"/>
      <c r="BF499" s="257"/>
      <c r="BG499" s="257"/>
      <c r="BH499" s="257"/>
      <c r="BI499" s="257"/>
      <c r="BJ499" s="257"/>
    </row>
    <row r="500" spans="1:62" ht="15.75" customHeight="1">
      <c r="B500" s="7"/>
      <c r="C500" s="257"/>
      <c r="D500" s="257"/>
      <c r="E500" s="257"/>
      <c r="F500" s="321"/>
      <c r="G500" s="257"/>
      <c r="H500" s="257"/>
      <c r="I500" s="321"/>
      <c r="J500" s="257"/>
      <c r="K500" s="257"/>
      <c r="L500" s="257"/>
      <c r="M500" s="321"/>
      <c r="N500" s="257"/>
      <c r="O500" s="257"/>
      <c r="P500" s="257"/>
      <c r="Q500" s="321"/>
      <c r="R500" s="321"/>
      <c r="S500" s="321"/>
      <c r="T500" s="347"/>
      <c r="U500" s="347"/>
      <c r="V500" s="257"/>
      <c r="W500" s="257"/>
      <c r="X500" s="257"/>
      <c r="Y500" s="257"/>
      <c r="Z500" s="321">
        <v>62743</v>
      </c>
      <c r="AA500" s="257"/>
      <c r="AB500" s="257"/>
      <c r="AC500" s="321">
        <v>62743</v>
      </c>
      <c r="AD500" s="257"/>
      <c r="AE500" s="257"/>
      <c r="AF500" s="504">
        <v>165431.87</v>
      </c>
      <c r="AG500" s="257"/>
      <c r="AH500" s="257"/>
      <c r="AI500" s="257"/>
      <c r="AJ500" s="257"/>
      <c r="AK500" s="257"/>
      <c r="AL500" s="257">
        <v>64308.69</v>
      </c>
      <c r="AM500" s="257"/>
      <c r="AN500" s="257"/>
      <c r="AO500" s="257"/>
      <c r="AP500" s="257"/>
      <c r="AQ500" s="257"/>
      <c r="AR500" s="257"/>
      <c r="AS500" s="257"/>
      <c r="AT500" s="257"/>
      <c r="AU500" s="257"/>
      <c r="AV500" s="257"/>
      <c r="AW500" s="257"/>
      <c r="AX500" s="257"/>
      <c r="AY500" s="257"/>
      <c r="AZ500" s="257"/>
      <c r="BA500" s="257"/>
      <c r="BB500" s="257"/>
      <c r="BC500" s="257"/>
      <c r="BD500" s="257"/>
      <c r="BE500" s="257"/>
      <c r="BF500" s="257"/>
      <c r="BG500" s="257"/>
      <c r="BH500" s="257"/>
      <c r="BI500" s="257"/>
      <c r="BJ500" s="257"/>
    </row>
    <row r="501" spans="1:62" ht="15.75" customHeight="1">
      <c r="B501" s="7"/>
      <c r="C501" s="257"/>
      <c r="D501" s="257"/>
      <c r="E501" s="257"/>
      <c r="F501" s="321"/>
      <c r="G501" s="257"/>
      <c r="H501" s="257"/>
      <c r="I501" s="321"/>
      <c r="J501" s="257"/>
      <c r="K501" s="257"/>
      <c r="L501" s="257"/>
      <c r="M501" s="321"/>
      <c r="N501" s="257"/>
      <c r="O501" s="257"/>
      <c r="P501" s="257"/>
      <c r="Q501" s="321"/>
      <c r="R501" s="321"/>
      <c r="S501" s="321"/>
      <c r="T501" s="347"/>
      <c r="U501" s="347"/>
      <c r="V501" s="257"/>
      <c r="W501" s="257"/>
      <c r="X501" s="257"/>
      <c r="Y501" s="257"/>
      <c r="Z501" s="321">
        <f>Z497-Z500</f>
        <v>-0.38341696588031482</v>
      </c>
      <c r="AA501" s="257"/>
      <c r="AB501" s="257"/>
      <c r="AC501" s="321">
        <f>AC497-AC500</f>
        <v>-0.38341696588031482</v>
      </c>
      <c r="AD501" s="257"/>
      <c r="AE501" s="257"/>
      <c r="AF501" s="412">
        <f>AF497-AF500</f>
        <v>0</v>
      </c>
      <c r="AG501" s="257"/>
      <c r="AH501" s="257"/>
      <c r="AI501" s="257"/>
      <c r="AJ501" s="257"/>
      <c r="AK501" s="257"/>
      <c r="AL501" s="412">
        <f>AL497-AL500</f>
        <v>-5.0000000090221874E-2</v>
      </c>
      <c r="AM501" s="257"/>
      <c r="AN501" s="257"/>
      <c r="AO501" s="257"/>
      <c r="AP501" s="257"/>
      <c r="AQ501" s="257"/>
      <c r="AR501" s="257"/>
      <c r="AS501" s="257"/>
      <c r="AT501" s="257"/>
      <c r="AU501" s="257"/>
      <c r="AV501" s="257"/>
      <c r="AW501" s="257"/>
      <c r="AX501" s="257"/>
      <c r="AY501" s="257"/>
      <c r="AZ501" s="257"/>
      <c r="BA501" s="257"/>
      <c r="BB501" s="257"/>
      <c r="BC501" s="257"/>
      <c r="BD501" s="257"/>
      <c r="BE501" s="257"/>
      <c r="BF501" s="257"/>
      <c r="BG501" s="257"/>
      <c r="BH501" s="257"/>
      <c r="BI501" s="257"/>
      <c r="BJ501" s="257"/>
    </row>
    <row r="502" spans="1:62" ht="15.75" customHeight="1">
      <c r="B502" s="7"/>
      <c r="C502" s="257"/>
      <c r="D502" s="257"/>
      <c r="E502" s="257"/>
      <c r="F502" s="321"/>
      <c r="G502" s="257"/>
      <c r="H502" s="257"/>
      <c r="I502" s="321"/>
      <c r="J502" s="257"/>
      <c r="K502" s="257"/>
      <c r="L502" s="257"/>
      <c r="M502" s="321"/>
      <c r="N502" s="257"/>
      <c r="O502" s="257"/>
      <c r="P502" s="257"/>
      <c r="Q502" s="321"/>
      <c r="R502" s="321"/>
      <c r="S502" s="321"/>
      <c r="T502" s="347"/>
      <c r="U502" s="34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  <c r="AJ502" s="257"/>
      <c r="AK502" s="257"/>
      <c r="AL502" s="257"/>
      <c r="AM502" s="257"/>
      <c r="AN502" s="257"/>
      <c r="AO502" s="257"/>
      <c r="AP502" s="257"/>
      <c r="AQ502" s="257"/>
      <c r="AR502" s="257"/>
      <c r="AS502" s="257"/>
      <c r="AT502" s="257"/>
      <c r="AU502" s="257"/>
      <c r="AV502" s="257"/>
      <c r="AW502" s="257"/>
      <c r="AX502" s="257"/>
      <c r="AY502" s="257"/>
      <c r="AZ502" s="257"/>
      <c r="BA502" s="257"/>
      <c r="BB502" s="257"/>
      <c r="BC502" s="257"/>
      <c r="BD502" s="257"/>
      <c r="BE502" s="257"/>
      <c r="BF502" s="257"/>
      <c r="BG502" s="257"/>
      <c r="BH502" s="257"/>
      <c r="BI502" s="257"/>
      <c r="BJ502" s="257"/>
    </row>
    <row r="503" spans="1:62" ht="15.75" customHeight="1">
      <c r="B503" s="7"/>
      <c r="C503" s="257"/>
      <c r="D503" s="257"/>
      <c r="E503" s="257"/>
      <c r="F503" s="321"/>
      <c r="G503" s="257"/>
      <c r="H503" s="257"/>
      <c r="I503" s="321"/>
      <c r="J503" s="257"/>
      <c r="K503" s="257"/>
      <c r="L503" s="257"/>
      <c r="M503" s="321"/>
      <c r="N503" s="257"/>
      <c r="O503" s="257"/>
      <c r="P503" s="257"/>
      <c r="Q503" s="321"/>
      <c r="R503" s="321"/>
      <c r="S503" s="321"/>
      <c r="T503" s="347"/>
      <c r="U503" s="34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  <c r="AJ503" s="257"/>
      <c r="AK503" s="257"/>
      <c r="AL503" s="257"/>
      <c r="AM503" s="257"/>
      <c r="AN503" s="257"/>
      <c r="AO503" s="257"/>
      <c r="AP503" s="257"/>
      <c r="AQ503" s="257"/>
      <c r="AR503" s="257"/>
      <c r="AS503" s="257"/>
      <c r="AT503" s="257"/>
      <c r="AU503" s="257"/>
      <c r="AV503" s="257"/>
      <c r="AW503" s="257"/>
      <c r="AX503" s="257"/>
      <c r="AY503" s="257"/>
      <c r="AZ503" s="257"/>
      <c r="BA503" s="257"/>
      <c r="BB503" s="257"/>
      <c r="BC503" s="257"/>
      <c r="BD503" s="257"/>
      <c r="BE503" s="257"/>
      <c r="BF503" s="257"/>
      <c r="BG503" s="257"/>
      <c r="BH503" s="257"/>
      <c r="BI503" s="257"/>
      <c r="BJ503" s="257"/>
    </row>
    <row r="504" spans="1:62" ht="15.75" customHeight="1">
      <c r="B504" s="7"/>
      <c r="C504" s="257"/>
      <c r="D504" s="257"/>
      <c r="E504" s="257"/>
      <c r="F504" s="321"/>
      <c r="G504" s="257"/>
      <c r="H504" s="257"/>
      <c r="I504" s="321"/>
      <c r="J504" s="257"/>
      <c r="K504" s="257"/>
      <c r="L504" s="257"/>
      <c r="M504" s="321"/>
      <c r="N504" s="257"/>
      <c r="O504" s="257"/>
      <c r="P504" s="257"/>
      <c r="Q504" s="321"/>
      <c r="R504" s="321"/>
      <c r="S504" s="321"/>
      <c r="T504" s="347"/>
      <c r="U504" s="34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  <c r="AJ504" s="257"/>
      <c r="AK504" s="257"/>
      <c r="AL504" s="257"/>
      <c r="AM504" s="257"/>
      <c r="AN504" s="257"/>
      <c r="AO504" s="257"/>
      <c r="AP504" s="257"/>
      <c r="AQ504" s="257"/>
      <c r="AR504" s="257"/>
      <c r="AS504" s="257"/>
      <c r="AT504" s="257"/>
      <c r="AU504" s="257"/>
      <c r="AV504" s="257"/>
      <c r="AW504" s="257"/>
      <c r="AX504" s="257"/>
      <c r="AY504" s="257"/>
      <c r="AZ504" s="257"/>
      <c r="BA504" s="257"/>
      <c r="BB504" s="257"/>
      <c r="BC504" s="257"/>
      <c r="BD504" s="257"/>
      <c r="BE504" s="257"/>
      <c r="BF504" s="257"/>
      <c r="BG504" s="257"/>
      <c r="BH504" s="257"/>
      <c r="BI504" s="257"/>
      <c r="BJ504" s="257"/>
    </row>
    <row r="505" spans="1:62" ht="15.75" customHeight="1">
      <c r="B505" s="7"/>
      <c r="C505" s="257"/>
      <c r="D505" s="257"/>
      <c r="E505" s="257"/>
      <c r="F505" s="321"/>
      <c r="G505" s="257"/>
      <c r="H505" s="257"/>
      <c r="I505" s="321"/>
      <c r="J505" s="257"/>
      <c r="K505" s="257"/>
      <c r="L505" s="257"/>
      <c r="M505" s="321"/>
      <c r="N505" s="257"/>
      <c r="O505" s="257"/>
      <c r="P505" s="257"/>
      <c r="Q505" s="321"/>
      <c r="R505" s="321"/>
      <c r="S505" s="321"/>
      <c r="T505" s="347"/>
      <c r="U505" s="34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  <c r="AJ505" s="257"/>
      <c r="AK505" s="257"/>
      <c r="AL505" s="257"/>
      <c r="AM505" s="257"/>
      <c r="AN505" s="257"/>
      <c r="AO505" s="257"/>
      <c r="AP505" s="257"/>
      <c r="AQ505" s="257"/>
      <c r="AR505" s="257"/>
      <c r="AS505" s="257"/>
      <c r="AT505" s="257"/>
      <c r="AU505" s="257"/>
      <c r="AV505" s="257"/>
      <c r="AW505" s="257"/>
      <c r="AX505" s="257"/>
      <c r="AY505" s="257"/>
      <c r="AZ505" s="257"/>
      <c r="BA505" s="257"/>
      <c r="BB505" s="257"/>
      <c r="BC505" s="257"/>
      <c r="BD505" s="257"/>
      <c r="BE505" s="257"/>
      <c r="BF505" s="257"/>
      <c r="BG505" s="257"/>
      <c r="BH505" s="257"/>
      <c r="BI505" s="257"/>
      <c r="BJ505" s="257"/>
    </row>
    <row r="506" spans="1:62" ht="15.75" customHeight="1">
      <c r="B506" s="7"/>
      <c r="C506" s="257"/>
      <c r="D506" s="257"/>
      <c r="E506" s="257"/>
      <c r="F506" s="321"/>
      <c r="G506" s="257"/>
      <c r="H506" s="257"/>
      <c r="I506" s="321"/>
      <c r="J506" s="257"/>
      <c r="K506" s="257"/>
      <c r="L506" s="257"/>
      <c r="M506" s="321"/>
      <c r="N506" s="257"/>
      <c r="O506" s="257"/>
      <c r="P506" s="257"/>
      <c r="Q506" s="321"/>
      <c r="R506" s="321"/>
      <c r="S506" s="321"/>
      <c r="T506" s="347"/>
      <c r="U506" s="34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  <c r="AJ506" s="257"/>
      <c r="AK506" s="257"/>
      <c r="AL506" s="257"/>
      <c r="AM506" s="257"/>
      <c r="AN506" s="257"/>
      <c r="AO506" s="257"/>
      <c r="AP506" s="257"/>
      <c r="AQ506" s="257"/>
      <c r="AR506" s="257"/>
      <c r="AS506" s="257"/>
      <c r="AT506" s="257"/>
      <c r="AU506" s="257"/>
      <c r="AV506" s="257"/>
      <c r="AW506" s="257"/>
      <c r="AX506" s="257"/>
      <c r="AY506" s="257"/>
      <c r="AZ506" s="257"/>
      <c r="BA506" s="257"/>
      <c r="BB506" s="257"/>
      <c r="BC506" s="257"/>
      <c r="BD506" s="257"/>
      <c r="BE506" s="257"/>
      <c r="BF506" s="257"/>
      <c r="BG506" s="257"/>
      <c r="BH506" s="257"/>
      <c r="BI506" s="257"/>
      <c r="BJ506" s="257"/>
    </row>
    <row r="507" spans="1:62" ht="15.75" customHeight="1">
      <c r="B507" s="7"/>
      <c r="C507" s="257"/>
      <c r="D507" s="257"/>
      <c r="E507" s="257"/>
      <c r="F507" s="321"/>
      <c r="G507" s="257"/>
      <c r="H507" s="257"/>
      <c r="I507" s="321"/>
      <c r="J507" s="257"/>
      <c r="K507" s="257"/>
      <c r="L507" s="257"/>
      <c r="M507" s="321"/>
      <c r="N507" s="257"/>
      <c r="O507" s="257"/>
      <c r="P507" s="257"/>
      <c r="Q507" s="321"/>
      <c r="R507" s="321"/>
      <c r="S507" s="321"/>
      <c r="T507" s="347"/>
      <c r="U507" s="347"/>
      <c r="V507" s="257"/>
      <c r="W507" s="347"/>
      <c r="X507" s="34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  <c r="AJ507" s="257"/>
      <c r="AK507" s="257"/>
      <c r="AL507" s="257"/>
      <c r="AM507" s="257"/>
      <c r="AN507" s="257"/>
      <c r="AO507" s="257"/>
      <c r="AP507" s="257"/>
      <c r="AQ507" s="257"/>
      <c r="AR507" s="257"/>
      <c r="AS507" s="257"/>
      <c r="AT507" s="257"/>
      <c r="AU507" s="257"/>
      <c r="AV507" s="257"/>
      <c r="AW507" s="257"/>
      <c r="AX507" s="257"/>
      <c r="AY507" s="257"/>
      <c r="AZ507" s="257"/>
      <c r="BA507" s="257"/>
      <c r="BB507" s="257"/>
      <c r="BC507" s="257"/>
      <c r="BD507" s="257"/>
      <c r="BE507" s="257"/>
      <c r="BF507" s="257"/>
      <c r="BG507" s="257"/>
      <c r="BH507" s="257"/>
      <c r="BI507" s="257"/>
      <c r="BJ507" s="257"/>
    </row>
    <row r="508" spans="1:62" ht="15.75" customHeight="1">
      <c r="B508" s="7"/>
      <c r="C508" s="257"/>
      <c r="D508" s="257"/>
      <c r="E508" s="257"/>
      <c r="F508" s="321"/>
      <c r="G508" s="257"/>
      <c r="H508" s="257"/>
      <c r="I508" s="321"/>
      <c r="J508" s="257"/>
      <c r="K508" s="257"/>
      <c r="L508" s="257"/>
      <c r="M508" s="321"/>
      <c r="N508" s="257"/>
      <c r="O508" s="257"/>
      <c r="P508" s="257"/>
      <c r="Q508" s="321"/>
      <c r="R508" s="321"/>
      <c r="S508" s="321"/>
      <c r="T508" s="347"/>
      <c r="U508" s="347"/>
      <c r="V508" s="257"/>
      <c r="W508" s="347"/>
      <c r="X508" s="34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  <c r="AJ508" s="257"/>
      <c r="AK508" s="257"/>
      <c r="AL508" s="257"/>
      <c r="AM508" s="257"/>
      <c r="AN508" s="257"/>
      <c r="AO508" s="257"/>
      <c r="AP508" s="257"/>
      <c r="AQ508" s="257"/>
      <c r="AR508" s="257"/>
      <c r="AS508" s="257"/>
      <c r="AT508" s="257"/>
      <c r="AU508" s="257"/>
      <c r="AV508" s="257"/>
      <c r="AW508" s="257"/>
      <c r="AX508" s="257"/>
      <c r="AY508" s="257"/>
      <c r="AZ508" s="257"/>
      <c r="BA508" s="257"/>
      <c r="BB508" s="257"/>
      <c r="BC508" s="257"/>
      <c r="BD508" s="257"/>
      <c r="BE508" s="257"/>
      <c r="BF508" s="257"/>
      <c r="BG508" s="257"/>
      <c r="BH508" s="257"/>
      <c r="BI508" s="257"/>
      <c r="BJ508" s="257"/>
    </row>
    <row r="509" spans="1:62" ht="15.75" customHeight="1">
      <c r="B509" s="7"/>
      <c r="C509" s="257"/>
      <c r="D509" s="257"/>
      <c r="E509" s="257"/>
      <c r="F509" s="321"/>
      <c r="G509" s="257"/>
      <c r="H509" s="257"/>
      <c r="I509" s="321"/>
      <c r="J509" s="257"/>
      <c r="K509" s="257"/>
      <c r="L509" s="257"/>
      <c r="M509" s="321"/>
      <c r="N509" s="257"/>
      <c r="O509" s="257"/>
      <c r="P509" s="257"/>
      <c r="Q509" s="321"/>
      <c r="R509" s="321"/>
      <c r="S509" s="321"/>
      <c r="T509" s="347"/>
      <c r="U509" s="347"/>
      <c r="V509" s="257"/>
      <c r="W509" s="347"/>
      <c r="X509" s="34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  <c r="AJ509" s="257"/>
      <c r="AK509" s="257"/>
      <c r="AL509" s="257"/>
      <c r="AM509" s="257"/>
      <c r="AN509" s="257"/>
      <c r="AO509" s="257"/>
      <c r="AP509" s="257"/>
      <c r="AQ509" s="257"/>
      <c r="AR509" s="257"/>
      <c r="AS509" s="257"/>
      <c r="AT509" s="257"/>
      <c r="AU509" s="257"/>
      <c r="AV509" s="257"/>
      <c r="AW509" s="257"/>
      <c r="AX509" s="257"/>
      <c r="AY509" s="257"/>
      <c r="AZ509" s="257"/>
      <c r="BA509" s="257"/>
      <c r="BB509" s="257"/>
      <c r="BC509" s="257"/>
      <c r="BD509" s="257"/>
      <c r="BE509" s="257"/>
      <c r="BF509" s="257"/>
      <c r="BG509" s="257"/>
      <c r="BH509" s="257"/>
      <c r="BI509" s="257"/>
      <c r="BJ509" s="257"/>
    </row>
    <row r="510" spans="1:62" ht="15.75" customHeight="1">
      <c r="B510" s="7"/>
      <c r="C510" s="257"/>
      <c r="D510" s="257"/>
      <c r="E510" s="257"/>
      <c r="F510" s="321"/>
      <c r="G510" s="257"/>
      <c r="H510" s="257"/>
      <c r="I510" s="321"/>
      <c r="J510" s="257"/>
      <c r="K510" s="257"/>
      <c r="L510" s="257"/>
      <c r="M510" s="321"/>
      <c r="N510" s="257"/>
      <c r="O510" s="257"/>
      <c r="P510" s="257"/>
      <c r="Q510" s="321"/>
      <c r="R510" s="321"/>
      <c r="S510" s="321"/>
      <c r="T510" s="347"/>
      <c r="U510" s="347"/>
      <c r="V510" s="257"/>
      <c r="W510" s="347"/>
      <c r="X510" s="34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  <c r="AJ510" s="257"/>
      <c r="AK510" s="257"/>
      <c r="AL510" s="257"/>
      <c r="AM510" s="257"/>
      <c r="AN510" s="257"/>
      <c r="AO510" s="257"/>
      <c r="AP510" s="257"/>
      <c r="AQ510" s="257"/>
      <c r="AR510" s="257"/>
      <c r="AS510" s="257"/>
      <c r="AT510" s="257"/>
      <c r="AU510" s="257"/>
      <c r="AV510" s="257"/>
      <c r="AW510" s="257"/>
      <c r="AX510" s="257"/>
      <c r="AY510" s="257"/>
      <c r="AZ510" s="257"/>
      <c r="BA510" s="257"/>
      <c r="BB510" s="257"/>
      <c r="BC510" s="257"/>
      <c r="BD510" s="257"/>
      <c r="BE510" s="257"/>
      <c r="BF510" s="257"/>
      <c r="BG510" s="257"/>
      <c r="BH510" s="257"/>
      <c r="BI510" s="257"/>
      <c r="BJ510" s="257"/>
    </row>
    <row r="511" spans="1:62" ht="15.75" customHeight="1">
      <c r="B511" s="7"/>
      <c r="C511" s="257"/>
      <c r="D511" s="257"/>
      <c r="E511" s="257"/>
      <c r="F511" s="321"/>
      <c r="G511" s="257"/>
      <c r="H511" s="257"/>
      <c r="I511" s="321"/>
      <c r="J511" s="257"/>
      <c r="K511" s="257"/>
      <c r="L511" s="257"/>
      <c r="M511" s="321"/>
      <c r="N511" s="257"/>
      <c r="O511" s="257"/>
      <c r="P511" s="257"/>
      <c r="Q511" s="321"/>
      <c r="R511" s="321"/>
      <c r="S511" s="321"/>
      <c r="T511" s="347"/>
      <c r="U511" s="347"/>
      <c r="V511" s="257"/>
      <c r="W511" s="347"/>
      <c r="X511" s="34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  <c r="AJ511" s="257"/>
      <c r="AK511" s="257"/>
      <c r="AL511" s="257"/>
      <c r="AM511" s="257"/>
      <c r="AN511" s="257"/>
      <c r="AO511" s="257"/>
      <c r="AP511" s="257"/>
      <c r="AQ511" s="257"/>
      <c r="AR511" s="257"/>
      <c r="AS511" s="257"/>
      <c r="AT511" s="257"/>
      <c r="AU511" s="257"/>
      <c r="AV511" s="257"/>
      <c r="AW511" s="257"/>
      <c r="AX511" s="257"/>
      <c r="AY511" s="257"/>
      <c r="AZ511" s="257"/>
      <c r="BA511" s="257"/>
      <c r="BB511" s="257"/>
      <c r="BC511" s="257"/>
      <c r="BD511" s="257"/>
      <c r="BE511" s="257"/>
      <c r="BF511" s="257"/>
      <c r="BG511" s="257"/>
      <c r="BH511" s="257"/>
      <c r="BI511" s="257"/>
      <c r="BJ511" s="257"/>
    </row>
    <row r="512" spans="1:62" ht="15.75" customHeight="1">
      <c r="B512" s="7"/>
      <c r="C512" s="257"/>
      <c r="D512" s="257"/>
      <c r="E512" s="257"/>
      <c r="F512" s="321"/>
      <c r="G512" s="257"/>
      <c r="H512" s="257"/>
      <c r="I512" s="321"/>
      <c r="J512" s="257"/>
      <c r="K512" s="257"/>
      <c r="L512" s="257"/>
      <c r="M512" s="321"/>
      <c r="N512" s="257"/>
      <c r="O512" s="257"/>
      <c r="P512" s="257"/>
      <c r="Q512" s="321"/>
      <c r="R512" s="321"/>
      <c r="S512" s="321"/>
      <c r="T512" s="347"/>
      <c r="U512" s="347"/>
      <c r="V512" s="347"/>
      <c r="W512" s="347"/>
      <c r="X512" s="34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  <c r="AJ512" s="257"/>
      <c r="AK512" s="257"/>
      <c r="AL512" s="257"/>
      <c r="AM512" s="257"/>
      <c r="AN512" s="257"/>
      <c r="AO512" s="257"/>
      <c r="AP512" s="257"/>
      <c r="AQ512" s="257"/>
      <c r="AR512" s="257"/>
      <c r="AS512" s="257"/>
      <c r="AT512" s="257"/>
      <c r="AU512" s="257"/>
      <c r="AV512" s="257"/>
      <c r="AW512" s="257"/>
      <c r="AX512" s="257"/>
      <c r="AY512" s="257"/>
      <c r="AZ512" s="257"/>
      <c r="BA512" s="257"/>
      <c r="BB512" s="257"/>
      <c r="BC512" s="257"/>
      <c r="BD512" s="257"/>
      <c r="BE512" s="257"/>
      <c r="BF512" s="257"/>
      <c r="BG512" s="257"/>
      <c r="BH512" s="257"/>
      <c r="BI512" s="257"/>
      <c r="BJ512" s="257"/>
    </row>
    <row r="513" spans="2:62" ht="15.75" customHeight="1">
      <c r="B513" s="7"/>
      <c r="C513" s="413"/>
      <c r="D513" s="347"/>
      <c r="E513" s="347"/>
      <c r="F513" s="414"/>
      <c r="G513" s="347"/>
      <c r="H513" s="347"/>
      <c r="I513" s="414"/>
      <c r="J513" s="347"/>
      <c r="K513" s="347"/>
      <c r="L513" s="347"/>
      <c r="M513" s="414"/>
      <c r="N513" s="347"/>
      <c r="O513" s="347"/>
      <c r="P513" s="347"/>
      <c r="Q513" s="414"/>
      <c r="R513" s="414"/>
      <c r="S513" s="414"/>
      <c r="T513" s="347"/>
      <c r="U513" s="347"/>
      <c r="V513" s="347"/>
      <c r="W513" s="347"/>
      <c r="X513" s="34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  <c r="AJ513" s="257"/>
      <c r="AK513" s="257"/>
      <c r="AL513" s="257"/>
      <c r="AM513" s="257"/>
      <c r="AN513" s="257"/>
      <c r="AO513" s="257"/>
      <c r="AP513" s="257"/>
      <c r="AQ513" s="257"/>
      <c r="AR513" s="257"/>
      <c r="AS513" s="257"/>
      <c r="AT513" s="257"/>
      <c r="AU513" s="257"/>
      <c r="AV513" s="257"/>
      <c r="AW513" s="257"/>
      <c r="AX513" s="257"/>
      <c r="AY513" s="257"/>
      <c r="AZ513" s="257"/>
      <c r="BA513" s="257"/>
      <c r="BB513" s="257"/>
      <c r="BC513" s="257"/>
      <c r="BD513" s="257"/>
      <c r="BE513" s="257"/>
      <c r="BF513" s="257"/>
      <c r="BG513" s="257"/>
      <c r="BH513" s="257"/>
      <c r="BI513" s="257"/>
      <c r="BJ513" s="257"/>
    </row>
    <row r="514" spans="2:62" ht="15.75" customHeight="1">
      <c r="B514" s="7"/>
      <c r="C514" s="415"/>
      <c r="D514" s="347"/>
      <c r="E514" s="347"/>
      <c r="F514" s="414"/>
      <c r="G514" s="347"/>
      <c r="H514" s="347"/>
      <c r="I514" s="414"/>
      <c r="J514" s="347"/>
      <c r="K514" s="347"/>
      <c r="L514" s="347"/>
      <c r="M514" s="414"/>
      <c r="N514" s="347"/>
      <c r="O514" s="347"/>
      <c r="P514" s="347"/>
      <c r="Q514" s="414"/>
      <c r="R514" s="414"/>
      <c r="S514" s="414"/>
      <c r="T514" s="347"/>
      <c r="U514" s="347"/>
      <c r="V514" s="347"/>
      <c r="W514" s="347"/>
      <c r="X514" s="34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  <c r="AJ514" s="257"/>
      <c r="AK514" s="257"/>
      <c r="AL514" s="257"/>
      <c r="AM514" s="257"/>
      <c r="AN514" s="257"/>
      <c r="AO514" s="257"/>
      <c r="AP514" s="257"/>
      <c r="AQ514" s="257"/>
      <c r="AR514" s="257"/>
      <c r="AS514" s="257"/>
      <c r="AT514" s="257"/>
      <c r="AU514" s="257"/>
      <c r="AV514" s="257"/>
      <c r="AW514" s="257"/>
      <c r="AX514" s="257"/>
      <c r="AY514" s="257"/>
      <c r="AZ514" s="257"/>
      <c r="BA514" s="257"/>
      <c r="BB514" s="257"/>
      <c r="BC514" s="257"/>
      <c r="BD514" s="257"/>
      <c r="BE514" s="257"/>
      <c r="BF514" s="257"/>
      <c r="BG514" s="257"/>
      <c r="BH514" s="257"/>
      <c r="BI514" s="257"/>
      <c r="BJ514" s="257"/>
    </row>
    <row r="515" spans="2:62" ht="15.75" customHeight="1">
      <c r="B515" s="7"/>
      <c r="C515" s="347"/>
      <c r="D515" s="347"/>
      <c r="E515" s="347"/>
      <c r="F515" s="414"/>
      <c r="G515" s="347"/>
      <c r="H515" s="347"/>
      <c r="I515" s="414"/>
      <c r="J515" s="347"/>
      <c r="K515" s="347"/>
      <c r="L515" s="347"/>
      <c r="M515" s="414"/>
      <c r="N515" s="347"/>
      <c r="O515" s="347"/>
      <c r="P515" s="347"/>
      <c r="Q515" s="414"/>
      <c r="R515" s="414"/>
      <c r="S515" s="414"/>
      <c r="T515" s="347"/>
      <c r="U515" s="347"/>
      <c r="V515" s="347"/>
      <c r="W515" s="347"/>
      <c r="X515" s="34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  <c r="AJ515" s="257"/>
      <c r="AK515" s="257"/>
      <c r="AL515" s="257"/>
      <c r="AM515" s="257"/>
      <c r="AN515" s="257"/>
      <c r="AO515" s="257"/>
      <c r="AP515" s="257"/>
      <c r="AQ515" s="257"/>
      <c r="AR515" s="257"/>
      <c r="AS515" s="257"/>
      <c r="AT515" s="257"/>
      <c r="AU515" s="257"/>
      <c r="AV515" s="257"/>
      <c r="AW515" s="257"/>
      <c r="AX515" s="257"/>
      <c r="AY515" s="257"/>
      <c r="AZ515" s="257"/>
      <c r="BA515" s="257"/>
      <c r="BB515" s="257"/>
      <c r="BC515" s="257"/>
      <c r="BD515" s="257"/>
      <c r="BE515" s="257"/>
      <c r="BF515" s="257"/>
      <c r="BG515" s="257"/>
      <c r="BH515" s="257"/>
      <c r="BI515" s="257"/>
      <c r="BJ515" s="257"/>
    </row>
    <row r="516" spans="2:62" ht="15.75" customHeight="1">
      <c r="B516" s="7"/>
      <c r="C516" s="347"/>
      <c r="D516" s="347"/>
      <c r="E516" s="347"/>
      <c r="F516" s="347"/>
      <c r="G516" s="347"/>
      <c r="H516" s="347"/>
      <c r="I516" s="347"/>
      <c r="J516" s="413"/>
      <c r="K516" s="413"/>
      <c r="L516" s="413"/>
      <c r="M516" s="414"/>
      <c r="N516" s="347"/>
      <c r="O516" s="347"/>
      <c r="P516" s="347"/>
      <c r="Q516" s="347"/>
      <c r="R516" s="347"/>
      <c r="S516" s="414"/>
      <c r="T516" s="347"/>
      <c r="U516" s="347"/>
      <c r="V516" s="347"/>
      <c r="W516" s="347"/>
      <c r="X516" s="34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  <c r="AJ516" s="257"/>
      <c r="AK516" s="257"/>
      <c r="AL516" s="257"/>
      <c r="AM516" s="257"/>
      <c r="AN516" s="257"/>
      <c r="AO516" s="257"/>
      <c r="AP516" s="257"/>
      <c r="AQ516" s="257"/>
      <c r="AR516" s="257"/>
      <c r="AS516" s="257"/>
      <c r="AT516" s="257"/>
      <c r="AU516" s="257"/>
      <c r="AV516" s="257"/>
      <c r="AW516" s="257"/>
      <c r="AX516" s="257"/>
      <c r="AY516" s="257"/>
      <c r="AZ516" s="257"/>
      <c r="BA516" s="257"/>
      <c r="BB516" s="257"/>
      <c r="BC516" s="257"/>
      <c r="BD516" s="257"/>
      <c r="BE516" s="257"/>
      <c r="BF516" s="257"/>
      <c r="BG516" s="257"/>
      <c r="BH516" s="257"/>
      <c r="BI516" s="257"/>
      <c r="BJ516" s="257"/>
    </row>
    <row r="517" spans="2:62" ht="15.75" customHeight="1">
      <c r="B517" s="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414"/>
      <c r="N517" s="347"/>
      <c r="O517" s="347"/>
      <c r="P517" s="347"/>
      <c r="Q517" s="347"/>
      <c r="R517" s="347"/>
      <c r="S517" s="414"/>
      <c r="T517" s="347"/>
      <c r="U517" s="347"/>
      <c r="V517" s="347"/>
      <c r="W517" s="347"/>
      <c r="X517" s="34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  <c r="AJ517" s="257"/>
      <c r="AK517" s="257"/>
      <c r="AL517" s="257"/>
      <c r="AM517" s="257"/>
      <c r="AN517" s="257"/>
      <c r="AO517" s="257"/>
      <c r="AP517" s="257"/>
      <c r="AQ517" s="257"/>
      <c r="AR517" s="257"/>
      <c r="AS517" s="257"/>
      <c r="AT517" s="257"/>
      <c r="AU517" s="257"/>
      <c r="AV517" s="257"/>
      <c r="AW517" s="257"/>
      <c r="AX517" s="257"/>
      <c r="AY517" s="257"/>
      <c r="AZ517" s="257"/>
      <c r="BA517" s="257"/>
      <c r="BB517" s="257"/>
      <c r="BC517" s="257"/>
      <c r="BD517" s="257"/>
      <c r="BE517" s="257"/>
      <c r="BF517" s="257"/>
      <c r="BG517" s="257"/>
      <c r="BH517" s="257"/>
      <c r="BI517" s="257"/>
      <c r="BJ517" s="257"/>
    </row>
    <row r="518" spans="2:62" ht="15.75" customHeight="1">
      <c r="B518" s="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414"/>
      <c r="N518" s="347"/>
      <c r="O518" s="347"/>
      <c r="P518" s="347"/>
      <c r="Q518" s="347"/>
      <c r="R518" s="347"/>
      <c r="S518" s="414"/>
      <c r="T518" s="347"/>
      <c r="U518" s="347"/>
      <c r="V518" s="347"/>
      <c r="W518" s="347"/>
      <c r="X518" s="34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  <c r="AJ518" s="257"/>
      <c r="AK518" s="257"/>
      <c r="AL518" s="257"/>
      <c r="AM518" s="257"/>
      <c r="AN518" s="257"/>
      <c r="AO518" s="257"/>
      <c r="AP518" s="257"/>
      <c r="AQ518" s="257"/>
      <c r="AR518" s="257"/>
      <c r="AS518" s="257"/>
      <c r="AT518" s="257"/>
      <c r="AU518" s="257"/>
      <c r="AV518" s="257"/>
      <c r="AW518" s="257"/>
      <c r="AX518" s="257"/>
      <c r="AY518" s="257"/>
      <c r="AZ518" s="257"/>
      <c r="BA518" s="257"/>
      <c r="BB518" s="257"/>
      <c r="BC518" s="257"/>
      <c r="BD518" s="257"/>
      <c r="BE518" s="257"/>
      <c r="BF518" s="257"/>
      <c r="BG518" s="257"/>
      <c r="BH518" s="257"/>
      <c r="BI518" s="257"/>
      <c r="BJ518" s="257"/>
    </row>
    <row r="519" spans="2:62" ht="15.75" customHeight="1">
      <c r="B519" s="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414"/>
      <c r="N519" s="347"/>
      <c r="O519" s="347"/>
      <c r="P519" s="347"/>
      <c r="Q519" s="347"/>
      <c r="R519" s="347"/>
      <c r="S519" s="414"/>
      <c r="T519" s="347"/>
      <c r="U519" s="347"/>
      <c r="V519" s="347"/>
      <c r="W519" s="347"/>
      <c r="X519" s="34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  <c r="AJ519" s="257"/>
      <c r="AK519" s="257"/>
      <c r="AL519" s="257"/>
      <c r="AM519" s="257"/>
      <c r="AN519" s="257"/>
      <c r="AO519" s="257"/>
      <c r="AP519" s="257"/>
      <c r="AQ519" s="257"/>
      <c r="AR519" s="257"/>
      <c r="AS519" s="257"/>
      <c r="AT519" s="257"/>
      <c r="AU519" s="257"/>
      <c r="AV519" s="257"/>
      <c r="AW519" s="257"/>
      <c r="AX519" s="257"/>
      <c r="AY519" s="257"/>
      <c r="AZ519" s="257"/>
      <c r="BA519" s="257"/>
      <c r="BB519" s="257"/>
      <c r="BC519" s="257"/>
      <c r="BD519" s="257"/>
      <c r="BE519" s="257"/>
      <c r="BF519" s="257"/>
      <c r="BG519" s="257"/>
      <c r="BH519" s="257"/>
      <c r="BI519" s="257"/>
      <c r="BJ519" s="257"/>
    </row>
    <row r="520" spans="2:62" ht="15.75" customHeight="1">
      <c r="B520" s="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414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  <c r="AJ520" s="257"/>
      <c r="AK520" s="257"/>
      <c r="AL520" s="257"/>
      <c r="AM520" s="257"/>
      <c r="AN520" s="257"/>
      <c r="AO520" s="257"/>
      <c r="AP520" s="257"/>
      <c r="AQ520" s="257"/>
      <c r="AR520" s="257"/>
      <c r="AS520" s="257"/>
      <c r="AT520" s="257"/>
      <c r="AU520" s="257"/>
      <c r="AV520" s="257"/>
      <c r="AW520" s="257"/>
      <c r="AX520" s="257"/>
      <c r="AY520" s="257"/>
      <c r="AZ520" s="257"/>
      <c r="BA520" s="257"/>
      <c r="BB520" s="257"/>
      <c r="BC520" s="257"/>
      <c r="BD520" s="257"/>
      <c r="BE520" s="257"/>
      <c r="BF520" s="257"/>
      <c r="BG520" s="257"/>
      <c r="BH520" s="257"/>
      <c r="BI520" s="257"/>
      <c r="BJ520" s="257"/>
    </row>
    <row r="521" spans="2:62" ht="15.75" customHeight="1">
      <c r="B521" s="7"/>
      <c r="C521" s="347"/>
      <c r="D521" s="347"/>
      <c r="E521" s="347"/>
      <c r="F521" s="347"/>
      <c r="G521" s="347"/>
      <c r="H521" s="347"/>
      <c r="I521" s="347"/>
      <c r="J521" s="413"/>
      <c r="K521" s="413"/>
      <c r="L521" s="413"/>
      <c r="M521" s="416"/>
      <c r="N521" s="413"/>
      <c r="O521" s="413"/>
      <c r="P521" s="413"/>
      <c r="Q521" s="347"/>
      <c r="R521" s="347"/>
      <c r="S521" s="413"/>
      <c r="T521" s="347"/>
      <c r="U521" s="347"/>
      <c r="V521" s="347"/>
      <c r="W521" s="347"/>
      <c r="X521" s="34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  <c r="AJ521" s="257"/>
      <c r="AK521" s="257"/>
      <c r="AL521" s="257"/>
      <c r="AM521" s="257"/>
      <c r="AN521" s="257"/>
      <c r="AO521" s="257"/>
      <c r="AP521" s="257"/>
      <c r="AQ521" s="257"/>
      <c r="AR521" s="257"/>
      <c r="AS521" s="257"/>
      <c r="AT521" s="257"/>
      <c r="AU521" s="257"/>
      <c r="AV521" s="257"/>
      <c r="AW521" s="257"/>
      <c r="AX521" s="257"/>
      <c r="AY521" s="257"/>
      <c r="AZ521" s="257"/>
      <c r="BA521" s="257"/>
      <c r="BB521" s="257"/>
      <c r="BC521" s="257"/>
      <c r="BD521" s="257"/>
      <c r="BE521" s="257"/>
      <c r="BF521" s="257"/>
      <c r="BG521" s="257"/>
      <c r="BH521" s="257"/>
      <c r="BI521" s="257"/>
      <c r="BJ521" s="257"/>
    </row>
    <row r="522" spans="2:62" ht="15.75" customHeight="1">
      <c r="B522" s="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  <c r="AJ522" s="257"/>
      <c r="AK522" s="257"/>
      <c r="AL522" s="257"/>
      <c r="AM522" s="257"/>
      <c r="AN522" s="257"/>
      <c r="AO522" s="257"/>
      <c r="AP522" s="257"/>
      <c r="AQ522" s="257"/>
      <c r="AR522" s="257"/>
      <c r="AS522" s="257"/>
      <c r="AT522" s="257"/>
      <c r="AU522" s="257"/>
      <c r="AV522" s="257"/>
      <c r="AW522" s="257"/>
      <c r="AX522" s="257"/>
      <c r="AY522" s="257"/>
      <c r="AZ522" s="257"/>
      <c r="BA522" s="257"/>
      <c r="BB522" s="257"/>
      <c r="BC522" s="257"/>
      <c r="BD522" s="257"/>
      <c r="BE522" s="257"/>
      <c r="BF522" s="257"/>
      <c r="BG522" s="257"/>
      <c r="BH522" s="257"/>
      <c r="BI522" s="257"/>
      <c r="BJ522" s="257"/>
    </row>
    <row r="523" spans="2:62" ht="15.75" customHeight="1">
      <c r="B523" s="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  <c r="AJ523" s="257"/>
      <c r="AK523" s="257"/>
      <c r="AL523" s="257"/>
      <c r="AM523" s="257"/>
      <c r="AN523" s="257"/>
      <c r="AO523" s="257"/>
      <c r="AP523" s="257"/>
      <c r="AQ523" s="257"/>
      <c r="AR523" s="257"/>
      <c r="AS523" s="257"/>
      <c r="AT523" s="257"/>
      <c r="AU523" s="257"/>
      <c r="AV523" s="257"/>
      <c r="AW523" s="257"/>
      <c r="AX523" s="257"/>
      <c r="AY523" s="257"/>
      <c r="AZ523" s="257"/>
      <c r="BA523" s="257"/>
      <c r="BB523" s="257"/>
      <c r="BC523" s="257"/>
      <c r="BD523" s="257"/>
      <c r="BE523" s="257"/>
      <c r="BF523" s="257"/>
      <c r="BG523" s="257"/>
      <c r="BH523" s="257"/>
      <c r="BI523" s="257"/>
      <c r="BJ523" s="257"/>
    </row>
    <row r="524" spans="2:62" ht="15.75" customHeight="1">
      <c r="B524" s="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  <c r="AJ524" s="257"/>
      <c r="AK524" s="257"/>
      <c r="AL524" s="257"/>
      <c r="AM524" s="257"/>
      <c r="AN524" s="257"/>
      <c r="AO524" s="257"/>
      <c r="AP524" s="257"/>
      <c r="AQ524" s="257"/>
      <c r="AR524" s="257"/>
      <c r="AS524" s="257"/>
      <c r="AT524" s="257"/>
      <c r="AU524" s="257"/>
      <c r="AV524" s="257"/>
      <c r="AW524" s="257"/>
      <c r="AX524" s="257"/>
      <c r="AY524" s="257"/>
      <c r="AZ524" s="257"/>
      <c r="BA524" s="257"/>
      <c r="BB524" s="257"/>
      <c r="BC524" s="257"/>
      <c r="BD524" s="257"/>
      <c r="BE524" s="257"/>
      <c r="BF524" s="257"/>
      <c r="BG524" s="257"/>
      <c r="BH524" s="257"/>
      <c r="BI524" s="257"/>
      <c r="BJ524" s="257"/>
    </row>
    <row r="525" spans="2:62" ht="15.75" customHeight="1">
      <c r="B525" s="7"/>
      <c r="C525" s="417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347"/>
      <c r="U525" s="347"/>
      <c r="V525" s="347"/>
      <c r="W525" s="347"/>
      <c r="X525" s="34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  <c r="AJ525" s="257"/>
      <c r="AK525" s="257"/>
      <c r="AL525" s="257"/>
      <c r="AM525" s="257"/>
      <c r="AN525" s="257"/>
      <c r="AO525" s="257"/>
      <c r="AP525" s="257"/>
      <c r="AQ525" s="257"/>
      <c r="AR525" s="257"/>
      <c r="AS525" s="257"/>
      <c r="AT525" s="257"/>
      <c r="AU525" s="257"/>
      <c r="AV525" s="257"/>
      <c r="AW525" s="257"/>
      <c r="AX525" s="257"/>
      <c r="AY525" s="257"/>
      <c r="AZ525" s="257"/>
      <c r="BA525" s="257"/>
      <c r="BB525" s="257"/>
      <c r="BC525" s="257"/>
      <c r="BD525" s="257"/>
      <c r="BE525" s="257"/>
      <c r="BF525" s="257"/>
      <c r="BG525" s="257"/>
      <c r="BH525" s="257"/>
      <c r="BI525" s="257"/>
      <c r="BJ525" s="257"/>
    </row>
    <row r="526" spans="2:62" ht="15.75" customHeight="1">
      <c r="B526" s="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419"/>
      <c r="R526" s="347"/>
      <c r="S526" s="347"/>
      <c r="T526" s="347"/>
      <c r="U526" s="347"/>
      <c r="V526" s="347"/>
      <c r="W526" s="347"/>
      <c r="X526" s="34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  <c r="AJ526" s="257"/>
      <c r="AK526" s="257"/>
      <c r="AL526" s="257"/>
      <c r="AM526" s="257"/>
      <c r="AN526" s="257"/>
      <c r="AO526" s="257"/>
      <c r="AP526" s="257"/>
      <c r="AQ526" s="257"/>
      <c r="AR526" s="257"/>
      <c r="AS526" s="257"/>
      <c r="AT526" s="257"/>
      <c r="AU526" s="257"/>
      <c r="AV526" s="257"/>
      <c r="AW526" s="257"/>
      <c r="AX526" s="257"/>
      <c r="AY526" s="257"/>
      <c r="AZ526" s="257"/>
      <c r="BA526" s="257"/>
      <c r="BB526" s="257"/>
      <c r="BC526" s="257"/>
      <c r="BD526" s="257"/>
      <c r="BE526" s="257"/>
      <c r="BF526" s="257"/>
      <c r="BG526" s="257"/>
      <c r="BH526" s="257"/>
      <c r="BI526" s="257"/>
      <c r="BJ526" s="257"/>
    </row>
    <row r="527" spans="2:62" ht="15.75" customHeight="1">
      <c r="B527" s="7"/>
      <c r="C527" s="347"/>
      <c r="D527" s="347"/>
      <c r="E527" s="347"/>
      <c r="F527" s="347"/>
      <c r="G527" s="347"/>
      <c r="H527" s="347"/>
      <c r="I527" s="347"/>
      <c r="J527" s="347"/>
      <c r="K527" s="347"/>
      <c r="L527" s="420"/>
      <c r="M527" s="421"/>
      <c r="N527" s="421"/>
      <c r="O527" s="347"/>
      <c r="P527" s="420"/>
      <c r="Q527" s="421"/>
      <c r="R527" s="421"/>
      <c r="S527" s="420"/>
      <c r="T527" s="347"/>
      <c r="U527" s="347"/>
      <c r="V527" s="347"/>
      <c r="W527" s="347"/>
      <c r="X527" s="34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  <c r="AJ527" s="257"/>
      <c r="AK527" s="257"/>
      <c r="AL527" s="257"/>
      <c r="AM527" s="257"/>
      <c r="AN527" s="257"/>
      <c r="AO527" s="257"/>
      <c r="AP527" s="257"/>
      <c r="AQ527" s="257"/>
      <c r="AR527" s="257"/>
      <c r="AS527" s="257"/>
      <c r="AT527" s="257"/>
      <c r="AU527" s="257"/>
      <c r="AV527" s="257"/>
      <c r="AW527" s="257"/>
      <c r="AX527" s="257"/>
      <c r="AY527" s="257"/>
      <c r="AZ527" s="257"/>
      <c r="BA527" s="257"/>
      <c r="BB527" s="257"/>
      <c r="BC527" s="257"/>
      <c r="BD527" s="257"/>
      <c r="BE527" s="257"/>
      <c r="BF527" s="257"/>
      <c r="BG527" s="257"/>
      <c r="BH527" s="257"/>
      <c r="BI527" s="257"/>
      <c r="BJ527" s="257"/>
    </row>
    <row r="528" spans="2:62" ht="15.75" customHeight="1">
      <c r="B528" s="7"/>
      <c r="C528" s="347"/>
      <c r="D528" s="347"/>
      <c r="E528" s="420"/>
      <c r="F528" s="422"/>
      <c r="G528" s="347"/>
      <c r="H528" s="420"/>
      <c r="I528" s="422"/>
      <c r="J528" s="421"/>
      <c r="K528" s="413"/>
      <c r="L528" s="420"/>
      <c r="M528" s="421"/>
      <c r="N528" s="421"/>
      <c r="O528" s="413"/>
      <c r="P528" s="420"/>
      <c r="Q528" s="421"/>
      <c r="R528" s="421"/>
      <c r="S528" s="420"/>
      <c r="T528" s="347"/>
      <c r="U528" s="347"/>
      <c r="V528" s="347"/>
      <c r="W528" s="347"/>
      <c r="X528" s="34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  <c r="AJ528" s="257"/>
      <c r="AK528" s="257"/>
      <c r="AL528" s="257"/>
      <c r="AM528" s="257"/>
      <c r="AN528" s="257"/>
      <c r="AO528" s="257"/>
      <c r="AP528" s="257"/>
      <c r="AQ528" s="257"/>
      <c r="AR528" s="257"/>
      <c r="AS528" s="257"/>
      <c r="AT528" s="257"/>
      <c r="AU528" s="257"/>
      <c r="AV528" s="257"/>
      <c r="AW528" s="257"/>
      <c r="AX528" s="257"/>
      <c r="AY528" s="257"/>
      <c r="AZ528" s="257"/>
      <c r="BA528" s="257"/>
      <c r="BB528" s="257"/>
      <c r="BC528" s="257"/>
      <c r="BD528" s="257"/>
      <c r="BE528" s="257"/>
      <c r="BF528" s="257"/>
      <c r="BG528" s="257"/>
      <c r="BH528" s="257"/>
      <c r="BI528" s="257"/>
      <c r="BJ528" s="257"/>
    </row>
    <row r="529" spans="2:62" ht="15.75" customHeight="1">
      <c r="B529" s="7"/>
      <c r="C529" s="347"/>
      <c r="D529" s="423"/>
      <c r="E529" s="422"/>
      <c r="F529" s="422"/>
      <c r="G529" s="423"/>
      <c r="H529" s="422"/>
      <c r="I529" s="422"/>
      <c r="J529" s="422"/>
      <c r="K529" s="422"/>
      <c r="L529" s="422"/>
      <c r="M529" s="422"/>
      <c r="N529" s="422"/>
      <c r="O529" s="422"/>
      <c r="P529" s="422"/>
      <c r="Q529" s="422"/>
      <c r="R529" s="422"/>
      <c r="S529" s="422"/>
      <c r="T529" s="347"/>
      <c r="U529" s="347"/>
      <c r="V529" s="347"/>
      <c r="W529" s="347"/>
      <c r="X529" s="34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  <c r="AJ529" s="257"/>
      <c r="AK529" s="257"/>
      <c r="AL529" s="257"/>
      <c r="AM529" s="257"/>
      <c r="AN529" s="257"/>
      <c r="AO529" s="257"/>
      <c r="AP529" s="257"/>
      <c r="AQ529" s="257"/>
      <c r="AR529" s="257"/>
      <c r="AS529" s="257"/>
      <c r="AT529" s="257"/>
      <c r="AU529" s="257"/>
      <c r="AV529" s="257"/>
      <c r="AW529" s="257"/>
      <c r="AX529" s="257"/>
      <c r="AY529" s="257"/>
      <c r="AZ529" s="257"/>
      <c r="BA529" s="257"/>
      <c r="BB529" s="257"/>
      <c r="BC529" s="257"/>
      <c r="BD529" s="257"/>
      <c r="BE529" s="257"/>
      <c r="BF529" s="257"/>
      <c r="BG529" s="257"/>
      <c r="BH529" s="257"/>
      <c r="BI529" s="257"/>
      <c r="BJ529" s="257"/>
    </row>
    <row r="530" spans="2:62" ht="15.75" customHeight="1">
      <c r="B530" s="7"/>
      <c r="C530" s="413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  <c r="AJ530" s="257"/>
      <c r="AK530" s="257"/>
      <c r="AL530" s="257"/>
      <c r="AM530" s="257"/>
      <c r="AN530" s="257"/>
      <c r="AO530" s="257"/>
      <c r="AP530" s="257"/>
      <c r="AQ530" s="257"/>
      <c r="AR530" s="257"/>
      <c r="AS530" s="257"/>
      <c r="AT530" s="257"/>
      <c r="AU530" s="257"/>
      <c r="AV530" s="257"/>
      <c r="AW530" s="257"/>
      <c r="AX530" s="257"/>
      <c r="AY530" s="257"/>
      <c r="AZ530" s="257"/>
      <c r="BA530" s="257"/>
      <c r="BB530" s="257"/>
      <c r="BC530" s="257"/>
      <c r="BD530" s="257"/>
      <c r="BE530" s="257"/>
      <c r="BF530" s="257"/>
      <c r="BG530" s="257"/>
      <c r="BH530" s="257"/>
      <c r="BI530" s="257"/>
      <c r="BJ530" s="257"/>
    </row>
    <row r="531" spans="2:62" ht="15.75" customHeight="1">
      <c r="B531" s="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  <c r="AJ531" s="257"/>
      <c r="AK531" s="257"/>
      <c r="AL531" s="257"/>
      <c r="AM531" s="257"/>
      <c r="AN531" s="257"/>
      <c r="AO531" s="257"/>
      <c r="AP531" s="257"/>
      <c r="AQ531" s="257"/>
      <c r="AR531" s="257"/>
      <c r="AS531" s="257"/>
      <c r="AT531" s="257"/>
      <c r="AU531" s="257"/>
      <c r="AV531" s="257"/>
      <c r="AW531" s="257"/>
      <c r="AX531" s="257"/>
      <c r="AY531" s="257"/>
      <c r="AZ531" s="257"/>
      <c r="BA531" s="257"/>
      <c r="BB531" s="257"/>
      <c r="BC531" s="257"/>
      <c r="BD531" s="257"/>
      <c r="BE531" s="257"/>
      <c r="BF531" s="257"/>
      <c r="BG531" s="257"/>
      <c r="BH531" s="257"/>
      <c r="BI531" s="257"/>
      <c r="BJ531" s="257"/>
    </row>
    <row r="532" spans="2:62" ht="15.75" customHeight="1">
      <c r="B532" s="7"/>
      <c r="C532" s="347"/>
      <c r="D532" s="347"/>
      <c r="E532" s="414"/>
      <c r="F532" s="424"/>
      <c r="G532" s="347"/>
      <c r="H532" s="414"/>
      <c r="I532" s="424"/>
      <c r="J532" s="424"/>
      <c r="K532" s="414"/>
      <c r="L532" s="424"/>
      <c r="M532" s="414"/>
      <c r="N532" s="424"/>
      <c r="O532" s="414"/>
      <c r="P532" s="424"/>
      <c r="Q532" s="414"/>
      <c r="R532" s="414"/>
      <c r="S532" s="414"/>
      <c r="T532" s="347"/>
      <c r="U532" s="347"/>
      <c r="V532" s="347"/>
      <c r="W532" s="347"/>
      <c r="X532" s="34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  <c r="AJ532" s="257"/>
      <c r="AK532" s="257"/>
      <c r="AL532" s="257"/>
      <c r="AM532" s="257"/>
      <c r="AN532" s="257"/>
      <c r="AO532" s="257"/>
      <c r="AP532" s="257"/>
      <c r="AQ532" s="257"/>
      <c r="AR532" s="257"/>
      <c r="AS532" s="257"/>
      <c r="AT532" s="257"/>
      <c r="AU532" s="257"/>
      <c r="AV532" s="257"/>
      <c r="AW532" s="257"/>
      <c r="AX532" s="257"/>
      <c r="AY532" s="257"/>
      <c r="AZ532" s="257"/>
      <c r="BA532" s="257"/>
      <c r="BB532" s="257"/>
      <c r="BC532" s="257"/>
      <c r="BD532" s="257"/>
      <c r="BE532" s="257"/>
      <c r="BF532" s="257"/>
      <c r="BG532" s="257"/>
      <c r="BH532" s="257"/>
      <c r="BI532" s="257"/>
      <c r="BJ532" s="257"/>
    </row>
    <row r="533" spans="2:62" ht="15.75" customHeight="1">
      <c r="B533" s="7"/>
      <c r="C533" s="347"/>
      <c r="D533" s="347"/>
      <c r="E533" s="414"/>
      <c r="F533" s="424"/>
      <c r="G533" s="347"/>
      <c r="H533" s="414"/>
      <c r="I533" s="424"/>
      <c r="J533" s="424"/>
      <c r="K533" s="414"/>
      <c r="L533" s="424"/>
      <c r="M533" s="414"/>
      <c r="N533" s="424"/>
      <c r="O533" s="414"/>
      <c r="P533" s="424"/>
      <c r="Q533" s="414"/>
      <c r="R533" s="414"/>
      <c r="S533" s="414"/>
      <c r="T533" s="347"/>
      <c r="U533" s="347"/>
      <c r="V533" s="347"/>
      <c r="W533" s="347"/>
      <c r="X533" s="34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  <c r="AJ533" s="257"/>
      <c r="AK533" s="257"/>
      <c r="AL533" s="257"/>
      <c r="AM533" s="257"/>
      <c r="AN533" s="257"/>
      <c r="AO533" s="257"/>
      <c r="AP533" s="257"/>
      <c r="AQ533" s="257"/>
      <c r="AR533" s="257"/>
      <c r="AS533" s="257"/>
      <c r="AT533" s="257"/>
      <c r="AU533" s="257"/>
      <c r="AV533" s="257"/>
      <c r="AW533" s="257"/>
      <c r="AX533" s="257"/>
      <c r="AY533" s="257"/>
      <c r="AZ533" s="257"/>
      <c r="BA533" s="257"/>
      <c r="BB533" s="257"/>
      <c r="BC533" s="257"/>
      <c r="BD533" s="257"/>
      <c r="BE533" s="257"/>
      <c r="BF533" s="257"/>
      <c r="BG533" s="257"/>
      <c r="BH533" s="257"/>
      <c r="BI533" s="257"/>
      <c r="BJ533" s="257"/>
    </row>
    <row r="534" spans="2:62" ht="15.75" customHeight="1">
      <c r="B534" s="7"/>
      <c r="C534" s="347"/>
      <c r="D534" s="347"/>
      <c r="E534" s="414"/>
      <c r="F534" s="424"/>
      <c r="G534" s="347"/>
      <c r="H534" s="414"/>
      <c r="I534" s="424"/>
      <c r="J534" s="424"/>
      <c r="K534" s="414"/>
      <c r="L534" s="424"/>
      <c r="M534" s="414"/>
      <c r="N534" s="424"/>
      <c r="O534" s="414"/>
      <c r="P534" s="424"/>
      <c r="Q534" s="414"/>
      <c r="R534" s="414"/>
      <c r="S534" s="414"/>
      <c r="T534" s="347"/>
      <c r="U534" s="347"/>
      <c r="V534" s="347"/>
      <c r="W534" s="347"/>
      <c r="X534" s="34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  <c r="AJ534" s="257"/>
      <c r="AK534" s="257"/>
      <c r="AL534" s="257"/>
      <c r="AM534" s="257"/>
      <c r="AN534" s="257"/>
      <c r="AO534" s="257"/>
      <c r="AP534" s="257"/>
      <c r="AQ534" s="257"/>
      <c r="AR534" s="257"/>
      <c r="AS534" s="257"/>
      <c r="AT534" s="257"/>
      <c r="AU534" s="257"/>
      <c r="AV534" s="257"/>
      <c r="AW534" s="257"/>
      <c r="AX534" s="257"/>
      <c r="AY534" s="257"/>
      <c r="AZ534" s="257"/>
      <c r="BA534" s="257"/>
      <c r="BB534" s="257"/>
      <c r="BC534" s="257"/>
      <c r="BD534" s="257"/>
      <c r="BE534" s="257"/>
      <c r="BF534" s="257"/>
      <c r="BG534" s="257"/>
      <c r="BH534" s="257"/>
      <c r="BI534" s="257"/>
      <c r="BJ534" s="257"/>
    </row>
    <row r="535" spans="2:62" ht="15.75" customHeight="1">
      <c r="B535" s="7"/>
      <c r="C535" s="347"/>
      <c r="D535" s="347"/>
      <c r="E535" s="414"/>
      <c r="F535" s="424"/>
      <c r="G535" s="347"/>
      <c r="H535" s="414"/>
      <c r="I535" s="424"/>
      <c r="J535" s="424"/>
      <c r="K535" s="414"/>
      <c r="L535" s="424"/>
      <c r="M535" s="414"/>
      <c r="N535" s="424"/>
      <c r="O535" s="414"/>
      <c r="P535" s="424"/>
      <c r="Q535" s="414"/>
      <c r="R535" s="414"/>
      <c r="S535" s="414"/>
      <c r="T535" s="347"/>
      <c r="U535" s="347"/>
      <c r="V535" s="347"/>
      <c r="W535" s="347"/>
      <c r="X535" s="34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  <c r="AJ535" s="257"/>
      <c r="AK535" s="257"/>
      <c r="AL535" s="257"/>
      <c r="AM535" s="257"/>
      <c r="AN535" s="257"/>
      <c r="AO535" s="257"/>
      <c r="AP535" s="257"/>
      <c r="AQ535" s="257"/>
      <c r="AR535" s="257"/>
      <c r="AS535" s="257"/>
      <c r="AT535" s="257"/>
      <c r="AU535" s="257"/>
      <c r="AV535" s="257"/>
      <c r="AW535" s="257"/>
      <c r="AX535" s="257"/>
      <c r="AY535" s="257"/>
      <c r="AZ535" s="257"/>
      <c r="BA535" s="257"/>
      <c r="BB535" s="257"/>
      <c r="BC535" s="257"/>
      <c r="BD535" s="257"/>
      <c r="BE535" s="257"/>
      <c r="BF535" s="257"/>
      <c r="BG535" s="257"/>
      <c r="BH535" s="257"/>
      <c r="BI535" s="257"/>
      <c r="BJ535" s="257"/>
    </row>
    <row r="536" spans="2:62" ht="15.75" customHeight="1">
      <c r="B536" s="7"/>
      <c r="C536" s="347"/>
      <c r="D536" s="347"/>
      <c r="E536" s="414"/>
      <c r="F536" s="424"/>
      <c r="G536" s="347"/>
      <c r="H536" s="414"/>
      <c r="I536" s="424"/>
      <c r="J536" s="424"/>
      <c r="K536" s="414"/>
      <c r="L536" s="424"/>
      <c r="M536" s="414"/>
      <c r="N536" s="424"/>
      <c r="O536" s="414"/>
      <c r="P536" s="424"/>
      <c r="Q536" s="414"/>
      <c r="R536" s="414"/>
      <c r="S536" s="347"/>
      <c r="T536" s="347"/>
      <c r="U536" s="347"/>
      <c r="V536" s="347"/>
      <c r="W536" s="347"/>
      <c r="X536" s="34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  <c r="AJ536" s="257"/>
      <c r="AK536" s="257"/>
      <c r="AL536" s="257"/>
      <c r="AM536" s="257"/>
      <c r="AN536" s="257"/>
      <c r="AO536" s="257"/>
      <c r="AP536" s="257"/>
      <c r="AQ536" s="257"/>
      <c r="AR536" s="257"/>
      <c r="AS536" s="257"/>
      <c r="AT536" s="257"/>
      <c r="AU536" s="257"/>
      <c r="AV536" s="257"/>
      <c r="AW536" s="257"/>
      <c r="AX536" s="257"/>
      <c r="AY536" s="257"/>
      <c r="AZ536" s="257"/>
      <c r="BA536" s="257"/>
      <c r="BB536" s="257"/>
      <c r="BC536" s="257"/>
      <c r="BD536" s="257"/>
      <c r="BE536" s="257"/>
      <c r="BF536" s="257"/>
      <c r="BG536" s="257"/>
      <c r="BH536" s="257"/>
      <c r="BI536" s="257"/>
      <c r="BJ536" s="257"/>
    </row>
    <row r="537" spans="2:62" ht="15.75" customHeight="1">
      <c r="B537" s="7"/>
      <c r="C537" s="347"/>
      <c r="D537" s="347"/>
      <c r="E537" s="414"/>
      <c r="F537" s="424"/>
      <c r="G537" s="347"/>
      <c r="H537" s="414"/>
      <c r="I537" s="424"/>
      <c r="J537" s="424"/>
      <c r="K537" s="414"/>
      <c r="L537" s="424"/>
      <c r="M537" s="414"/>
      <c r="N537" s="424"/>
      <c r="O537" s="414"/>
      <c r="P537" s="424"/>
      <c r="Q537" s="414"/>
      <c r="R537" s="414"/>
      <c r="S537" s="414"/>
      <c r="T537" s="347"/>
      <c r="U537" s="347"/>
      <c r="V537" s="347"/>
      <c r="W537" s="347"/>
      <c r="X537" s="34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  <c r="AJ537" s="257"/>
      <c r="AK537" s="257"/>
      <c r="AL537" s="257"/>
      <c r="AM537" s="257"/>
      <c r="AN537" s="257"/>
      <c r="AO537" s="257"/>
      <c r="AP537" s="257"/>
      <c r="AQ537" s="257"/>
      <c r="AR537" s="257"/>
      <c r="AS537" s="257"/>
      <c r="AT537" s="257"/>
      <c r="AU537" s="257"/>
      <c r="AV537" s="257"/>
      <c r="AW537" s="257"/>
      <c r="AX537" s="257"/>
      <c r="AY537" s="257"/>
      <c r="AZ537" s="257"/>
      <c r="BA537" s="257"/>
      <c r="BB537" s="257"/>
      <c r="BC537" s="257"/>
      <c r="BD537" s="257"/>
      <c r="BE537" s="257"/>
      <c r="BF537" s="257"/>
      <c r="BG537" s="257"/>
      <c r="BH537" s="257"/>
      <c r="BI537" s="257"/>
      <c r="BJ537" s="257"/>
    </row>
    <row r="538" spans="2:62" ht="15.75" customHeight="1">
      <c r="B538" s="7"/>
      <c r="C538" s="347"/>
      <c r="D538" s="347"/>
      <c r="E538" s="414"/>
      <c r="F538" s="425"/>
      <c r="G538" s="347"/>
      <c r="H538" s="414"/>
      <c r="I538" s="425"/>
      <c r="J538" s="424"/>
      <c r="K538" s="414"/>
      <c r="L538" s="424"/>
      <c r="M538" s="414"/>
      <c r="N538" s="424"/>
      <c r="O538" s="414"/>
      <c r="P538" s="347"/>
      <c r="Q538" s="347"/>
      <c r="R538" s="414"/>
      <c r="S538" s="414"/>
      <c r="T538" s="347"/>
      <c r="U538" s="347"/>
      <c r="V538" s="347"/>
      <c r="W538" s="347"/>
      <c r="X538" s="34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  <c r="AJ538" s="257"/>
      <c r="AK538" s="257"/>
      <c r="AL538" s="257"/>
      <c r="AM538" s="257"/>
      <c r="AN538" s="257"/>
      <c r="AO538" s="257"/>
      <c r="AP538" s="257"/>
      <c r="AQ538" s="257"/>
      <c r="AR538" s="257"/>
      <c r="AS538" s="257"/>
      <c r="AT538" s="257"/>
      <c r="AU538" s="257"/>
      <c r="AV538" s="257"/>
      <c r="AW538" s="257"/>
      <c r="AX538" s="257"/>
      <c r="AY538" s="257"/>
      <c r="AZ538" s="257"/>
      <c r="BA538" s="257"/>
      <c r="BB538" s="257"/>
      <c r="BC538" s="257"/>
      <c r="BD538" s="257"/>
      <c r="BE538" s="257"/>
      <c r="BF538" s="257"/>
      <c r="BG538" s="257"/>
      <c r="BH538" s="257"/>
      <c r="BI538" s="257"/>
      <c r="BJ538" s="257"/>
    </row>
    <row r="539" spans="2:62" ht="15.75" customHeight="1">
      <c r="B539" s="7"/>
      <c r="C539" s="413"/>
      <c r="D539" s="413"/>
      <c r="E539" s="416"/>
      <c r="F539" s="426"/>
      <c r="G539" s="413"/>
      <c r="H539" s="416"/>
      <c r="I539" s="426"/>
      <c r="J539" s="426"/>
      <c r="K539" s="416"/>
      <c r="L539" s="426"/>
      <c r="M539" s="416"/>
      <c r="N539" s="426"/>
      <c r="O539" s="416"/>
      <c r="P539" s="426"/>
      <c r="Q539" s="416"/>
      <c r="R539" s="416"/>
      <c r="S539" s="413"/>
      <c r="T539" s="347"/>
      <c r="U539" s="347"/>
      <c r="V539" s="347"/>
      <c r="W539" s="347"/>
      <c r="X539" s="34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  <c r="AJ539" s="257"/>
      <c r="AK539" s="257"/>
      <c r="AL539" s="257"/>
      <c r="AM539" s="257"/>
      <c r="AN539" s="257"/>
      <c r="AO539" s="257"/>
      <c r="AP539" s="257"/>
      <c r="AQ539" s="257"/>
      <c r="AR539" s="257"/>
      <c r="AS539" s="257"/>
      <c r="AT539" s="257"/>
      <c r="AU539" s="257"/>
      <c r="AV539" s="257"/>
      <c r="AW539" s="257"/>
      <c r="AX539" s="257"/>
      <c r="AY539" s="257"/>
      <c r="AZ539" s="257"/>
      <c r="BA539" s="257"/>
      <c r="BB539" s="257"/>
      <c r="BC539" s="257"/>
      <c r="BD539" s="257"/>
      <c r="BE539" s="257"/>
      <c r="BF539" s="257"/>
      <c r="BG539" s="257"/>
      <c r="BH539" s="257"/>
      <c r="BI539" s="257"/>
      <c r="BJ539" s="257"/>
    </row>
    <row r="540" spans="2:62" ht="15.75" customHeight="1">
      <c r="B540" s="7"/>
      <c r="C540" s="347"/>
      <c r="D540" s="347"/>
      <c r="E540" s="414"/>
      <c r="F540" s="347"/>
      <c r="G540" s="347"/>
      <c r="H540" s="414"/>
      <c r="I540" s="347"/>
      <c r="J540" s="424"/>
      <c r="K540" s="414"/>
      <c r="L540" s="424"/>
      <c r="M540" s="414"/>
      <c r="N540" s="424"/>
      <c r="O540" s="414"/>
      <c r="P540" s="413"/>
      <c r="Q540" s="426"/>
      <c r="R540" s="426"/>
      <c r="S540" s="347"/>
      <c r="T540" s="347"/>
      <c r="U540" s="347"/>
      <c r="V540" s="347"/>
      <c r="W540" s="347"/>
      <c r="X540" s="34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  <c r="AJ540" s="257"/>
      <c r="AK540" s="257"/>
      <c r="AL540" s="257"/>
      <c r="AM540" s="257"/>
      <c r="AN540" s="257"/>
      <c r="AO540" s="257"/>
      <c r="AP540" s="257"/>
      <c r="AQ540" s="257"/>
      <c r="AR540" s="257"/>
      <c r="AS540" s="257"/>
      <c r="AT540" s="257"/>
      <c r="AU540" s="257"/>
      <c r="AV540" s="257"/>
      <c r="AW540" s="257"/>
      <c r="AX540" s="257"/>
      <c r="AY540" s="257"/>
      <c r="AZ540" s="257"/>
      <c r="BA540" s="257"/>
      <c r="BB540" s="257"/>
      <c r="BC540" s="257"/>
      <c r="BD540" s="257"/>
      <c r="BE540" s="257"/>
      <c r="BF540" s="257"/>
      <c r="BG540" s="257"/>
      <c r="BH540" s="257"/>
      <c r="BI540" s="257"/>
      <c r="BJ540" s="257"/>
    </row>
    <row r="541" spans="2:62" ht="15.75" customHeight="1">
      <c r="B541" s="7"/>
      <c r="C541" s="347"/>
      <c r="D541" s="347"/>
      <c r="E541" s="414"/>
      <c r="F541" s="347"/>
      <c r="G541" s="347"/>
      <c r="H541" s="414"/>
      <c r="I541" s="347"/>
      <c r="J541" s="424"/>
      <c r="K541" s="414"/>
      <c r="L541" s="424"/>
      <c r="M541" s="414"/>
      <c r="N541" s="424"/>
      <c r="O541" s="414"/>
      <c r="P541" s="347"/>
      <c r="Q541" s="347"/>
      <c r="R541" s="414"/>
      <c r="S541" s="347"/>
      <c r="T541" s="347"/>
      <c r="U541" s="347"/>
      <c r="V541" s="347"/>
      <c r="W541" s="347"/>
      <c r="X541" s="34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  <c r="AJ541" s="257"/>
      <c r="AK541" s="257"/>
      <c r="AL541" s="257"/>
      <c r="AM541" s="257"/>
      <c r="AN541" s="257"/>
      <c r="AO541" s="257"/>
      <c r="AP541" s="257"/>
      <c r="AQ541" s="257"/>
      <c r="AR541" s="257"/>
      <c r="AS541" s="257"/>
      <c r="AT541" s="257"/>
      <c r="AU541" s="257"/>
      <c r="AV541" s="257"/>
      <c r="AW541" s="257"/>
      <c r="AX541" s="257"/>
      <c r="AY541" s="257"/>
      <c r="AZ541" s="257"/>
      <c r="BA541" s="257"/>
      <c r="BB541" s="257"/>
      <c r="BC541" s="257"/>
      <c r="BD541" s="257"/>
      <c r="BE541" s="257"/>
      <c r="BF541" s="257"/>
      <c r="BG541" s="257"/>
      <c r="BH541" s="257"/>
      <c r="BI541" s="257"/>
      <c r="BJ541" s="257"/>
    </row>
    <row r="542" spans="2:62" ht="15.75" customHeight="1">
      <c r="B542" s="7"/>
      <c r="C542" s="413"/>
      <c r="D542" s="347"/>
      <c r="E542" s="414"/>
      <c r="F542" s="347"/>
      <c r="G542" s="347"/>
      <c r="H542" s="414"/>
      <c r="I542" s="347"/>
      <c r="J542" s="424"/>
      <c r="K542" s="414"/>
      <c r="L542" s="424"/>
      <c r="M542" s="414"/>
      <c r="N542" s="424"/>
      <c r="O542" s="414"/>
      <c r="P542" s="347"/>
      <c r="Q542" s="347"/>
      <c r="R542" s="414"/>
      <c r="S542" s="347"/>
      <c r="T542" s="347"/>
      <c r="U542" s="347"/>
      <c r="V542" s="347"/>
      <c r="W542" s="347"/>
      <c r="X542" s="34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  <c r="AJ542" s="257"/>
      <c r="AK542" s="257"/>
      <c r="AL542" s="257"/>
      <c r="AM542" s="257"/>
      <c r="AN542" s="257"/>
      <c r="AO542" s="257"/>
      <c r="AP542" s="257"/>
      <c r="AQ542" s="257"/>
      <c r="AR542" s="257"/>
      <c r="AS542" s="257"/>
      <c r="AT542" s="257"/>
      <c r="AU542" s="257"/>
      <c r="AV542" s="257"/>
      <c r="AW542" s="257"/>
      <c r="AX542" s="257"/>
      <c r="AY542" s="257"/>
      <c r="AZ542" s="257"/>
      <c r="BA542" s="257"/>
      <c r="BB542" s="257"/>
      <c r="BC542" s="257"/>
      <c r="BD542" s="257"/>
      <c r="BE542" s="257"/>
      <c r="BF542" s="257"/>
      <c r="BG542" s="257"/>
      <c r="BH542" s="257"/>
      <c r="BI542" s="257"/>
      <c r="BJ542" s="257"/>
    </row>
    <row r="543" spans="2:62" ht="15.75" customHeight="1">
      <c r="B543" s="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  <c r="AJ543" s="257"/>
      <c r="AK543" s="257"/>
      <c r="AL543" s="257"/>
      <c r="AM543" s="257"/>
      <c r="AN543" s="257"/>
      <c r="AO543" s="257"/>
      <c r="AP543" s="257"/>
      <c r="AQ543" s="257"/>
      <c r="AR543" s="257"/>
      <c r="AS543" s="257"/>
      <c r="AT543" s="257"/>
      <c r="AU543" s="257"/>
      <c r="AV543" s="257"/>
      <c r="AW543" s="257"/>
      <c r="AX543" s="257"/>
      <c r="AY543" s="257"/>
      <c r="AZ543" s="257"/>
      <c r="BA543" s="257"/>
      <c r="BB543" s="257"/>
      <c r="BC543" s="257"/>
      <c r="BD543" s="257"/>
      <c r="BE543" s="257"/>
      <c r="BF543" s="257"/>
      <c r="BG543" s="257"/>
      <c r="BH543" s="257"/>
      <c r="BI543" s="257"/>
      <c r="BJ543" s="257"/>
    </row>
    <row r="544" spans="2:62" ht="15.75" customHeight="1">
      <c r="B544" s="7"/>
      <c r="C544" s="347"/>
      <c r="D544" s="347"/>
      <c r="E544" s="414"/>
      <c r="F544" s="424"/>
      <c r="G544" s="347"/>
      <c r="H544" s="414"/>
      <c r="I544" s="424"/>
      <c r="J544" s="424"/>
      <c r="K544" s="347"/>
      <c r="L544" s="424"/>
      <c r="M544" s="347"/>
      <c r="N544" s="424"/>
      <c r="O544" s="347"/>
      <c r="P544" s="424"/>
      <c r="Q544" s="414"/>
      <c r="R544" s="414"/>
      <c r="S544" s="347"/>
      <c r="T544" s="347"/>
      <c r="U544" s="347"/>
      <c r="V544" s="347"/>
      <c r="W544" s="347"/>
      <c r="X544" s="34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  <c r="AJ544" s="257"/>
      <c r="AK544" s="257"/>
      <c r="AL544" s="257"/>
      <c r="AM544" s="257"/>
      <c r="AN544" s="257"/>
      <c r="AO544" s="257"/>
      <c r="AP544" s="257"/>
      <c r="AQ544" s="257"/>
      <c r="AR544" s="257"/>
      <c r="AS544" s="257"/>
      <c r="AT544" s="257"/>
      <c r="AU544" s="257"/>
      <c r="AV544" s="257"/>
      <c r="AW544" s="257"/>
      <c r="AX544" s="257"/>
      <c r="AY544" s="257"/>
      <c r="AZ544" s="257"/>
      <c r="BA544" s="257"/>
      <c r="BB544" s="257"/>
      <c r="BC544" s="257"/>
      <c r="BD544" s="257"/>
      <c r="BE544" s="257"/>
      <c r="BF544" s="257"/>
      <c r="BG544" s="257"/>
      <c r="BH544" s="257"/>
      <c r="BI544" s="257"/>
      <c r="BJ544" s="257"/>
    </row>
    <row r="545" spans="2:62" ht="15.75" customHeight="1">
      <c r="B545" s="7"/>
      <c r="C545" s="347"/>
      <c r="D545" s="347"/>
      <c r="E545" s="414"/>
      <c r="F545" s="425"/>
      <c r="G545" s="347"/>
      <c r="H545" s="414"/>
      <c r="I545" s="425"/>
      <c r="J545" s="424"/>
      <c r="K545" s="414"/>
      <c r="L545" s="424"/>
      <c r="M545" s="414"/>
      <c r="N545" s="424"/>
      <c r="O545" s="414"/>
      <c r="P545" s="347"/>
      <c r="Q545" s="424"/>
      <c r="R545" s="424"/>
      <c r="S545" s="414"/>
      <c r="T545" s="347"/>
      <c r="U545" s="347"/>
      <c r="V545" s="347"/>
      <c r="W545" s="347"/>
      <c r="X545" s="34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  <c r="AJ545" s="257"/>
      <c r="AK545" s="257"/>
      <c r="AL545" s="257"/>
      <c r="AM545" s="257"/>
      <c r="AN545" s="257"/>
      <c r="AO545" s="257"/>
      <c r="AP545" s="257"/>
      <c r="AQ545" s="257"/>
      <c r="AR545" s="257"/>
      <c r="AS545" s="257"/>
      <c r="AT545" s="257"/>
      <c r="AU545" s="257"/>
      <c r="AV545" s="257"/>
      <c r="AW545" s="257"/>
      <c r="AX545" s="257"/>
      <c r="AY545" s="257"/>
      <c r="AZ545" s="257"/>
      <c r="BA545" s="257"/>
      <c r="BB545" s="257"/>
      <c r="BC545" s="257"/>
      <c r="BD545" s="257"/>
      <c r="BE545" s="257"/>
      <c r="BF545" s="257"/>
      <c r="BG545" s="257"/>
      <c r="BH545" s="257"/>
      <c r="BI545" s="257"/>
      <c r="BJ545" s="257"/>
    </row>
    <row r="546" spans="2:62" ht="15.75" customHeight="1">
      <c r="B546" s="7"/>
      <c r="C546" s="347"/>
      <c r="D546" s="347"/>
      <c r="E546" s="414"/>
      <c r="F546" s="425"/>
      <c r="G546" s="347"/>
      <c r="H546" s="414"/>
      <c r="I546" s="425"/>
      <c r="J546" s="424"/>
      <c r="K546" s="414"/>
      <c r="L546" s="424"/>
      <c r="M546" s="414"/>
      <c r="N546" s="424"/>
      <c r="O546" s="414"/>
      <c r="P546" s="347"/>
      <c r="Q546" s="347"/>
      <c r="R546" s="414"/>
      <c r="S546" s="414"/>
      <c r="T546" s="347"/>
      <c r="U546" s="347"/>
      <c r="V546" s="347"/>
      <c r="W546" s="347"/>
      <c r="X546" s="34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  <c r="AJ546" s="257"/>
      <c r="AK546" s="257"/>
      <c r="AL546" s="257"/>
      <c r="AM546" s="257"/>
      <c r="AN546" s="257"/>
      <c r="AO546" s="257"/>
      <c r="AP546" s="257"/>
      <c r="AQ546" s="257"/>
      <c r="AR546" s="257"/>
      <c r="AS546" s="257"/>
      <c r="AT546" s="257"/>
      <c r="AU546" s="257"/>
      <c r="AV546" s="257"/>
      <c r="AW546" s="257"/>
      <c r="AX546" s="257"/>
      <c r="AY546" s="257"/>
      <c r="AZ546" s="257"/>
      <c r="BA546" s="257"/>
      <c r="BB546" s="257"/>
      <c r="BC546" s="257"/>
      <c r="BD546" s="257"/>
      <c r="BE546" s="257"/>
      <c r="BF546" s="257"/>
      <c r="BG546" s="257"/>
      <c r="BH546" s="257"/>
      <c r="BI546" s="257"/>
      <c r="BJ546" s="257"/>
    </row>
    <row r="547" spans="2:62" ht="15.75" customHeight="1">
      <c r="B547" s="7"/>
      <c r="C547" s="347"/>
      <c r="D547" s="347"/>
      <c r="E547" s="414"/>
      <c r="F547" s="424"/>
      <c r="G547" s="347"/>
      <c r="H547" s="414"/>
      <c r="I547" s="424"/>
      <c r="J547" s="424"/>
      <c r="K547" s="414"/>
      <c r="L547" s="424"/>
      <c r="M547" s="414"/>
      <c r="N547" s="424"/>
      <c r="O547" s="414"/>
      <c r="P547" s="347"/>
      <c r="Q547" s="347"/>
      <c r="R547" s="414"/>
      <c r="S547" s="347"/>
      <c r="T547" s="347"/>
      <c r="U547" s="347"/>
      <c r="V547" s="347"/>
      <c r="W547" s="347"/>
      <c r="X547" s="34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  <c r="AJ547" s="257"/>
      <c r="AK547" s="257"/>
      <c r="AL547" s="257"/>
      <c r="AM547" s="257"/>
      <c r="AN547" s="257"/>
      <c r="AO547" s="257"/>
      <c r="AP547" s="257"/>
      <c r="AQ547" s="257"/>
      <c r="AR547" s="257"/>
      <c r="AS547" s="257"/>
      <c r="AT547" s="257"/>
      <c r="AU547" s="257"/>
      <c r="AV547" s="257"/>
      <c r="AW547" s="257"/>
      <c r="AX547" s="257"/>
      <c r="AY547" s="257"/>
      <c r="AZ547" s="257"/>
      <c r="BA547" s="257"/>
      <c r="BB547" s="257"/>
      <c r="BC547" s="257"/>
      <c r="BD547" s="257"/>
      <c r="BE547" s="257"/>
      <c r="BF547" s="257"/>
      <c r="BG547" s="257"/>
      <c r="BH547" s="257"/>
      <c r="BI547" s="257"/>
      <c r="BJ547" s="257"/>
    </row>
    <row r="548" spans="2:62" ht="15.75" customHeight="1">
      <c r="B548" s="7"/>
      <c r="C548" s="413"/>
      <c r="D548" s="413"/>
      <c r="E548" s="416"/>
      <c r="F548" s="426"/>
      <c r="G548" s="413"/>
      <c r="H548" s="416"/>
      <c r="I548" s="426"/>
      <c r="J548" s="426"/>
      <c r="K548" s="416"/>
      <c r="L548" s="426"/>
      <c r="M548" s="416"/>
      <c r="N548" s="426"/>
      <c r="O548" s="416"/>
      <c r="P548" s="426"/>
      <c r="Q548" s="413"/>
      <c r="R548" s="416"/>
      <c r="S548" s="413"/>
      <c r="T548" s="347"/>
      <c r="U548" s="347"/>
      <c r="V548" s="347"/>
      <c r="W548" s="347"/>
      <c r="X548" s="34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  <c r="AJ548" s="257"/>
      <c r="AK548" s="257"/>
      <c r="AL548" s="257"/>
      <c r="AM548" s="257"/>
      <c r="AN548" s="257"/>
      <c r="AO548" s="257"/>
      <c r="AP548" s="257"/>
      <c r="AQ548" s="257"/>
      <c r="AR548" s="257"/>
      <c r="AS548" s="257"/>
      <c r="AT548" s="257"/>
      <c r="AU548" s="257"/>
      <c r="AV548" s="257"/>
      <c r="AW548" s="257"/>
      <c r="AX548" s="257"/>
      <c r="AY548" s="257"/>
      <c r="AZ548" s="257"/>
      <c r="BA548" s="257"/>
      <c r="BB548" s="257"/>
      <c r="BC548" s="257"/>
      <c r="BD548" s="257"/>
      <c r="BE548" s="257"/>
      <c r="BF548" s="257"/>
      <c r="BG548" s="257"/>
      <c r="BH548" s="257"/>
      <c r="BI548" s="257"/>
      <c r="BJ548" s="257"/>
    </row>
    <row r="549" spans="2:62" ht="15.75" customHeight="1">
      <c r="B549" s="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413"/>
      <c r="Q549" s="426"/>
      <c r="R549" s="426"/>
      <c r="S549" s="347"/>
      <c r="T549" s="347"/>
      <c r="U549" s="347"/>
      <c r="V549" s="347"/>
      <c r="W549" s="347"/>
      <c r="X549" s="34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  <c r="AJ549" s="257"/>
      <c r="AK549" s="257"/>
      <c r="AL549" s="257"/>
      <c r="AM549" s="257"/>
      <c r="AN549" s="257"/>
      <c r="AO549" s="257"/>
      <c r="AP549" s="257"/>
      <c r="AQ549" s="257"/>
      <c r="AR549" s="257"/>
      <c r="AS549" s="257"/>
      <c r="AT549" s="257"/>
      <c r="AU549" s="257"/>
      <c r="AV549" s="257"/>
      <c r="AW549" s="257"/>
      <c r="AX549" s="257"/>
      <c r="AY549" s="257"/>
      <c r="AZ549" s="257"/>
      <c r="BA549" s="257"/>
      <c r="BB549" s="257"/>
      <c r="BC549" s="257"/>
      <c r="BD549" s="257"/>
      <c r="BE549" s="257"/>
      <c r="BF549" s="257"/>
      <c r="BG549" s="257"/>
      <c r="BH549" s="257"/>
      <c r="BI549" s="257"/>
      <c r="BJ549" s="257"/>
    </row>
    <row r="550" spans="2:62" ht="15.75" customHeight="1">
      <c r="B550" s="7"/>
      <c r="C550" s="347"/>
      <c r="D550" s="347"/>
      <c r="E550" s="414"/>
      <c r="F550" s="424"/>
      <c r="G550" s="347"/>
      <c r="H550" s="414"/>
      <c r="I550" s="424"/>
      <c r="J550" s="424"/>
      <c r="K550" s="414"/>
      <c r="L550" s="424"/>
      <c r="M550" s="414"/>
      <c r="N550" s="424"/>
      <c r="O550" s="414"/>
      <c r="P550" s="347"/>
      <c r="Q550" s="347"/>
      <c r="R550" s="414"/>
      <c r="S550" s="347"/>
      <c r="T550" s="347"/>
      <c r="U550" s="347"/>
      <c r="V550" s="347"/>
      <c r="W550" s="347"/>
      <c r="X550" s="34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  <c r="AJ550" s="257"/>
      <c r="AK550" s="257"/>
      <c r="AL550" s="257"/>
      <c r="AM550" s="257"/>
      <c r="AN550" s="257"/>
      <c r="AO550" s="257"/>
      <c r="AP550" s="257"/>
      <c r="AQ550" s="257"/>
      <c r="AR550" s="257"/>
      <c r="AS550" s="257"/>
      <c r="AT550" s="257"/>
      <c r="AU550" s="257"/>
      <c r="AV550" s="257"/>
      <c r="AW550" s="257"/>
      <c r="AX550" s="257"/>
      <c r="AY550" s="257"/>
      <c r="AZ550" s="257"/>
      <c r="BA550" s="257"/>
      <c r="BB550" s="257"/>
      <c r="BC550" s="257"/>
      <c r="BD550" s="257"/>
      <c r="BE550" s="257"/>
      <c r="BF550" s="257"/>
      <c r="BG550" s="257"/>
      <c r="BH550" s="257"/>
      <c r="BI550" s="257"/>
      <c r="BJ550" s="257"/>
    </row>
    <row r="551" spans="2:62" ht="15.75" customHeight="1">
      <c r="B551" s="7"/>
      <c r="C551" s="413"/>
      <c r="D551" s="347"/>
      <c r="E551" s="414"/>
      <c r="F551" s="424"/>
      <c r="G551" s="347"/>
      <c r="H551" s="414"/>
      <c r="I551" s="424"/>
      <c r="J551" s="424"/>
      <c r="K551" s="414"/>
      <c r="L551" s="424"/>
      <c r="M551" s="414"/>
      <c r="N551" s="424"/>
      <c r="O551" s="414"/>
      <c r="P551" s="347"/>
      <c r="Q551" s="347"/>
      <c r="R551" s="414"/>
      <c r="S551" s="347"/>
      <c r="T551" s="347"/>
      <c r="U551" s="347"/>
      <c r="V551" s="347"/>
      <c r="W551" s="347"/>
      <c r="X551" s="34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  <c r="AJ551" s="257"/>
      <c r="AK551" s="257"/>
      <c r="AL551" s="257"/>
      <c r="AM551" s="257"/>
      <c r="AN551" s="257"/>
      <c r="AO551" s="257"/>
      <c r="AP551" s="257"/>
      <c r="AQ551" s="257"/>
      <c r="AR551" s="257"/>
      <c r="AS551" s="257"/>
      <c r="AT551" s="257"/>
      <c r="AU551" s="257"/>
      <c r="AV551" s="257"/>
      <c r="AW551" s="257"/>
      <c r="AX551" s="257"/>
      <c r="AY551" s="257"/>
      <c r="AZ551" s="257"/>
      <c r="BA551" s="257"/>
      <c r="BB551" s="257"/>
      <c r="BC551" s="257"/>
      <c r="BD551" s="257"/>
      <c r="BE551" s="257"/>
      <c r="BF551" s="257"/>
      <c r="BG551" s="257"/>
      <c r="BH551" s="257"/>
      <c r="BI551" s="257"/>
      <c r="BJ551" s="257"/>
    </row>
    <row r="552" spans="2:62" ht="15.75" customHeight="1">
      <c r="B552" s="7"/>
      <c r="C552" s="347"/>
      <c r="D552" s="347"/>
      <c r="E552" s="414"/>
      <c r="F552" s="424"/>
      <c r="G552" s="347"/>
      <c r="H552" s="414"/>
      <c r="I552" s="424"/>
      <c r="J552" s="424"/>
      <c r="K552" s="414"/>
      <c r="L552" s="424"/>
      <c r="M552" s="414"/>
      <c r="N552" s="424"/>
      <c r="O552" s="414"/>
      <c r="P552" s="347"/>
      <c r="Q552" s="347"/>
      <c r="R552" s="414"/>
      <c r="S552" s="347"/>
      <c r="T552" s="347"/>
      <c r="U552" s="347"/>
      <c r="V552" s="347"/>
      <c r="W552" s="347"/>
      <c r="X552" s="34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  <c r="AJ552" s="257"/>
      <c r="AK552" s="257"/>
      <c r="AL552" s="257"/>
      <c r="AM552" s="257"/>
      <c r="AN552" s="257"/>
      <c r="AO552" s="257"/>
      <c r="AP552" s="257"/>
      <c r="AQ552" s="257"/>
      <c r="AR552" s="257"/>
      <c r="AS552" s="257"/>
      <c r="AT552" s="257"/>
      <c r="AU552" s="257"/>
      <c r="AV552" s="257"/>
      <c r="AW552" s="257"/>
      <c r="AX552" s="257"/>
      <c r="AY552" s="257"/>
      <c r="AZ552" s="257"/>
      <c r="BA552" s="257"/>
      <c r="BB552" s="257"/>
      <c r="BC552" s="257"/>
      <c r="BD552" s="257"/>
      <c r="BE552" s="257"/>
      <c r="BF552" s="257"/>
      <c r="BG552" s="257"/>
      <c r="BH552" s="257"/>
      <c r="BI552" s="257"/>
      <c r="BJ552" s="257"/>
    </row>
    <row r="553" spans="2:62" ht="15.75" customHeight="1">
      <c r="B553" s="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424"/>
      <c r="Q553" s="414"/>
      <c r="R553" s="347"/>
      <c r="S553" s="414"/>
      <c r="T553" s="347"/>
      <c r="U553" s="347"/>
      <c r="V553" s="347"/>
      <c r="W553" s="347"/>
      <c r="X553" s="34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  <c r="AJ553" s="257"/>
      <c r="AK553" s="257"/>
      <c r="AL553" s="257"/>
      <c r="AM553" s="257"/>
      <c r="AN553" s="257"/>
      <c r="AO553" s="257"/>
      <c r="AP553" s="257"/>
      <c r="AQ553" s="257"/>
      <c r="AR553" s="257"/>
      <c r="AS553" s="257"/>
      <c r="AT553" s="257"/>
      <c r="AU553" s="257"/>
      <c r="AV553" s="257"/>
      <c r="AW553" s="257"/>
      <c r="AX553" s="257"/>
      <c r="AY553" s="257"/>
      <c r="AZ553" s="257"/>
      <c r="BA553" s="257"/>
      <c r="BB553" s="257"/>
      <c r="BC553" s="257"/>
      <c r="BD553" s="257"/>
      <c r="BE553" s="257"/>
      <c r="BF553" s="257"/>
      <c r="BG553" s="257"/>
      <c r="BH553" s="257"/>
      <c r="BI553" s="257"/>
      <c r="BJ553" s="257"/>
    </row>
    <row r="554" spans="2:62" ht="15.75" customHeight="1">
      <c r="B554" s="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424"/>
      <c r="Q554" s="414"/>
      <c r="R554" s="347"/>
      <c r="S554" s="414"/>
      <c r="T554" s="347"/>
      <c r="U554" s="347"/>
      <c r="V554" s="347"/>
      <c r="W554" s="347"/>
      <c r="X554" s="34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  <c r="AJ554" s="257"/>
      <c r="AK554" s="257"/>
      <c r="AL554" s="257"/>
      <c r="AM554" s="257"/>
      <c r="AN554" s="257"/>
      <c r="AO554" s="257"/>
      <c r="AP554" s="257"/>
      <c r="AQ554" s="257"/>
      <c r="AR554" s="257"/>
      <c r="AS554" s="257"/>
      <c r="AT554" s="257"/>
      <c r="AU554" s="257"/>
      <c r="AV554" s="257"/>
      <c r="AW554" s="257"/>
      <c r="AX554" s="257"/>
      <c r="AY554" s="257"/>
      <c r="AZ554" s="257"/>
      <c r="BA554" s="257"/>
      <c r="BB554" s="257"/>
      <c r="BC554" s="257"/>
      <c r="BD554" s="257"/>
      <c r="BE554" s="257"/>
      <c r="BF554" s="257"/>
      <c r="BG554" s="257"/>
      <c r="BH554" s="257"/>
      <c r="BI554" s="257"/>
      <c r="BJ554" s="257"/>
    </row>
    <row r="555" spans="2:62" ht="15.75" customHeight="1">
      <c r="B555" s="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424"/>
      <c r="Q555" s="414"/>
      <c r="R555" s="347"/>
      <c r="S555" s="414"/>
      <c r="T555" s="347"/>
      <c r="U555" s="347"/>
      <c r="V555" s="347"/>
      <c r="W555" s="347"/>
      <c r="X555" s="34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  <c r="AJ555" s="257"/>
      <c r="AK555" s="257"/>
      <c r="AL555" s="257"/>
      <c r="AM555" s="257"/>
      <c r="AN555" s="257"/>
      <c r="AO555" s="257"/>
      <c r="AP555" s="257"/>
      <c r="AQ555" s="257"/>
      <c r="AR555" s="257"/>
      <c r="AS555" s="257"/>
      <c r="AT555" s="257"/>
      <c r="AU555" s="257"/>
      <c r="AV555" s="257"/>
      <c r="AW555" s="257"/>
      <c r="AX555" s="257"/>
      <c r="AY555" s="257"/>
      <c r="AZ555" s="257"/>
      <c r="BA555" s="257"/>
      <c r="BB555" s="257"/>
      <c r="BC555" s="257"/>
      <c r="BD555" s="257"/>
      <c r="BE555" s="257"/>
      <c r="BF555" s="257"/>
      <c r="BG555" s="257"/>
      <c r="BH555" s="257"/>
      <c r="BI555" s="257"/>
      <c r="BJ555" s="257"/>
    </row>
    <row r="556" spans="2:62" ht="15.75" customHeight="1">
      <c r="B556" s="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424"/>
      <c r="Q556" s="414"/>
      <c r="R556" s="347"/>
      <c r="S556" s="414"/>
      <c r="T556" s="347"/>
      <c r="U556" s="347"/>
      <c r="V556" s="347"/>
      <c r="W556" s="347"/>
      <c r="X556" s="34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  <c r="AJ556" s="257"/>
      <c r="AK556" s="257"/>
      <c r="AL556" s="257"/>
      <c r="AM556" s="257"/>
      <c r="AN556" s="257"/>
      <c r="AO556" s="257"/>
      <c r="AP556" s="257"/>
      <c r="AQ556" s="257"/>
      <c r="AR556" s="257"/>
      <c r="AS556" s="257"/>
      <c r="AT556" s="257"/>
      <c r="AU556" s="257"/>
      <c r="AV556" s="257"/>
      <c r="AW556" s="257"/>
      <c r="AX556" s="257"/>
      <c r="AY556" s="257"/>
      <c r="AZ556" s="257"/>
      <c r="BA556" s="257"/>
      <c r="BB556" s="257"/>
      <c r="BC556" s="257"/>
      <c r="BD556" s="257"/>
      <c r="BE556" s="257"/>
      <c r="BF556" s="257"/>
      <c r="BG556" s="257"/>
      <c r="BH556" s="257"/>
      <c r="BI556" s="257"/>
      <c r="BJ556" s="257"/>
    </row>
    <row r="557" spans="2:62" ht="15.75" customHeight="1">
      <c r="B557" s="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424"/>
      <c r="Q557" s="414"/>
      <c r="R557" s="347"/>
      <c r="S557" s="414"/>
      <c r="T557" s="347"/>
      <c r="U557" s="347"/>
      <c r="V557" s="347"/>
      <c r="W557" s="347"/>
      <c r="X557" s="34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  <c r="AJ557" s="257"/>
      <c r="AK557" s="257"/>
      <c r="AL557" s="257"/>
      <c r="AM557" s="257"/>
      <c r="AN557" s="257"/>
      <c r="AO557" s="257"/>
      <c r="AP557" s="257"/>
      <c r="AQ557" s="257"/>
      <c r="AR557" s="257"/>
      <c r="AS557" s="257"/>
      <c r="AT557" s="257"/>
      <c r="AU557" s="257"/>
      <c r="AV557" s="257"/>
      <c r="AW557" s="257"/>
      <c r="AX557" s="257"/>
      <c r="AY557" s="257"/>
      <c r="AZ557" s="257"/>
      <c r="BA557" s="257"/>
      <c r="BB557" s="257"/>
      <c r="BC557" s="257"/>
      <c r="BD557" s="257"/>
      <c r="BE557" s="257"/>
      <c r="BF557" s="257"/>
      <c r="BG557" s="257"/>
      <c r="BH557" s="257"/>
      <c r="BI557" s="257"/>
      <c r="BJ557" s="257"/>
    </row>
    <row r="558" spans="2:62" ht="15.75" customHeight="1">
      <c r="B558" s="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424"/>
      <c r="Q558" s="414"/>
      <c r="R558" s="347"/>
      <c r="S558" s="414"/>
      <c r="T558" s="347"/>
      <c r="U558" s="347"/>
      <c r="V558" s="347"/>
      <c r="W558" s="347"/>
      <c r="X558" s="34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  <c r="AJ558" s="257"/>
      <c r="AK558" s="257"/>
      <c r="AL558" s="257"/>
      <c r="AM558" s="257"/>
      <c r="AN558" s="257"/>
      <c r="AO558" s="257"/>
      <c r="AP558" s="257"/>
      <c r="AQ558" s="257"/>
      <c r="AR558" s="257"/>
      <c r="AS558" s="257"/>
      <c r="AT558" s="257"/>
      <c r="AU558" s="257"/>
      <c r="AV558" s="257"/>
      <c r="AW558" s="257"/>
      <c r="AX558" s="257"/>
      <c r="AY558" s="257"/>
      <c r="AZ558" s="257"/>
      <c r="BA558" s="257"/>
      <c r="BB558" s="257"/>
      <c r="BC558" s="257"/>
      <c r="BD558" s="257"/>
      <c r="BE558" s="257"/>
      <c r="BF558" s="257"/>
      <c r="BG558" s="257"/>
      <c r="BH558" s="257"/>
      <c r="BI558" s="257"/>
      <c r="BJ558" s="257"/>
    </row>
    <row r="559" spans="2:62" ht="15.75" customHeight="1">
      <c r="B559" s="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424"/>
      <c r="Q559" s="414"/>
      <c r="R559" s="347"/>
      <c r="S559" s="414"/>
      <c r="T559" s="347"/>
      <c r="U559" s="347"/>
      <c r="V559" s="347"/>
      <c r="W559" s="347"/>
      <c r="X559" s="34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  <c r="AJ559" s="257"/>
      <c r="AK559" s="257"/>
      <c r="AL559" s="257"/>
      <c r="AM559" s="257"/>
      <c r="AN559" s="257"/>
      <c r="AO559" s="257"/>
      <c r="AP559" s="257"/>
      <c r="AQ559" s="257"/>
      <c r="AR559" s="257"/>
      <c r="AS559" s="257"/>
      <c r="AT559" s="257"/>
      <c r="AU559" s="257"/>
      <c r="AV559" s="257"/>
      <c r="AW559" s="257"/>
      <c r="AX559" s="257"/>
      <c r="AY559" s="257"/>
      <c r="AZ559" s="257"/>
      <c r="BA559" s="257"/>
      <c r="BB559" s="257"/>
      <c r="BC559" s="257"/>
      <c r="BD559" s="257"/>
      <c r="BE559" s="257"/>
      <c r="BF559" s="257"/>
      <c r="BG559" s="257"/>
      <c r="BH559" s="257"/>
      <c r="BI559" s="257"/>
      <c r="BJ559" s="257"/>
    </row>
    <row r="560" spans="2:62" ht="15.75" customHeight="1">
      <c r="B560" s="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424"/>
      <c r="Q560" s="414"/>
      <c r="R560" s="347"/>
      <c r="S560" s="414"/>
      <c r="T560" s="347"/>
      <c r="U560" s="347"/>
      <c r="V560" s="347"/>
      <c r="W560" s="347"/>
      <c r="X560" s="34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  <c r="AJ560" s="257"/>
      <c r="AK560" s="257"/>
      <c r="AL560" s="257"/>
      <c r="AM560" s="257"/>
      <c r="AN560" s="257"/>
      <c r="AO560" s="257"/>
      <c r="AP560" s="257"/>
      <c r="AQ560" s="257"/>
      <c r="AR560" s="257"/>
      <c r="AS560" s="257"/>
      <c r="AT560" s="257"/>
      <c r="AU560" s="257"/>
      <c r="AV560" s="257"/>
      <c r="AW560" s="257"/>
      <c r="AX560" s="257"/>
      <c r="AY560" s="257"/>
      <c r="AZ560" s="257"/>
      <c r="BA560" s="257"/>
      <c r="BB560" s="257"/>
      <c r="BC560" s="257"/>
      <c r="BD560" s="257"/>
      <c r="BE560" s="257"/>
      <c r="BF560" s="257"/>
      <c r="BG560" s="257"/>
      <c r="BH560" s="257"/>
      <c r="BI560" s="257"/>
      <c r="BJ560" s="257"/>
    </row>
    <row r="561" spans="2:62" ht="15.75" customHeight="1">
      <c r="B561" s="7"/>
      <c r="C561" s="413"/>
      <c r="D561" s="413"/>
      <c r="E561" s="347"/>
      <c r="F561" s="347"/>
      <c r="G561" s="413"/>
      <c r="H561" s="347"/>
      <c r="I561" s="347"/>
      <c r="J561" s="347"/>
      <c r="K561" s="347"/>
      <c r="L561" s="347"/>
      <c r="M561" s="347"/>
      <c r="N561" s="347"/>
      <c r="O561" s="347"/>
      <c r="P561" s="426"/>
      <c r="Q561" s="416"/>
      <c r="R561" s="347"/>
      <c r="S561" s="416"/>
      <c r="T561" s="347"/>
      <c r="U561" s="347"/>
      <c r="V561" s="347"/>
      <c r="W561" s="347"/>
      <c r="X561" s="34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  <c r="AJ561" s="257"/>
      <c r="AK561" s="257"/>
      <c r="AL561" s="257"/>
      <c r="AM561" s="257"/>
      <c r="AN561" s="257"/>
      <c r="AO561" s="257"/>
      <c r="AP561" s="257"/>
      <c r="AQ561" s="257"/>
      <c r="AR561" s="257"/>
      <c r="AS561" s="257"/>
      <c r="AT561" s="257"/>
      <c r="AU561" s="257"/>
      <c r="AV561" s="257"/>
      <c r="AW561" s="257"/>
      <c r="AX561" s="257"/>
      <c r="AY561" s="257"/>
      <c r="AZ561" s="257"/>
      <c r="BA561" s="257"/>
      <c r="BB561" s="257"/>
      <c r="BC561" s="257"/>
      <c r="BD561" s="257"/>
      <c r="BE561" s="257"/>
      <c r="BF561" s="257"/>
      <c r="BG561" s="257"/>
      <c r="BH561" s="257"/>
      <c r="BI561" s="257"/>
      <c r="BJ561" s="257"/>
    </row>
    <row r="562" spans="2:62" ht="15.75" customHeight="1">
      <c r="B562" s="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426"/>
      <c r="Q562" s="426"/>
      <c r="R562" s="347"/>
      <c r="S562" s="347"/>
      <c r="T562" s="347"/>
      <c r="U562" s="347"/>
      <c r="V562" s="347"/>
      <c r="W562" s="347"/>
      <c r="X562" s="34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  <c r="AJ562" s="257"/>
      <c r="AK562" s="257"/>
      <c r="AL562" s="257"/>
      <c r="AM562" s="257"/>
      <c r="AN562" s="257"/>
      <c r="AO562" s="257"/>
      <c r="AP562" s="257"/>
      <c r="AQ562" s="257"/>
      <c r="AR562" s="257"/>
      <c r="AS562" s="257"/>
      <c r="AT562" s="257"/>
      <c r="AU562" s="257"/>
      <c r="AV562" s="257"/>
      <c r="AW562" s="257"/>
      <c r="AX562" s="257"/>
      <c r="AY562" s="257"/>
      <c r="AZ562" s="257"/>
      <c r="BA562" s="257"/>
      <c r="BB562" s="257"/>
      <c r="BC562" s="257"/>
      <c r="BD562" s="257"/>
      <c r="BE562" s="257"/>
      <c r="BF562" s="257"/>
      <c r="BG562" s="257"/>
      <c r="BH562" s="257"/>
      <c r="BI562" s="257"/>
      <c r="BJ562" s="257"/>
    </row>
    <row r="563" spans="2:62" ht="15.75" customHeight="1">
      <c r="B563" s="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424"/>
      <c r="Q563" s="414"/>
      <c r="R563" s="347"/>
      <c r="S563" s="414"/>
      <c r="T563" s="347"/>
      <c r="U563" s="347"/>
      <c r="V563" s="347"/>
      <c r="W563" s="347"/>
      <c r="X563" s="34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  <c r="AJ563" s="257"/>
      <c r="AK563" s="257"/>
      <c r="AL563" s="257"/>
      <c r="AM563" s="257"/>
      <c r="AN563" s="257"/>
      <c r="AO563" s="257"/>
      <c r="AP563" s="257"/>
      <c r="AQ563" s="257"/>
      <c r="AR563" s="257"/>
      <c r="AS563" s="257"/>
      <c r="AT563" s="257"/>
      <c r="AU563" s="257"/>
      <c r="AV563" s="257"/>
      <c r="AW563" s="257"/>
      <c r="AX563" s="257"/>
      <c r="AY563" s="257"/>
      <c r="AZ563" s="257"/>
      <c r="BA563" s="257"/>
      <c r="BB563" s="257"/>
      <c r="BC563" s="257"/>
      <c r="BD563" s="257"/>
      <c r="BE563" s="257"/>
      <c r="BF563" s="257"/>
      <c r="BG563" s="257"/>
      <c r="BH563" s="257"/>
      <c r="BI563" s="257"/>
      <c r="BJ563" s="257"/>
    </row>
    <row r="564" spans="2:62" ht="15.75" customHeight="1">
      <c r="B564" s="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424"/>
      <c r="Q564" s="414"/>
      <c r="R564" s="347"/>
      <c r="S564" s="414"/>
      <c r="T564" s="347"/>
      <c r="U564" s="347"/>
      <c r="V564" s="347"/>
      <c r="W564" s="347"/>
      <c r="X564" s="34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  <c r="AJ564" s="257"/>
      <c r="AK564" s="257"/>
      <c r="AL564" s="257"/>
      <c r="AM564" s="257"/>
      <c r="AN564" s="257"/>
      <c r="AO564" s="257"/>
      <c r="AP564" s="257"/>
      <c r="AQ564" s="257"/>
      <c r="AR564" s="257"/>
      <c r="AS564" s="257"/>
      <c r="AT564" s="257"/>
      <c r="AU564" s="257"/>
      <c r="AV564" s="257"/>
      <c r="AW564" s="257"/>
      <c r="AX564" s="257"/>
      <c r="AY564" s="257"/>
      <c r="AZ564" s="257"/>
      <c r="BA564" s="257"/>
      <c r="BB564" s="257"/>
      <c r="BC564" s="257"/>
      <c r="BD564" s="257"/>
      <c r="BE564" s="257"/>
      <c r="BF564" s="257"/>
      <c r="BG564" s="257"/>
      <c r="BH564" s="257"/>
      <c r="BI564" s="257"/>
      <c r="BJ564" s="257"/>
    </row>
    <row r="565" spans="2:62" ht="15.75" customHeight="1">
      <c r="B565" s="7"/>
      <c r="C565" s="413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426"/>
      <c r="Q565" s="416"/>
      <c r="R565" s="347"/>
      <c r="S565" s="416"/>
      <c r="T565" s="347"/>
      <c r="U565" s="347"/>
      <c r="V565" s="347"/>
      <c r="W565" s="347"/>
      <c r="X565" s="34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  <c r="AJ565" s="257"/>
      <c r="AK565" s="257"/>
      <c r="AL565" s="257"/>
      <c r="AM565" s="257"/>
      <c r="AN565" s="257"/>
      <c r="AO565" s="257"/>
      <c r="AP565" s="257"/>
      <c r="AQ565" s="257"/>
      <c r="AR565" s="257"/>
      <c r="AS565" s="257"/>
      <c r="AT565" s="257"/>
      <c r="AU565" s="257"/>
      <c r="AV565" s="257"/>
      <c r="AW565" s="257"/>
      <c r="AX565" s="257"/>
      <c r="AY565" s="257"/>
      <c r="AZ565" s="257"/>
      <c r="BA565" s="257"/>
      <c r="BB565" s="257"/>
      <c r="BC565" s="257"/>
      <c r="BD565" s="257"/>
      <c r="BE565" s="257"/>
      <c r="BF565" s="257"/>
      <c r="BG565" s="257"/>
      <c r="BH565" s="257"/>
      <c r="BI565" s="257"/>
      <c r="BJ565" s="257"/>
    </row>
    <row r="566" spans="2:62" ht="15.75" customHeight="1">
      <c r="B566" s="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426"/>
      <c r="Q566" s="426"/>
      <c r="R566" s="347"/>
      <c r="S566" s="347"/>
      <c r="T566" s="347"/>
      <c r="U566" s="347"/>
      <c r="V566" s="347"/>
      <c r="W566" s="347"/>
      <c r="X566" s="34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  <c r="AJ566" s="257"/>
      <c r="AK566" s="257"/>
      <c r="AL566" s="257"/>
      <c r="AM566" s="257"/>
      <c r="AN566" s="257"/>
      <c r="AO566" s="257"/>
      <c r="AP566" s="257"/>
      <c r="AQ566" s="257"/>
      <c r="AR566" s="257"/>
      <c r="AS566" s="257"/>
      <c r="AT566" s="257"/>
      <c r="AU566" s="257"/>
      <c r="AV566" s="257"/>
      <c r="AW566" s="257"/>
      <c r="AX566" s="257"/>
      <c r="AY566" s="257"/>
      <c r="AZ566" s="257"/>
      <c r="BA566" s="257"/>
      <c r="BB566" s="257"/>
      <c r="BC566" s="257"/>
      <c r="BD566" s="257"/>
      <c r="BE566" s="257"/>
      <c r="BF566" s="257"/>
      <c r="BG566" s="257"/>
      <c r="BH566" s="257"/>
      <c r="BI566" s="257"/>
      <c r="BJ566" s="257"/>
    </row>
    <row r="567" spans="2:62" ht="15.75" customHeight="1">
      <c r="B567" s="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424"/>
      <c r="Q567" s="414"/>
      <c r="R567" s="347"/>
      <c r="S567" s="414"/>
      <c r="T567" s="347"/>
      <c r="U567" s="347"/>
      <c r="V567" s="347"/>
      <c r="W567" s="347"/>
      <c r="X567" s="34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  <c r="AJ567" s="257"/>
      <c r="AK567" s="257"/>
      <c r="AL567" s="257"/>
      <c r="AM567" s="257"/>
      <c r="AN567" s="257"/>
      <c r="AO567" s="257"/>
      <c r="AP567" s="257"/>
      <c r="AQ567" s="257"/>
      <c r="AR567" s="257"/>
      <c r="AS567" s="257"/>
      <c r="AT567" s="257"/>
      <c r="AU567" s="257"/>
      <c r="AV567" s="257"/>
      <c r="AW567" s="257"/>
      <c r="AX567" s="257"/>
      <c r="AY567" s="257"/>
      <c r="AZ567" s="257"/>
      <c r="BA567" s="257"/>
      <c r="BB567" s="257"/>
      <c r="BC567" s="257"/>
      <c r="BD567" s="257"/>
      <c r="BE567" s="257"/>
      <c r="BF567" s="257"/>
      <c r="BG567" s="257"/>
      <c r="BH567" s="257"/>
      <c r="BI567" s="257"/>
      <c r="BJ567" s="257"/>
    </row>
    <row r="568" spans="2:62" ht="15.75" customHeight="1">
      <c r="B568" s="7"/>
      <c r="C568" s="413"/>
      <c r="D568" s="413"/>
      <c r="E568" s="347"/>
      <c r="F568" s="347"/>
      <c r="G568" s="413"/>
      <c r="H568" s="347"/>
      <c r="I568" s="347"/>
      <c r="J568" s="347"/>
      <c r="K568" s="347"/>
      <c r="L568" s="347"/>
      <c r="M568" s="347"/>
      <c r="N568" s="347"/>
      <c r="O568" s="347"/>
      <c r="P568" s="426"/>
      <c r="Q568" s="416"/>
      <c r="R568" s="347"/>
      <c r="S568" s="416"/>
      <c r="T568" s="347"/>
      <c r="U568" s="347"/>
      <c r="V568" s="347"/>
      <c r="W568" s="347"/>
      <c r="X568" s="34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  <c r="AJ568" s="257"/>
      <c r="AK568" s="257"/>
      <c r="AL568" s="257"/>
      <c r="AM568" s="257"/>
      <c r="AN568" s="257"/>
      <c r="AO568" s="257"/>
      <c r="AP568" s="257"/>
      <c r="AQ568" s="257"/>
      <c r="AR568" s="257"/>
      <c r="AS568" s="257"/>
      <c r="AT568" s="257"/>
      <c r="AU568" s="257"/>
      <c r="AV568" s="257"/>
      <c r="AW568" s="257"/>
      <c r="AX568" s="257"/>
      <c r="AY568" s="257"/>
      <c r="AZ568" s="257"/>
      <c r="BA568" s="257"/>
      <c r="BB568" s="257"/>
      <c r="BC568" s="257"/>
      <c r="BD568" s="257"/>
      <c r="BE568" s="257"/>
      <c r="BF568" s="257"/>
      <c r="BG568" s="257"/>
      <c r="BH568" s="257"/>
      <c r="BI568" s="257"/>
      <c r="BJ568" s="257"/>
    </row>
    <row r="569" spans="2:62" ht="15.75" customHeight="1">
      <c r="B569" s="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426"/>
      <c r="Q569" s="426"/>
      <c r="R569" s="347"/>
      <c r="S569" s="347"/>
      <c r="T569" s="347"/>
      <c r="U569" s="347"/>
      <c r="V569" s="347"/>
      <c r="W569" s="347"/>
      <c r="X569" s="34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  <c r="AJ569" s="257"/>
      <c r="AK569" s="257"/>
      <c r="AL569" s="257"/>
      <c r="AM569" s="257"/>
      <c r="AN569" s="257"/>
      <c r="AO569" s="257"/>
      <c r="AP569" s="257"/>
      <c r="AQ569" s="257"/>
      <c r="AR569" s="257"/>
      <c r="AS569" s="257"/>
      <c r="AT569" s="257"/>
      <c r="AU569" s="257"/>
      <c r="AV569" s="257"/>
      <c r="AW569" s="257"/>
      <c r="AX569" s="257"/>
      <c r="AY569" s="257"/>
      <c r="AZ569" s="257"/>
      <c r="BA569" s="257"/>
      <c r="BB569" s="257"/>
      <c r="BC569" s="257"/>
      <c r="BD569" s="257"/>
      <c r="BE569" s="257"/>
      <c r="BF569" s="257"/>
      <c r="BG569" s="257"/>
      <c r="BH569" s="257"/>
      <c r="BI569" s="257"/>
      <c r="BJ569" s="257"/>
    </row>
    <row r="570" spans="2:62" ht="15.75" customHeight="1">
      <c r="B570" s="7"/>
      <c r="C570" s="347"/>
      <c r="D570" s="347"/>
      <c r="E570" s="414"/>
      <c r="F570" s="424"/>
      <c r="G570" s="347"/>
      <c r="H570" s="414"/>
      <c r="I570" s="424"/>
      <c r="J570" s="424"/>
      <c r="K570" s="414"/>
      <c r="L570" s="424"/>
      <c r="M570" s="414"/>
      <c r="N570" s="424"/>
      <c r="O570" s="414"/>
      <c r="P570" s="424"/>
      <c r="Q570" s="414"/>
      <c r="R570" s="414"/>
      <c r="S570" s="347"/>
      <c r="T570" s="347"/>
      <c r="U570" s="347"/>
      <c r="V570" s="347"/>
      <c r="W570" s="347"/>
      <c r="X570" s="34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  <c r="AJ570" s="257"/>
      <c r="AK570" s="257"/>
      <c r="AL570" s="257"/>
      <c r="AM570" s="257"/>
      <c r="AN570" s="257"/>
      <c r="AO570" s="257"/>
      <c r="AP570" s="257"/>
      <c r="AQ570" s="257"/>
      <c r="AR570" s="257"/>
      <c r="AS570" s="257"/>
      <c r="AT570" s="257"/>
      <c r="AU570" s="257"/>
      <c r="AV570" s="257"/>
      <c r="AW570" s="257"/>
      <c r="AX570" s="257"/>
      <c r="AY570" s="257"/>
      <c r="AZ570" s="257"/>
      <c r="BA570" s="257"/>
      <c r="BB570" s="257"/>
      <c r="BC570" s="257"/>
      <c r="BD570" s="257"/>
      <c r="BE570" s="257"/>
      <c r="BF570" s="257"/>
      <c r="BG570" s="257"/>
      <c r="BH570" s="257"/>
      <c r="BI570" s="257"/>
      <c r="BJ570" s="257"/>
    </row>
    <row r="571" spans="2:62" ht="15.75" customHeight="1">
      <c r="B571" s="7"/>
      <c r="C571" s="413"/>
      <c r="D571" s="413"/>
      <c r="E571" s="416"/>
      <c r="F571" s="426"/>
      <c r="G571" s="413"/>
      <c r="H571" s="416"/>
      <c r="I571" s="426"/>
      <c r="J571" s="426"/>
      <c r="K571" s="416"/>
      <c r="L571" s="426"/>
      <c r="M571" s="416"/>
      <c r="N571" s="426"/>
      <c r="O571" s="416"/>
      <c r="P571" s="426"/>
      <c r="Q571" s="416"/>
      <c r="R571" s="416"/>
      <c r="S571" s="416"/>
      <c r="T571" s="347"/>
      <c r="U571" s="347"/>
      <c r="V571" s="347"/>
      <c r="W571" s="347"/>
      <c r="X571" s="34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  <c r="AJ571" s="257"/>
      <c r="AK571" s="257"/>
      <c r="AL571" s="257"/>
      <c r="AM571" s="257"/>
      <c r="AN571" s="257"/>
      <c r="AO571" s="257"/>
      <c r="AP571" s="257"/>
      <c r="AQ571" s="257"/>
      <c r="AR571" s="257"/>
      <c r="AS571" s="257"/>
      <c r="AT571" s="257"/>
      <c r="AU571" s="257"/>
      <c r="AV571" s="257"/>
      <c r="AW571" s="257"/>
      <c r="AX571" s="257"/>
      <c r="AY571" s="257"/>
      <c r="AZ571" s="257"/>
      <c r="BA571" s="257"/>
      <c r="BB571" s="257"/>
      <c r="BC571" s="257"/>
      <c r="BD571" s="257"/>
      <c r="BE571" s="257"/>
      <c r="BF571" s="257"/>
      <c r="BG571" s="257"/>
      <c r="BH571" s="257"/>
      <c r="BI571" s="257"/>
      <c r="BJ571" s="257"/>
    </row>
    <row r="572" spans="2:62" ht="15.75" customHeight="1">
      <c r="B572" s="7"/>
      <c r="C572" s="347"/>
      <c r="D572" s="347"/>
      <c r="E572" s="414"/>
      <c r="F572" s="424"/>
      <c r="G572" s="347"/>
      <c r="H572" s="414"/>
      <c r="I572" s="424"/>
      <c r="J572" s="414"/>
      <c r="K572" s="424"/>
      <c r="L572" s="414"/>
      <c r="M572" s="347"/>
      <c r="N572" s="414"/>
      <c r="O572" s="424"/>
      <c r="P572" s="416"/>
      <c r="Q572" s="426"/>
      <c r="R572" s="426"/>
      <c r="S572" s="414"/>
      <c r="T572" s="347"/>
      <c r="U572" s="347"/>
      <c r="V572" s="347"/>
      <c r="W572" s="347"/>
      <c r="X572" s="34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  <c r="AJ572" s="257"/>
      <c r="AK572" s="257"/>
      <c r="AL572" s="257"/>
      <c r="AM572" s="257"/>
      <c r="AN572" s="257"/>
      <c r="AO572" s="257"/>
      <c r="AP572" s="257"/>
      <c r="AQ572" s="257"/>
      <c r="AR572" s="257"/>
      <c r="AS572" s="257"/>
      <c r="AT572" s="257"/>
      <c r="AU572" s="257"/>
      <c r="AV572" s="257"/>
      <c r="AW572" s="257"/>
      <c r="AX572" s="257"/>
      <c r="AY572" s="257"/>
      <c r="AZ572" s="257"/>
      <c r="BA572" s="257"/>
      <c r="BB572" s="257"/>
      <c r="BC572" s="257"/>
      <c r="BD572" s="257"/>
      <c r="BE572" s="257"/>
      <c r="BF572" s="257"/>
      <c r="BG572" s="257"/>
      <c r="BH572" s="257"/>
      <c r="BI572" s="257"/>
      <c r="BJ572" s="257"/>
    </row>
    <row r="573" spans="2:62" ht="15.75" customHeight="1">
      <c r="B573" s="7"/>
      <c r="C573" s="347"/>
      <c r="D573" s="347"/>
      <c r="E573" s="414"/>
      <c r="F573" s="424"/>
      <c r="G573" s="347"/>
      <c r="H573" s="414"/>
      <c r="I573" s="424"/>
      <c r="J573" s="414"/>
      <c r="K573" s="424"/>
      <c r="L573" s="414"/>
      <c r="M573" s="347"/>
      <c r="N573" s="414"/>
      <c r="O573" s="424"/>
      <c r="P573" s="414"/>
      <c r="Q573" s="347"/>
      <c r="R573" s="424"/>
      <c r="S573" s="414"/>
      <c r="T573" s="347"/>
      <c r="U573" s="347"/>
      <c r="V573" s="347"/>
      <c r="W573" s="347"/>
      <c r="X573" s="34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  <c r="AJ573" s="257"/>
      <c r="AK573" s="257"/>
      <c r="AL573" s="257"/>
      <c r="AM573" s="257"/>
      <c r="AN573" s="257"/>
      <c r="AO573" s="257"/>
      <c r="AP573" s="257"/>
      <c r="AQ573" s="257"/>
      <c r="AR573" s="257"/>
      <c r="AS573" s="257"/>
      <c r="AT573" s="257"/>
      <c r="AU573" s="257"/>
      <c r="AV573" s="257"/>
      <c r="AW573" s="257"/>
      <c r="AX573" s="257"/>
      <c r="AY573" s="257"/>
      <c r="AZ573" s="257"/>
      <c r="BA573" s="257"/>
      <c r="BB573" s="257"/>
      <c r="BC573" s="257"/>
      <c r="BD573" s="257"/>
      <c r="BE573" s="257"/>
      <c r="BF573" s="257"/>
      <c r="BG573" s="257"/>
      <c r="BH573" s="257"/>
      <c r="BI573" s="257"/>
      <c r="BJ573" s="257"/>
    </row>
    <row r="574" spans="2:62" ht="15.75" customHeight="1">
      <c r="B574" s="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424"/>
      <c r="S574" s="414"/>
      <c r="T574" s="347"/>
      <c r="U574" s="347"/>
      <c r="V574" s="347"/>
      <c r="W574" s="347"/>
      <c r="X574" s="34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  <c r="AJ574" s="257"/>
      <c r="AK574" s="257"/>
      <c r="AL574" s="257"/>
      <c r="AM574" s="257"/>
      <c r="AN574" s="257"/>
      <c r="AO574" s="257"/>
      <c r="AP574" s="257"/>
      <c r="AQ574" s="257"/>
      <c r="AR574" s="257"/>
      <c r="AS574" s="257"/>
      <c r="AT574" s="257"/>
      <c r="AU574" s="257"/>
      <c r="AV574" s="257"/>
      <c r="AW574" s="257"/>
      <c r="AX574" s="257"/>
      <c r="AY574" s="257"/>
      <c r="AZ574" s="257"/>
      <c r="BA574" s="257"/>
      <c r="BB574" s="257"/>
      <c r="BC574" s="257"/>
      <c r="BD574" s="257"/>
      <c r="BE574" s="257"/>
      <c r="BF574" s="257"/>
      <c r="BG574" s="257"/>
      <c r="BH574" s="257"/>
      <c r="BI574" s="257"/>
      <c r="BJ574" s="257"/>
    </row>
    <row r="575" spans="2:62" ht="15.75" customHeight="1">
      <c r="B575" s="7"/>
      <c r="C575" s="347"/>
      <c r="D575" s="347"/>
      <c r="E575" s="414"/>
      <c r="F575" s="424"/>
      <c r="G575" s="347"/>
      <c r="H575" s="414"/>
      <c r="I575" s="424"/>
      <c r="J575" s="414"/>
      <c r="K575" s="424"/>
      <c r="L575" s="414"/>
      <c r="M575" s="347"/>
      <c r="N575" s="414"/>
      <c r="O575" s="424"/>
      <c r="P575" s="414"/>
      <c r="Q575" s="347"/>
      <c r="R575" s="424"/>
      <c r="S575" s="414"/>
      <c r="T575" s="347"/>
      <c r="U575" s="347"/>
      <c r="V575" s="347"/>
      <c r="W575" s="347"/>
      <c r="X575" s="34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  <c r="AJ575" s="257"/>
      <c r="AK575" s="257"/>
      <c r="AL575" s="257"/>
      <c r="AM575" s="257"/>
      <c r="AN575" s="257"/>
      <c r="AO575" s="257"/>
      <c r="AP575" s="257"/>
      <c r="AQ575" s="257"/>
      <c r="AR575" s="257"/>
      <c r="AS575" s="257"/>
      <c r="AT575" s="257"/>
      <c r="AU575" s="257"/>
      <c r="AV575" s="257"/>
      <c r="AW575" s="257"/>
      <c r="AX575" s="257"/>
      <c r="AY575" s="257"/>
      <c r="AZ575" s="257"/>
      <c r="BA575" s="257"/>
      <c r="BB575" s="257"/>
      <c r="BC575" s="257"/>
      <c r="BD575" s="257"/>
      <c r="BE575" s="257"/>
      <c r="BF575" s="257"/>
      <c r="BG575" s="257"/>
      <c r="BH575" s="257"/>
      <c r="BI575" s="257"/>
      <c r="BJ575" s="257"/>
    </row>
    <row r="576" spans="2:62" ht="15.75" customHeight="1">
      <c r="B576" s="7"/>
      <c r="C576" s="347"/>
      <c r="D576" s="347"/>
      <c r="E576" s="414"/>
      <c r="F576" s="424"/>
      <c r="G576" s="347"/>
      <c r="H576" s="414"/>
      <c r="I576" s="424"/>
      <c r="J576" s="414"/>
      <c r="K576" s="424"/>
      <c r="L576" s="414"/>
      <c r="M576" s="347"/>
      <c r="N576" s="414"/>
      <c r="O576" s="424"/>
      <c r="P576" s="414"/>
      <c r="Q576" s="347"/>
      <c r="R576" s="424"/>
      <c r="S576" s="414"/>
      <c r="T576" s="347"/>
      <c r="U576" s="347"/>
      <c r="V576" s="347"/>
      <c r="W576" s="347"/>
      <c r="X576" s="34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  <c r="AJ576" s="257"/>
      <c r="AK576" s="257"/>
      <c r="AL576" s="257"/>
      <c r="AM576" s="257"/>
      <c r="AN576" s="257"/>
      <c r="AO576" s="257"/>
      <c r="AP576" s="257"/>
      <c r="AQ576" s="257"/>
      <c r="AR576" s="257"/>
      <c r="AS576" s="257"/>
      <c r="AT576" s="257"/>
      <c r="AU576" s="257"/>
      <c r="AV576" s="257"/>
      <c r="AW576" s="257"/>
      <c r="AX576" s="257"/>
      <c r="AY576" s="257"/>
      <c r="AZ576" s="257"/>
      <c r="BA576" s="257"/>
      <c r="BB576" s="257"/>
      <c r="BC576" s="257"/>
      <c r="BD576" s="257"/>
      <c r="BE576" s="257"/>
      <c r="BF576" s="257"/>
      <c r="BG576" s="257"/>
      <c r="BH576" s="257"/>
      <c r="BI576" s="257"/>
      <c r="BJ576" s="257"/>
    </row>
    <row r="577" spans="2:62" ht="15.75" customHeight="1">
      <c r="B577" s="7"/>
      <c r="C577" s="347"/>
      <c r="D577" s="347"/>
      <c r="E577" s="414"/>
      <c r="F577" s="424"/>
      <c r="G577" s="347"/>
      <c r="H577" s="414"/>
      <c r="I577" s="424"/>
      <c r="J577" s="414"/>
      <c r="K577" s="424"/>
      <c r="L577" s="414"/>
      <c r="M577" s="347"/>
      <c r="N577" s="414"/>
      <c r="O577" s="424"/>
      <c r="P577" s="414"/>
      <c r="Q577" s="347"/>
      <c r="R577" s="424"/>
      <c r="S577" s="414"/>
      <c r="T577" s="347"/>
      <c r="U577" s="347"/>
      <c r="V577" s="347"/>
      <c r="W577" s="347"/>
      <c r="X577" s="34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  <c r="AJ577" s="257"/>
      <c r="AK577" s="257"/>
      <c r="AL577" s="257"/>
      <c r="AM577" s="257"/>
      <c r="AN577" s="257"/>
      <c r="AO577" s="257"/>
      <c r="AP577" s="257"/>
      <c r="AQ577" s="257"/>
      <c r="AR577" s="257"/>
      <c r="AS577" s="257"/>
      <c r="AT577" s="257"/>
      <c r="AU577" s="257"/>
      <c r="AV577" s="257"/>
      <c r="AW577" s="257"/>
      <c r="AX577" s="257"/>
      <c r="AY577" s="257"/>
      <c r="AZ577" s="257"/>
      <c r="BA577" s="257"/>
      <c r="BB577" s="257"/>
      <c r="BC577" s="257"/>
      <c r="BD577" s="257"/>
      <c r="BE577" s="257"/>
      <c r="BF577" s="257"/>
      <c r="BG577" s="257"/>
      <c r="BH577" s="257"/>
      <c r="BI577" s="257"/>
      <c r="BJ577" s="257"/>
    </row>
    <row r="578" spans="2:62" ht="15.75" customHeight="1">
      <c r="B578" s="7"/>
      <c r="C578" s="347"/>
      <c r="D578" s="347"/>
      <c r="E578" s="414"/>
      <c r="F578" s="424"/>
      <c r="G578" s="347"/>
      <c r="H578" s="414"/>
      <c r="I578" s="424"/>
      <c r="J578" s="414"/>
      <c r="K578" s="424"/>
      <c r="L578" s="414"/>
      <c r="M578" s="347"/>
      <c r="N578" s="414"/>
      <c r="O578" s="424"/>
      <c r="P578" s="414"/>
      <c r="Q578" s="347"/>
      <c r="R578" s="424"/>
      <c r="S578" s="414"/>
      <c r="T578" s="347"/>
      <c r="U578" s="347"/>
      <c r="V578" s="347"/>
      <c r="W578" s="347"/>
      <c r="X578" s="34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  <c r="AJ578" s="257"/>
      <c r="AK578" s="257"/>
      <c r="AL578" s="257"/>
      <c r="AM578" s="257"/>
      <c r="AN578" s="257"/>
      <c r="AO578" s="257"/>
      <c r="AP578" s="257"/>
      <c r="AQ578" s="257"/>
      <c r="AR578" s="257"/>
      <c r="AS578" s="257"/>
      <c r="AT578" s="257"/>
      <c r="AU578" s="257"/>
      <c r="AV578" s="257"/>
      <c r="AW578" s="257"/>
      <c r="AX578" s="257"/>
      <c r="AY578" s="257"/>
      <c r="AZ578" s="257"/>
      <c r="BA578" s="257"/>
      <c r="BB578" s="257"/>
      <c r="BC578" s="257"/>
      <c r="BD578" s="257"/>
      <c r="BE578" s="257"/>
      <c r="BF578" s="257"/>
      <c r="BG578" s="257"/>
      <c r="BH578" s="257"/>
      <c r="BI578" s="257"/>
      <c r="BJ578" s="257"/>
    </row>
    <row r="579" spans="2:62" ht="15.75" customHeight="1">
      <c r="B579" s="7"/>
      <c r="C579" s="347"/>
      <c r="D579" s="347"/>
      <c r="E579" s="414"/>
      <c r="F579" s="424"/>
      <c r="G579" s="347"/>
      <c r="H579" s="414"/>
      <c r="I579" s="424"/>
      <c r="J579" s="414"/>
      <c r="K579" s="424"/>
      <c r="L579" s="414"/>
      <c r="M579" s="347"/>
      <c r="N579" s="414"/>
      <c r="O579" s="424"/>
      <c r="P579" s="414"/>
      <c r="Q579" s="347"/>
      <c r="R579" s="424"/>
      <c r="S579" s="414"/>
      <c r="T579" s="347"/>
      <c r="U579" s="347"/>
      <c r="V579" s="347"/>
      <c r="W579" s="347"/>
      <c r="X579" s="34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  <c r="AJ579" s="257"/>
      <c r="AK579" s="257"/>
      <c r="AL579" s="257"/>
      <c r="AM579" s="257"/>
      <c r="AN579" s="257"/>
      <c r="AO579" s="257"/>
      <c r="AP579" s="257"/>
      <c r="AQ579" s="257"/>
      <c r="AR579" s="257"/>
      <c r="AS579" s="257"/>
      <c r="AT579" s="257"/>
      <c r="AU579" s="257"/>
      <c r="AV579" s="257"/>
      <c r="AW579" s="257"/>
      <c r="AX579" s="257"/>
      <c r="AY579" s="257"/>
      <c r="AZ579" s="257"/>
      <c r="BA579" s="257"/>
      <c r="BB579" s="257"/>
      <c r="BC579" s="257"/>
      <c r="BD579" s="257"/>
      <c r="BE579" s="257"/>
      <c r="BF579" s="257"/>
      <c r="BG579" s="257"/>
      <c r="BH579" s="257"/>
      <c r="BI579" s="257"/>
      <c r="BJ579" s="257"/>
    </row>
    <row r="580" spans="2:62" ht="15.75" customHeight="1">
      <c r="B580" s="7"/>
      <c r="C580" s="347"/>
      <c r="D580" s="347"/>
      <c r="E580" s="414"/>
      <c r="F580" s="424"/>
      <c r="G580" s="347"/>
      <c r="H580" s="414"/>
      <c r="I580" s="424"/>
      <c r="J580" s="414"/>
      <c r="K580" s="424"/>
      <c r="L580" s="414"/>
      <c r="M580" s="347"/>
      <c r="N580" s="414"/>
      <c r="O580" s="424"/>
      <c r="P580" s="414"/>
      <c r="Q580" s="347"/>
      <c r="R580" s="424"/>
      <c r="S580" s="414"/>
      <c r="T580" s="347"/>
      <c r="U580" s="347"/>
      <c r="V580" s="347"/>
      <c r="W580" s="347"/>
      <c r="X580" s="34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  <c r="AJ580" s="257"/>
      <c r="AK580" s="257"/>
      <c r="AL580" s="257"/>
      <c r="AM580" s="257"/>
      <c r="AN580" s="257"/>
      <c r="AO580" s="257"/>
      <c r="AP580" s="257"/>
      <c r="AQ580" s="257"/>
      <c r="AR580" s="257"/>
      <c r="AS580" s="257"/>
      <c r="AT580" s="257"/>
      <c r="AU580" s="257"/>
      <c r="AV580" s="257"/>
      <c r="AW580" s="257"/>
      <c r="AX580" s="257"/>
      <c r="AY580" s="257"/>
      <c r="AZ580" s="257"/>
      <c r="BA580" s="257"/>
      <c r="BB580" s="257"/>
      <c r="BC580" s="257"/>
      <c r="BD580" s="257"/>
      <c r="BE580" s="257"/>
      <c r="BF580" s="257"/>
      <c r="BG580" s="257"/>
      <c r="BH580" s="257"/>
      <c r="BI580" s="257"/>
      <c r="BJ580" s="257"/>
    </row>
    <row r="581" spans="2:62" ht="15.75" customHeight="1">
      <c r="B581" s="7"/>
      <c r="C581" s="347"/>
      <c r="D581" s="347"/>
      <c r="E581" s="414"/>
      <c r="F581" s="424"/>
      <c r="G581" s="347"/>
      <c r="H581" s="414"/>
      <c r="I581" s="424"/>
      <c r="J581" s="414"/>
      <c r="K581" s="424"/>
      <c r="L581" s="414"/>
      <c r="M581" s="347"/>
      <c r="N581" s="414"/>
      <c r="O581" s="424"/>
      <c r="P581" s="414"/>
      <c r="Q581" s="347"/>
      <c r="R581" s="424"/>
      <c r="S581" s="414"/>
      <c r="T581" s="347"/>
      <c r="U581" s="347"/>
      <c r="V581" s="347"/>
      <c r="W581" s="347"/>
      <c r="X581" s="34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  <c r="AJ581" s="257"/>
      <c r="AK581" s="257"/>
      <c r="AL581" s="257"/>
      <c r="AM581" s="257"/>
      <c r="AN581" s="257"/>
      <c r="AO581" s="257"/>
      <c r="AP581" s="257"/>
      <c r="AQ581" s="257"/>
      <c r="AR581" s="257"/>
      <c r="AS581" s="257"/>
      <c r="AT581" s="257"/>
      <c r="AU581" s="257"/>
      <c r="AV581" s="257"/>
      <c r="AW581" s="257"/>
      <c r="AX581" s="257"/>
      <c r="AY581" s="257"/>
      <c r="AZ581" s="257"/>
      <c r="BA581" s="257"/>
      <c r="BB581" s="257"/>
      <c r="BC581" s="257"/>
      <c r="BD581" s="257"/>
      <c r="BE581" s="257"/>
      <c r="BF581" s="257"/>
      <c r="BG581" s="257"/>
      <c r="BH581" s="257"/>
      <c r="BI581" s="257"/>
      <c r="BJ581" s="257"/>
    </row>
    <row r="582" spans="2:62" ht="15.75" customHeight="1">
      <c r="B582" s="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  <c r="AJ582" s="257"/>
      <c r="AK582" s="257"/>
      <c r="AL582" s="257"/>
      <c r="AM582" s="257"/>
      <c r="AN582" s="257"/>
      <c r="AO582" s="257"/>
      <c r="AP582" s="257"/>
      <c r="AQ582" s="257"/>
      <c r="AR582" s="257"/>
      <c r="AS582" s="257"/>
      <c r="AT582" s="257"/>
      <c r="AU582" s="257"/>
      <c r="AV582" s="257"/>
      <c r="AW582" s="257"/>
      <c r="AX582" s="257"/>
      <c r="AY582" s="257"/>
      <c r="AZ582" s="257"/>
      <c r="BA582" s="257"/>
      <c r="BB582" s="257"/>
      <c r="BC582" s="257"/>
      <c r="BD582" s="257"/>
      <c r="BE582" s="257"/>
      <c r="BF582" s="257"/>
      <c r="BG582" s="257"/>
      <c r="BH582" s="257"/>
      <c r="BI582" s="257"/>
      <c r="BJ582" s="257"/>
    </row>
    <row r="583" spans="2:62" ht="15.75" customHeight="1">
      <c r="B583" s="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  <c r="AJ583" s="257"/>
      <c r="AK583" s="257"/>
      <c r="AL583" s="257"/>
      <c r="AM583" s="257"/>
      <c r="AN583" s="257"/>
      <c r="AO583" s="257"/>
      <c r="AP583" s="257"/>
      <c r="AQ583" s="257"/>
      <c r="AR583" s="257"/>
      <c r="AS583" s="257"/>
      <c r="AT583" s="257"/>
      <c r="AU583" s="257"/>
      <c r="AV583" s="257"/>
      <c r="AW583" s="257"/>
      <c r="AX583" s="257"/>
      <c r="AY583" s="257"/>
      <c r="AZ583" s="257"/>
      <c r="BA583" s="257"/>
      <c r="BB583" s="257"/>
      <c r="BC583" s="257"/>
      <c r="BD583" s="257"/>
      <c r="BE583" s="257"/>
      <c r="BF583" s="257"/>
      <c r="BG583" s="257"/>
      <c r="BH583" s="257"/>
      <c r="BI583" s="257"/>
      <c r="BJ583" s="257"/>
    </row>
    <row r="584" spans="2:62" ht="15.75" customHeight="1">
      <c r="B584" s="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  <c r="AJ584" s="257"/>
      <c r="AK584" s="257"/>
      <c r="AL584" s="257"/>
      <c r="AM584" s="257"/>
      <c r="AN584" s="257"/>
      <c r="AO584" s="257"/>
      <c r="AP584" s="257"/>
      <c r="AQ584" s="257"/>
      <c r="AR584" s="257"/>
      <c r="AS584" s="257"/>
      <c r="AT584" s="257"/>
      <c r="AU584" s="257"/>
      <c r="AV584" s="257"/>
      <c r="AW584" s="257"/>
      <c r="AX584" s="257"/>
      <c r="AY584" s="257"/>
      <c r="AZ584" s="257"/>
      <c r="BA584" s="257"/>
      <c r="BB584" s="257"/>
      <c r="BC584" s="257"/>
      <c r="BD584" s="257"/>
      <c r="BE584" s="257"/>
      <c r="BF584" s="257"/>
      <c r="BG584" s="257"/>
      <c r="BH584" s="257"/>
      <c r="BI584" s="257"/>
      <c r="BJ584" s="257"/>
    </row>
    <row r="585" spans="2:62" ht="15.75" customHeight="1">
      <c r="B585" s="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  <c r="AJ585" s="257"/>
      <c r="AK585" s="257"/>
      <c r="AL585" s="257"/>
      <c r="AM585" s="257"/>
      <c r="AN585" s="257"/>
      <c r="AO585" s="257"/>
      <c r="AP585" s="257"/>
      <c r="AQ585" s="257"/>
      <c r="AR585" s="257"/>
      <c r="AS585" s="257"/>
      <c r="AT585" s="257"/>
      <c r="AU585" s="257"/>
      <c r="AV585" s="257"/>
      <c r="AW585" s="257"/>
      <c r="AX585" s="257"/>
      <c r="AY585" s="257"/>
      <c r="AZ585" s="257"/>
      <c r="BA585" s="257"/>
      <c r="BB585" s="257"/>
      <c r="BC585" s="257"/>
      <c r="BD585" s="257"/>
      <c r="BE585" s="257"/>
      <c r="BF585" s="257"/>
      <c r="BG585" s="257"/>
      <c r="BH585" s="257"/>
      <c r="BI585" s="257"/>
      <c r="BJ585" s="257"/>
    </row>
    <row r="586" spans="2:62" ht="15.75" customHeight="1">
      <c r="B586" s="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  <c r="AJ586" s="257"/>
      <c r="AK586" s="257"/>
      <c r="AL586" s="257"/>
      <c r="AM586" s="257"/>
      <c r="AN586" s="257"/>
      <c r="AO586" s="257"/>
      <c r="AP586" s="257"/>
      <c r="AQ586" s="257"/>
      <c r="AR586" s="257"/>
      <c r="AS586" s="257"/>
      <c r="AT586" s="257"/>
      <c r="AU586" s="257"/>
      <c r="AV586" s="257"/>
      <c r="AW586" s="257"/>
      <c r="AX586" s="257"/>
      <c r="AY586" s="257"/>
      <c r="AZ586" s="257"/>
      <c r="BA586" s="257"/>
      <c r="BB586" s="257"/>
      <c r="BC586" s="257"/>
      <c r="BD586" s="257"/>
      <c r="BE586" s="257"/>
      <c r="BF586" s="257"/>
      <c r="BG586" s="257"/>
      <c r="BH586" s="257"/>
      <c r="BI586" s="257"/>
      <c r="BJ586" s="257"/>
    </row>
    <row r="587" spans="2:62" ht="15.75" customHeight="1">
      <c r="B587" s="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  <c r="AJ587" s="257"/>
      <c r="AK587" s="257"/>
      <c r="AL587" s="257"/>
      <c r="AM587" s="257"/>
      <c r="AN587" s="257"/>
      <c r="AO587" s="257"/>
      <c r="AP587" s="257"/>
      <c r="AQ587" s="257"/>
      <c r="AR587" s="257"/>
      <c r="AS587" s="257"/>
      <c r="AT587" s="257"/>
      <c r="AU587" s="257"/>
      <c r="AV587" s="257"/>
      <c r="AW587" s="257"/>
      <c r="AX587" s="257"/>
      <c r="AY587" s="257"/>
      <c r="AZ587" s="257"/>
      <c r="BA587" s="257"/>
      <c r="BB587" s="257"/>
      <c r="BC587" s="257"/>
      <c r="BD587" s="257"/>
      <c r="BE587" s="257"/>
      <c r="BF587" s="257"/>
      <c r="BG587" s="257"/>
      <c r="BH587" s="257"/>
      <c r="BI587" s="257"/>
      <c r="BJ587" s="257"/>
    </row>
    <row r="588" spans="2:62" ht="15.75" customHeight="1">
      <c r="B588" s="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  <c r="AJ588" s="257"/>
      <c r="AK588" s="257"/>
      <c r="AL588" s="257"/>
      <c r="AM588" s="257"/>
      <c r="AN588" s="257"/>
      <c r="AO588" s="257"/>
      <c r="AP588" s="257"/>
      <c r="AQ588" s="257"/>
      <c r="AR588" s="257"/>
      <c r="AS588" s="257"/>
      <c r="AT588" s="257"/>
      <c r="AU588" s="257"/>
      <c r="AV588" s="257"/>
      <c r="AW588" s="257"/>
      <c r="AX588" s="257"/>
      <c r="AY588" s="257"/>
      <c r="AZ588" s="257"/>
      <c r="BA588" s="257"/>
      <c r="BB588" s="257"/>
      <c r="BC588" s="257"/>
      <c r="BD588" s="257"/>
      <c r="BE588" s="257"/>
      <c r="BF588" s="257"/>
      <c r="BG588" s="257"/>
      <c r="BH588" s="257"/>
      <c r="BI588" s="257"/>
      <c r="BJ588" s="257"/>
    </row>
    <row r="589" spans="2:62" ht="15.75" customHeight="1">
      <c r="B589" s="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  <c r="AJ589" s="257"/>
      <c r="AK589" s="257"/>
      <c r="AL589" s="257"/>
      <c r="AM589" s="257"/>
      <c r="AN589" s="257"/>
      <c r="AO589" s="257"/>
      <c r="AP589" s="257"/>
      <c r="AQ589" s="257"/>
      <c r="AR589" s="257"/>
      <c r="AS589" s="257"/>
      <c r="AT589" s="257"/>
      <c r="AU589" s="257"/>
      <c r="AV589" s="257"/>
      <c r="AW589" s="257"/>
      <c r="AX589" s="257"/>
      <c r="AY589" s="257"/>
      <c r="AZ589" s="257"/>
      <c r="BA589" s="257"/>
      <c r="BB589" s="257"/>
      <c r="BC589" s="257"/>
      <c r="BD589" s="257"/>
      <c r="BE589" s="257"/>
      <c r="BF589" s="257"/>
      <c r="BG589" s="257"/>
      <c r="BH589" s="257"/>
      <c r="BI589" s="257"/>
      <c r="BJ589" s="257"/>
    </row>
    <row r="590" spans="2:62" ht="15.75" customHeight="1">
      <c r="B590" s="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  <c r="AJ590" s="257"/>
      <c r="AK590" s="257"/>
      <c r="AL590" s="257"/>
      <c r="AM590" s="257"/>
      <c r="AN590" s="257"/>
      <c r="AO590" s="257"/>
      <c r="AP590" s="257"/>
      <c r="AQ590" s="257"/>
      <c r="AR590" s="257"/>
      <c r="AS590" s="257"/>
      <c r="AT590" s="257"/>
      <c r="AU590" s="257"/>
      <c r="AV590" s="257"/>
      <c r="AW590" s="257"/>
      <c r="AX590" s="257"/>
      <c r="AY590" s="257"/>
      <c r="AZ590" s="257"/>
      <c r="BA590" s="257"/>
      <c r="BB590" s="257"/>
      <c r="BC590" s="257"/>
      <c r="BD590" s="257"/>
      <c r="BE590" s="257"/>
      <c r="BF590" s="257"/>
      <c r="BG590" s="257"/>
      <c r="BH590" s="257"/>
      <c r="BI590" s="257"/>
      <c r="BJ590" s="257"/>
    </row>
    <row r="591" spans="2:62" ht="15.75" customHeight="1">
      <c r="B591" s="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  <c r="AJ591" s="257"/>
      <c r="AK591" s="257"/>
      <c r="AL591" s="257"/>
      <c r="AM591" s="257"/>
      <c r="AN591" s="257"/>
      <c r="AO591" s="257"/>
      <c r="AP591" s="257"/>
      <c r="AQ591" s="257"/>
      <c r="AR591" s="257"/>
      <c r="AS591" s="257"/>
      <c r="AT591" s="257"/>
      <c r="AU591" s="257"/>
      <c r="AV591" s="257"/>
      <c r="AW591" s="257"/>
      <c r="AX591" s="257"/>
      <c r="AY591" s="257"/>
      <c r="AZ591" s="257"/>
      <c r="BA591" s="257"/>
      <c r="BB591" s="257"/>
      <c r="BC591" s="257"/>
      <c r="BD591" s="257"/>
      <c r="BE591" s="257"/>
      <c r="BF591" s="257"/>
      <c r="BG591" s="257"/>
      <c r="BH591" s="257"/>
      <c r="BI591" s="257"/>
      <c r="BJ591" s="257"/>
    </row>
    <row r="592" spans="2:62" ht="15.75" customHeight="1">
      <c r="B592" s="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  <c r="AJ592" s="257"/>
      <c r="AK592" s="257"/>
      <c r="AL592" s="257"/>
      <c r="AM592" s="257"/>
      <c r="AN592" s="257"/>
      <c r="AO592" s="257"/>
      <c r="AP592" s="257"/>
      <c r="AQ592" s="257"/>
      <c r="AR592" s="257"/>
      <c r="AS592" s="257"/>
      <c r="AT592" s="257"/>
      <c r="AU592" s="257"/>
      <c r="AV592" s="257"/>
      <c r="AW592" s="257"/>
      <c r="AX592" s="257"/>
      <c r="AY592" s="257"/>
      <c r="AZ592" s="257"/>
      <c r="BA592" s="257"/>
      <c r="BB592" s="257"/>
      <c r="BC592" s="257"/>
      <c r="BD592" s="257"/>
      <c r="BE592" s="257"/>
      <c r="BF592" s="257"/>
      <c r="BG592" s="257"/>
      <c r="BH592" s="257"/>
      <c r="BI592" s="257"/>
      <c r="BJ592" s="257"/>
    </row>
    <row r="593" spans="2:62" ht="15.75" customHeight="1">
      <c r="B593" s="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  <c r="AJ593" s="257"/>
      <c r="AK593" s="257"/>
      <c r="AL593" s="257"/>
      <c r="AM593" s="257"/>
      <c r="AN593" s="257"/>
      <c r="AO593" s="257"/>
      <c r="AP593" s="257"/>
      <c r="AQ593" s="257"/>
      <c r="AR593" s="257"/>
      <c r="AS593" s="257"/>
      <c r="AT593" s="257"/>
      <c r="AU593" s="257"/>
      <c r="AV593" s="257"/>
      <c r="AW593" s="257"/>
      <c r="AX593" s="257"/>
      <c r="AY593" s="257"/>
      <c r="AZ593" s="257"/>
      <c r="BA593" s="257"/>
      <c r="BB593" s="257"/>
      <c r="BC593" s="257"/>
      <c r="BD593" s="257"/>
      <c r="BE593" s="257"/>
      <c r="BF593" s="257"/>
      <c r="BG593" s="257"/>
      <c r="BH593" s="257"/>
      <c r="BI593" s="257"/>
      <c r="BJ593" s="257"/>
    </row>
    <row r="594" spans="2:62" ht="15.75" customHeight="1">
      <c r="B594" s="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  <c r="AJ594" s="257"/>
      <c r="AK594" s="257"/>
      <c r="AL594" s="257"/>
      <c r="AM594" s="257"/>
      <c r="AN594" s="257"/>
      <c r="AO594" s="257"/>
      <c r="AP594" s="257"/>
      <c r="AQ594" s="257"/>
      <c r="AR594" s="257"/>
      <c r="AS594" s="257"/>
      <c r="AT594" s="257"/>
      <c r="AU594" s="257"/>
      <c r="AV594" s="257"/>
      <c r="AW594" s="257"/>
      <c r="AX594" s="257"/>
      <c r="AY594" s="257"/>
      <c r="AZ594" s="257"/>
      <c r="BA594" s="257"/>
      <c r="BB594" s="257"/>
      <c r="BC594" s="257"/>
      <c r="BD594" s="257"/>
      <c r="BE594" s="257"/>
      <c r="BF594" s="257"/>
      <c r="BG594" s="257"/>
      <c r="BH594" s="257"/>
      <c r="BI594" s="257"/>
      <c r="BJ594" s="257"/>
    </row>
    <row r="595" spans="2:62" ht="15.75" customHeight="1">
      <c r="B595" s="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  <c r="AJ595" s="257"/>
      <c r="AK595" s="257"/>
      <c r="AL595" s="257"/>
      <c r="AM595" s="257"/>
      <c r="AN595" s="257"/>
      <c r="AO595" s="257"/>
      <c r="AP595" s="257"/>
      <c r="AQ595" s="257"/>
      <c r="AR595" s="257"/>
      <c r="AS595" s="257"/>
      <c r="AT595" s="257"/>
      <c r="AU595" s="257"/>
      <c r="AV595" s="257"/>
      <c r="AW595" s="257"/>
      <c r="AX595" s="257"/>
      <c r="AY595" s="257"/>
      <c r="AZ595" s="257"/>
      <c r="BA595" s="257"/>
      <c r="BB595" s="257"/>
      <c r="BC595" s="257"/>
      <c r="BD595" s="257"/>
      <c r="BE595" s="257"/>
      <c r="BF595" s="257"/>
      <c r="BG595" s="257"/>
      <c r="BH595" s="257"/>
      <c r="BI595" s="257"/>
      <c r="BJ595" s="257"/>
    </row>
    <row r="596" spans="2:62" ht="15.75" customHeight="1">
      <c r="B596" s="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  <c r="AJ596" s="257"/>
      <c r="AK596" s="257"/>
      <c r="AL596" s="257"/>
      <c r="AM596" s="257"/>
      <c r="AN596" s="257"/>
      <c r="AO596" s="257"/>
      <c r="AP596" s="257"/>
      <c r="AQ596" s="257"/>
      <c r="AR596" s="257"/>
      <c r="AS596" s="257"/>
      <c r="AT596" s="257"/>
      <c r="AU596" s="257"/>
      <c r="AV596" s="257"/>
      <c r="AW596" s="257"/>
      <c r="AX596" s="257"/>
      <c r="AY596" s="257"/>
      <c r="AZ596" s="257"/>
      <c r="BA596" s="257"/>
      <c r="BB596" s="257"/>
      <c r="BC596" s="257"/>
      <c r="BD596" s="257"/>
      <c r="BE596" s="257"/>
      <c r="BF596" s="257"/>
      <c r="BG596" s="257"/>
      <c r="BH596" s="257"/>
      <c r="BI596" s="257"/>
      <c r="BJ596" s="257"/>
    </row>
    <row r="597" spans="2:62" ht="15.75" customHeight="1">
      <c r="B597" s="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  <c r="AJ597" s="257"/>
      <c r="AK597" s="257"/>
      <c r="AL597" s="257"/>
      <c r="AM597" s="257"/>
      <c r="AN597" s="257"/>
      <c r="AO597" s="257"/>
      <c r="AP597" s="257"/>
      <c r="AQ597" s="257"/>
      <c r="AR597" s="257"/>
      <c r="AS597" s="257"/>
      <c r="AT597" s="257"/>
      <c r="AU597" s="257"/>
      <c r="AV597" s="257"/>
      <c r="AW597" s="257"/>
      <c r="AX597" s="257"/>
      <c r="AY597" s="257"/>
      <c r="AZ597" s="257"/>
      <c r="BA597" s="257"/>
      <c r="BB597" s="257"/>
      <c r="BC597" s="257"/>
      <c r="BD597" s="257"/>
      <c r="BE597" s="257"/>
      <c r="BF597" s="257"/>
      <c r="BG597" s="257"/>
      <c r="BH597" s="257"/>
      <c r="BI597" s="257"/>
      <c r="BJ597" s="257"/>
    </row>
    <row r="598" spans="2:62" ht="15.75" customHeight="1">
      <c r="B598" s="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  <c r="AJ598" s="257"/>
      <c r="AK598" s="257"/>
      <c r="AL598" s="257"/>
      <c r="AM598" s="257"/>
      <c r="AN598" s="257"/>
      <c r="AO598" s="257"/>
      <c r="AP598" s="257"/>
      <c r="AQ598" s="257"/>
      <c r="AR598" s="257"/>
      <c r="AS598" s="257"/>
      <c r="AT598" s="257"/>
      <c r="AU598" s="257"/>
      <c r="AV598" s="257"/>
      <c r="AW598" s="257"/>
      <c r="AX598" s="257"/>
      <c r="AY598" s="257"/>
      <c r="AZ598" s="257"/>
      <c r="BA598" s="257"/>
      <c r="BB598" s="257"/>
      <c r="BC598" s="257"/>
      <c r="BD598" s="257"/>
      <c r="BE598" s="257"/>
      <c r="BF598" s="257"/>
      <c r="BG598" s="257"/>
      <c r="BH598" s="257"/>
      <c r="BI598" s="257"/>
      <c r="BJ598" s="257"/>
    </row>
    <row r="599" spans="2:62" ht="15.75" customHeight="1">
      <c r="B599" s="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  <c r="AJ599" s="257"/>
      <c r="AK599" s="257"/>
      <c r="AL599" s="257"/>
      <c r="AM599" s="257"/>
      <c r="AN599" s="257"/>
      <c r="AO599" s="257"/>
      <c r="AP599" s="257"/>
      <c r="AQ599" s="257"/>
      <c r="AR599" s="257"/>
      <c r="AS599" s="257"/>
      <c r="AT599" s="257"/>
      <c r="AU599" s="257"/>
      <c r="AV599" s="257"/>
      <c r="AW599" s="257"/>
      <c r="AX599" s="257"/>
      <c r="AY599" s="257"/>
      <c r="AZ599" s="257"/>
      <c r="BA599" s="257"/>
      <c r="BB599" s="257"/>
      <c r="BC599" s="257"/>
      <c r="BD599" s="257"/>
      <c r="BE599" s="257"/>
      <c r="BF599" s="257"/>
      <c r="BG599" s="257"/>
      <c r="BH599" s="257"/>
      <c r="BI599" s="257"/>
      <c r="BJ599" s="257"/>
    </row>
    <row r="600" spans="2:62" ht="15.75" customHeight="1">
      <c r="B600" s="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  <c r="AJ600" s="257"/>
      <c r="AK600" s="257"/>
      <c r="AL600" s="257"/>
      <c r="AM600" s="257"/>
      <c r="AN600" s="257"/>
      <c r="AO600" s="257"/>
      <c r="AP600" s="257"/>
      <c r="AQ600" s="257"/>
      <c r="AR600" s="257"/>
      <c r="AS600" s="257"/>
      <c r="AT600" s="257"/>
      <c r="AU600" s="257"/>
      <c r="AV600" s="257"/>
      <c r="AW600" s="257"/>
      <c r="AX600" s="257"/>
      <c r="AY600" s="257"/>
      <c r="AZ600" s="257"/>
      <c r="BA600" s="257"/>
      <c r="BB600" s="257"/>
      <c r="BC600" s="257"/>
      <c r="BD600" s="257"/>
      <c r="BE600" s="257"/>
      <c r="BF600" s="257"/>
      <c r="BG600" s="257"/>
      <c r="BH600" s="257"/>
      <c r="BI600" s="257"/>
      <c r="BJ600" s="257"/>
    </row>
    <row r="601" spans="2:62" ht="15.75" customHeight="1">
      <c r="B601" s="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  <c r="AJ601" s="257"/>
      <c r="AK601" s="257"/>
      <c r="AL601" s="257"/>
      <c r="AM601" s="257"/>
      <c r="AN601" s="257"/>
      <c r="AO601" s="257"/>
      <c r="AP601" s="257"/>
      <c r="AQ601" s="257"/>
      <c r="AR601" s="257"/>
      <c r="AS601" s="257"/>
      <c r="AT601" s="257"/>
      <c r="AU601" s="257"/>
      <c r="AV601" s="257"/>
      <c r="AW601" s="257"/>
      <c r="AX601" s="257"/>
      <c r="AY601" s="257"/>
      <c r="AZ601" s="257"/>
      <c r="BA601" s="257"/>
      <c r="BB601" s="257"/>
      <c r="BC601" s="257"/>
      <c r="BD601" s="257"/>
      <c r="BE601" s="257"/>
      <c r="BF601" s="257"/>
      <c r="BG601" s="257"/>
      <c r="BH601" s="257"/>
      <c r="BI601" s="257"/>
      <c r="BJ601" s="257"/>
    </row>
    <row r="602" spans="2:62" ht="15.75" customHeight="1">
      <c r="B602" s="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  <c r="AJ602" s="257"/>
      <c r="AK602" s="257"/>
      <c r="AL602" s="257"/>
      <c r="AM602" s="257"/>
      <c r="AN602" s="257"/>
      <c r="AO602" s="257"/>
      <c r="AP602" s="257"/>
      <c r="AQ602" s="257"/>
      <c r="AR602" s="257"/>
      <c r="AS602" s="257"/>
      <c r="AT602" s="257"/>
      <c r="AU602" s="257"/>
      <c r="AV602" s="257"/>
      <c r="AW602" s="257"/>
      <c r="AX602" s="257"/>
      <c r="AY602" s="257"/>
      <c r="AZ602" s="257"/>
      <c r="BA602" s="257"/>
      <c r="BB602" s="257"/>
      <c r="BC602" s="257"/>
      <c r="BD602" s="257"/>
      <c r="BE602" s="257"/>
      <c r="BF602" s="257"/>
      <c r="BG602" s="257"/>
      <c r="BH602" s="257"/>
      <c r="BI602" s="257"/>
      <c r="BJ602" s="257"/>
    </row>
    <row r="603" spans="2:62" ht="15.75" customHeight="1">
      <c r="B603" s="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  <c r="AJ603" s="257"/>
      <c r="AK603" s="257"/>
      <c r="AL603" s="257"/>
      <c r="AM603" s="257"/>
      <c r="AN603" s="257"/>
      <c r="AO603" s="257"/>
      <c r="AP603" s="257"/>
      <c r="AQ603" s="257"/>
      <c r="AR603" s="257"/>
      <c r="AS603" s="257"/>
      <c r="AT603" s="257"/>
      <c r="AU603" s="257"/>
      <c r="AV603" s="257"/>
      <c r="AW603" s="257"/>
      <c r="AX603" s="257"/>
      <c r="AY603" s="257"/>
      <c r="AZ603" s="257"/>
      <c r="BA603" s="257"/>
      <c r="BB603" s="257"/>
      <c r="BC603" s="257"/>
      <c r="BD603" s="257"/>
      <c r="BE603" s="257"/>
      <c r="BF603" s="257"/>
      <c r="BG603" s="257"/>
      <c r="BH603" s="257"/>
      <c r="BI603" s="257"/>
      <c r="BJ603" s="257"/>
    </row>
    <row r="604" spans="2:62" ht="15.75" customHeight="1">
      <c r="B604" s="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  <c r="AJ604" s="257"/>
      <c r="AK604" s="257"/>
      <c r="AL604" s="257"/>
      <c r="AM604" s="257"/>
      <c r="AN604" s="257"/>
      <c r="AO604" s="257"/>
      <c r="AP604" s="257"/>
      <c r="AQ604" s="257"/>
      <c r="AR604" s="257"/>
      <c r="AS604" s="257"/>
      <c r="AT604" s="257"/>
      <c r="AU604" s="257"/>
      <c r="AV604" s="257"/>
      <c r="AW604" s="257"/>
      <c r="AX604" s="257"/>
      <c r="AY604" s="257"/>
      <c r="AZ604" s="257"/>
      <c r="BA604" s="257"/>
      <c r="BB604" s="257"/>
      <c r="BC604" s="257"/>
      <c r="BD604" s="257"/>
      <c r="BE604" s="257"/>
      <c r="BF604" s="257"/>
      <c r="BG604" s="257"/>
      <c r="BH604" s="257"/>
      <c r="BI604" s="257"/>
      <c r="BJ604" s="257"/>
    </row>
    <row r="605" spans="2:62" ht="15.75" customHeight="1">
      <c r="B605" s="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  <c r="AJ605" s="257"/>
      <c r="AK605" s="257"/>
      <c r="AL605" s="257"/>
      <c r="AM605" s="257"/>
      <c r="AN605" s="257"/>
      <c r="AO605" s="257"/>
      <c r="AP605" s="257"/>
      <c r="AQ605" s="257"/>
      <c r="AR605" s="257"/>
      <c r="AS605" s="257"/>
      <c r="AT605" s="257"/>
      <c r="AU605" s="257"/>
      <c r="AV605" s="257"/>
      <c r="AW605" s="257"/>
      <c r="AX605" s="257"/>
      <c r="AY605" s="257"/>
      <c r="AZ605" s="257"/>
      <c r="BA605" s="257"/>
      <c r="BB605" s="257"/>
      <c r="BC605" s="257"/>
      <c r="BD605" s="257"/>
      <c r="BE605" s="257"/>
      <c r="BF605" s="257"/>
      <c r="BG605" s="257"/>
      <c r="BH605" s="257"/>
      <c r="BI605" s="257"/>
      <c r="BJ605" s="257"/>
    </row>
    <row r="606" spans="2:62" ht="15.75" customHeight="1">
      <c r="B606" s="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  <c r="AJ606" s="257"/>
      <c r="AK606" s="257"/>
      <c r="AL606" s="257"/>
      <c r="AM606" s="257"/>
      <c r="AN606" s="257"/>
      <c r="AO606" s="257"/>
      <c r="AP606" s="257"/>
      <c r="AQ606" s="257"/>
      <c r="AR606" s="257"/>
      <c r="AS606" s="257"/>
      <c r="AT606" s="257"/>
      <c r="AU606" s="257"/>
      <c r="AV606" s="257"/>
      <c r="AW606" s="257"/>
      <c r="AX606" s="257"/>
      <c r="AY606" s="257"/>
      <c r="AZ606" s="257"/>
      <c r="BA606" s="257"/>
      <c r="BB606" s="257"/>
      <c r="BC606" s="257"/>
      <c r="BD606" s="257"/>
      <c r="BE606" s="257"/>
      <c r="BF606" s="257"/>
      <c r="BG606" s="257"/>
      <c r="BH606" s="257"/>
      <c r="BI606" s="257"/>
      <c r="BJ606" s="257"/>
    </row>
    <row r="607" spans="2:62" ht="15.75" customHeight="1">
      <c r="B607" s="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  <c r="AJ607" s="257"/>
      <c r="AK607" s="257"/>
      <c r="AL607" s="257"/>
      <c r="AM607" s="257"/>
      <c r="AN607" s="257"/>
      <c r="AO607" s="257"/>
      <c r="AP607" s="257"/>
      <c r="AQ607" s="257"/>
      <c r="AR607" s="257"/>
      <c r="AS607" s="257"/>
      <c r="AT607" s="257"/>
      <c r="AU607" s="257"/>
      <c r="AV607" s="257"/>
      <c r="AW607" s="257"/>
      <c r="AX607" s="257"/>
      <c r="AY607" s="257"/>
      <c r="AZ607" s="257"/>
      <c r="BA607" s="257"/>
      <c r="BB607" s="257"/>
      <c r="BC607" s="257"/>
      <c r="BD607" s="257"/>
      <c r="BE607" s="257"/>
      <c r="BF607" s="257"/>
      <c r="BG607" s="257"/>
      <c r="BH607" s="257"/>
      <c r="BI607" s="257"/>
      <c r="BJ607" s="257"/>
    </row>
    <row r="608" spans="2:62" ht="15.75" customHeight="1">
      <c r="B608" s="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  <c r="AJ608" s="257"/>
      <c r="AK608" s="257"/>
      <c r="AL608" s="257"/>
      <c r="AM608" s="257"/>
      <c r="AN608" s="257"/>
      <c r="AO608" s="257"/>
      <c r="AP608" s="257"/>
      <c r="AQ608" s="257"/>
      <c r="AR608" s="257"/>
      <c r="AS608" s="257"/>
      <c r="AT608" s="257"/>
      <c r="AU608" s="257"/>
      <c r="AV608" s="257"/>
      <c r="AW608" s="257"/>
      <c r="AX608" s="257"/>
      <c r="AY608" s="257"/>
      <c r="AZ608" s="257"/>
      <c r="BA608" s="257"/>
      <c r="BB608" s="257"/>
      <c r="BC608" s="257"/>
      <c r="BD608" s="257"/>
      <c r="BE608" s="257"/>
      <c r="BF608" s="257"/>
      <c r="BG608" s="257"/>
      <c r="BH608" s="257"/>
      <c r="BI608" s="257"/>
      <c r="BJ608" s="257"/>
    </row>
    <row r="609" spans="2:62" ht="15.75" customHeight="1">
      <c r="B609" s="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  <c r="AJ609" s="257"/>
      <c r="AK609" s="257"/>
      <c r="AL609" s="257"/>
      <c r="AM609" s="257"/>
      <c r="AN609" s="257"/>
      <c r="AO609" s="257"/>
      <c r="AP609" s="257"/>
      <c r="AQ609" s="257"/>
      <c r="AR609" s="257"/>
      <c r="AS609" s="257"/>
      <c r="AT609" s="257"/>
      <c r="AU609" s="257"/>
      <c r="AV609" s="257"/>
      <c r="AW609" s="257"/>
      <c r="AX609" s="257"/>
      <c r="AY609" s="257"/>
      <c r="AZ609" s="257"/>
      <c r="BA609" s="257"/>
      <c r="BB609" s="257"/>
      <c r="BC609" s="257"/>
      <c r="BD609" s="257"/>
      <c r="BE609" s="257"/>
      <c r="BF609" s="257"/>
      <c r="BG609" s="257"/>
      <c r="BH609" s="257"/>
      <c r="BI609" s="257"/>
      <c r="BJ609" s="257"/>
    </row>
    <row r="610" spans="2:62" ht="15.75" customHeight="1">
      <c r="B610" s="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  <c r="AJ610" s="257"/>
      <c r="AK610" s="257"/>
      <c r="AL610" s="257"/>
      <c r="AM610" s="257"/>
      <c r="AN610" s="257"/>
      <c r="AO610" s="257"/>
      <c r="AP610" s="257"/>
      <c r="AQ610" s="257"/>
      <c r="AR610" s="257"/>
      <c r="AS610" s="257"/>
      <c r="AT610" s="257"/>
      <c r="AU610" s="257"/>
      <c r="AV610" s="257"/>
      <c r="AW610" s="257"/>
      <c r="AX610" s="257"/>
      <c r="AY610" s="257"/>
      <c r="AZ610" s="257"/>
      <c r="BA610" s="257"/>
      <c r="BB610" s="257"/>
      <c r="BC610" s="257"/>
      <c r="BD610" s="257"/>
      <c r="BE610" s="257"/>
      <c r="BF610" s="257"/>
      <c r="BG610" s="257"/>
      <c r="BH610" s="257"/>
      <c r="BI610" s="257"/>
      <c r="BJ610" s="257"/>
    </row>
    <row r="611" spans="2:62" ht="15.75" customHeight="1">
      <c r="B611" s="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  <c r="AJ611" s="257"/>
      <c r="AK611" s="257"/>
      <c r="AL611" s="257"/>
      <c r="AM611" s="257"/>
      <c r="AN611" s="257"/>
      <c r="AO611" s="257"/>
      <c r="AP611" s="257"/>
      <c r="AQ611" s="257"/>
      <c r="AR611" s="257"/>
      <c r="AS611" s="257"/>
      <c r="AT611" s="257"/>
      <c r="AU611" s="257"/>
      <c r="AV611" s="257"/>
      <c r="AW611" s="257"/>
      <c r="AX611" s="257"/>
      <c r="AY611" s="257"/>
      <c r="AZ611" s="257"/>
      <c r="BA611" s="257"/>
      <c r="BB611" s="257"/>
      <c r="BC611" s="257"/>
      <c r="BD611" s="257"/>
      <c r="BE611" s="257"/>
      <c r="BF611" s="257"/>
      <c r="BG611" s="257"/>
      <c r="BH611" s="257"/>
      <c r="BI611" s="257"/>
      <c r="BJ611" s="257"/>
    </row>
    <row r="612" spans="2:62" ht="15.75" customHeight="1">
      <c r="B612" s="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  <c r="AJ612" s="257"/>
      <c r="AK612" s="257"/>
      <c r="AL612" s="257"/>
      <c r="AM612" s="257"/>
      <c r="AN612" s="257"/>
      <c r="AO612" s="257"/>
      <c r="AP612" s="257"/>
      <c r="AQ612" s="257"/>
      <c r="AR612" s="257"/>
      <c r="AS612" s="257"/>
      <c r="AT612" s="257"/>
      <c r="AU612" s="257"/>
      <c r="AV612" s="257"/>
      <c r="AW612" s="257"/>
      <c r="AX612" s="257"/>
      <c r="AY612" s="257"/>
      <c r="AZ612" s="257"/>
      <c r="BA612" s="257"/>
      <c r="BB612" s="257"/>
      <c r="BC612" s="257"/>
      <c r="BD612" s="257"/>
      <c r="BE612" s="257"/>
      <c r="BF612" s="257"/>
      <c r="BG612" s="257"/>
      <c r="BH612" s="257"/>
      <c r="BI612" s="257"/>
      <c r="BJ612" s="257"/>
    </row>
    <row r="613" spans="2:62" ht="15.75" customHeight="1">
      <c r="B613" s="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  <c r="AJ613" s="257"/>
      <c r="AK613" s="257"/>
      <c r="AL613" s="257"/>
      <c r="AM613" s="257"/>
      <c r="AN613" s="257"/>
      <c r="AO613" s="257"/>
      <c r="AP613" s="257"/>
      <c r="AQ613" s="257"/>
      <c r="AR613" s="257"/>
      <c r="AS613" s="257"/>
      <c r="AT613" s="257"/>
      <c r="AU613" s="257"/>
      <c r="AV613" s="257"/>
      <c r="AW613" s="257"/>
      <c r="AX613" s="257"/>
      <c r="AY613" s="257"/>
      <c r="AZ613" s="257"/>
      <c r="BA613" s="257"/>
      <c r="BB613" s="257"/>
      <c r="BC613" s="257"/>
      <c r="BD613" s="257"/>
      <c r="BE613" s="257"/>
      <c r="BF613" s="257"/>
      <c r="BG613" s="257"/>
      <c r="BH613" s="257"/>
      <c r="BI613" s="257"/>
      <c r="BJ613" s="257"/>
    </row>
    <row r="614" spans="2:62" ht="15.75" customHeight="1">
      <c r="B614" s="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  <c r="AJ614" s="257"/>
      <c r="AK614" s="257"/>
      <c r="AL614" s="257"/>
      <c r="AM614" s="257"/>
      <c r="AN614" s="257"/>
      <c r="AO614" s="257"/>
      <c r="AP614" s="257"/>
      <c r="AQ614" s="257"/>
      <c r="AR614" s="257"/>
      <c r="AS614" s="257"/>
      <c r="AT614" s="257"/>
      <c r="AU614" s="257"/>
      <c r="AV614" s="257"/>
      <c r="AW614" s="257"/>
      <c r="AX614" s="257"/>
      <c r="AY614" s="257"/>
      <c r="AZ614" s="257"/>
      <c r="BA614" s="257"/>
      <c r="BB614" s="257"/>
      <c r="BC614" s="257"/>
      <c r="BD614" s="257"/>
      <c r="BE614" s="257"/>
      <c r="BF614" s="257"/>
      <c r="BG614" s="257"/>
      <c r="BH614" s="257"/>
      <c r="BI614" s="257"/>
      <c r="BJ614" s="257"/>
    </row>
    <row r="615" spans="2:62" ht="15.75" customHeight="1">
      <c r="B615" s="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  <c r="AJ615" s="257"/>
      <c r="AK615" s="257"/>
      <c r="AL615" s="257"/>
      <c r="AM615" s="257"/>
      <c r="AN615" s="257"/>
      <c r="AO615" s="257"/>
      <c r="AP615" s="257"/>
      <c r="AQ615" s="257"/>
      <c r="AR615" s="257"/>
      <c r="AS615" s="257"/>
      <c r="AT615" s="257"/>
      <c r="AU615" s="257"/>
      <c r="AV615" s="257"/>
      <c r="AW615" s="257"/>
      <c r="AX615" s="257"/>
      <c r="AY615" s="257"/>
      <c r="AZ615" s="257"/>
      <c r="BA615" s="257"/>
      <c r="BB615" s="257"/>
      <c r="BC615" s="257"/>
      <c r="BD615" s="257"/>
      <c r="BE615" s="257"/>
      <c r="BF615" s="257"/>
      <c r="BG615" s="257"/>
      <c r="BH615" s="257"/>
      <c r="BI615" s="257"/>
      <c r="BJ615" s="257"/>
    </row>
    <row r="616" spans="2:62" ht="15.75" customHeight="1">
      <c r="B616" s="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  <c r="AJ616" s="257"/>
      <c r="AK616" s="257"/>
      <c r="AL616" s="257"/>
      <c r="AM616" s="257"/>
      <c r="AN616" s="257"/>
      <c r="AO616" s="257"/>
      <c r="AP616" s="257"/>
      <c r="AQ616" s="257"/>
      <c r="AR616" s="257"/>
      <c r="AS616" s="257"/>
      <c r="AT616" s="257"/>
      <c r="AU616" s="257"/>
      <c r="AV616" s="257"/>
      <c r="AW616" s="257"/>
      <c r="AX616" s="257"/>
      <c r="AY616" s="257"/>
      <c r="AZ616" s="257"/>
      <c r="BA616" s="257"/>
      <c r="BB616" s="257"/>
      <c r="BC616" s="257"/>
      <c r="BD616" s="257"/>
      <c r="BE616" s="257"/>
      <c r="BF616" s="257"/>
      <c r="BG616" s="257"/>
      <c r="BH616" s="257"/>
      <c r="BI616" s="257"/>
      <c r="BJ616" s="257"/>
    </row>
    <row r="617" spans="2:62" ht="15.75" customHeight="1">
      <c r="B617" s="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  <c r="AJ617" s="257"/>
      <c r="AK617" s="257"/>
      <c r="AL617" s="257"/>
      <c r="AM617" s="257"/>
      <c r="AN617" s="257"/>
      <c r="AO617" s="257"/>
      <c r="AP617" s="257"/>
      <c r="AQ617" s="257"/>
      <c r="AR617" s="257"/>
      <c r="AS617" s="257"/>
      <c r="AT617" s="257"/>
      <c r="AU617" s="257"/>
      <c r="AV617" s="257"/>
      <c r="AW617" s="257"/>
      <c r="AX617" s="257"/>
      <c r="AY617" s="257"/>
      <c r="AZ617" s="257"/>
      <c r="BA617" s="257"/>
      <c r="BB617" s="257"/>
      <c r="BC617" s="257"/>
      <c r="BD617" s="257"/>
      <c r="BE617" s="257"/>
      <c r="BF617" s="257"/>
      <c r="BG617" s="257"/>
      <c r="BH617" s="257"/>
      <c r="BI617" s="257"/>
      <c r="BJ617" s="257"/>
    </row>
    <row r="618" spans="2:62" ht="15.75" customHeight="1">
      <c r="B618" s="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  <c r="AJ618" s="257"/>
      <c r="AK618" s="257"/>
      <c r="AL618" s="257"/>
      <c r="AM618" s="257"/>
      <c r="AN618" s="257"/>
      <c r="AO618" s="257"/>
      <c r="AP618" s="257"/>
      <c r="AQ618" s="257"/>
      <c r="AR618" s="257"/>
      <c r="AS618" s="257"/>
      <c r="AT618" s="257"/>
      <c r="AU618" s="257"/>
      <c r="AV618" s="257"/>
      <c r="AW618" s="257"/>
      <c r="AX618" s="257"/>
      <c r="AY618" s="257"/>
      <c r="AZ618" s="257"/>
      <c r="BA618" s="257"/>
      <c r="BB618" s="257"/>
      <c r="BC618" s="257"/>
      <c r="BD618" s="257"/>
      <c r="BE618" s="257"/>
      <c r="BF618" s="257"/>
      <c r="BG618" s="257"/>
      <c r="BH618" s="257"/>
      <c r="BI618" s="257"/>
      <c r="BJ618" s="257"/>
    </row>
    <row r="619" spans="2:62" ht="15.75" customHeight="1">
      <c r="B619" s="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  <c r="AJ619" s="257"/>
      <c r="AK619" s="257"/>
      <c r="AL619" s="257"/>
      <c r="AM619" s="257"/>
      <c r="AN619" s="257"/>
      <c r="AO619" s="257"/>
      <c r="AP619" s="257"/>
      <c r="AQ619" s="257"/>
      <c r="AR619" s="257"/>
      <c r="AS619" s="257"/>
      <c r="AT619" s="257"/>
      <c r="AU619" s="257"/>
      <c r="AV619" s="257"/>
      <c r="AW619" s="257"/>
      <c r="AX619" s="257"/>
      <c r="AY619" s="257"/>
      <c r="AZ619" s="257"/>
      <c r="BA619" s="257"/>
      <c r="BB619" s="257"/>
      <c r="BC619" s="257"/>
      <c r="BD619" s="257"/>
      <c r="BE619" s="257"/>
      <c r="BF619" s="257"/>
      <c r="BG619" s="257"/>
      <c r="BH619" s="257"/>
      <c r="BI619" s="257"/>
      <c r="BJ619" s="257"/>
    </row>
    <row r="620" spans="2:62" ht="15.75" customHeight="1">
      <c r="B620" s="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  <c r="AJ620" s="257"/>
      <c r="AK620" s="257"/>
      <c r="AL620" s="257"/>
      <c r="AM620" s="257"/>
      <c r="AN620" s="257"/>
      <c r="AO620" s="257"/>
      <c r="AP620" s="257"/>
      <c r="AQ620" s="257"/>
      <c r="AR620" s="257"/>
      <c r="AS620" s="257"/>
      <c r="AT620" s="257"/>
      <c r="AU620" s="257"/>
      <c r="AV620" s="257"/>
      <c r="AW620" s="257"/>
      <c r="AX620" s="257"/>
      <c r="AY620" s="257"/>
      <c r="AZ620" s="257"/>
      <c r="BA620" s="257"/>
      <c r="BB620" s="257"/>
      <c r="BC620" s="257"/>
      <c r="BD620" s="257"/>
      <c r="BE620" s="257"/>
      <c r="BF620" s="257"/>
      <c r="BG620" s="257"/>
      <c r="BH620" s="257"/>
      <c r="BI620" s="257"/>
      <c r="BJ620" s="257"/>
    </row>
    <row r="621" spans="2:62" ht="15.75" customHeight="1">
      <c r="B621" s="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  <c r="AJ621" s="257"/>
      <c r="AK621" s="257"/>
      <c r="AL621" s="257"/>
      <c r="AM621" s="257"/>
      <c r="AN621" s="257"/>
      <c r="AO621" s="257"/>
      <c r="AP621" s="257"/>
      <c r="AQ621" s="257"/>
      <c r="AR621" s="257"/>
      <c r="AS621" s="257"/>
      <c r="AT621" s="257"/>
      <c r="AU621" s="257"/>
      <c r="AV621" s="257"/>
      <c r="AW621" s="257"/>
      <c r="AX621" s="257"/>
      <c r="AY621" s="257"/>
      <c r="AZ621" s="257"/>
      <c r="BA621" s="257"/>
      <c r="BB621" s="257"/>
      <c r="BC621" s="257"/>
      <c r="BD621" s="257"/>
      <c r="BE621" s="257"/>
      <c r="BF621" s="257"/>
      <c r="BG621" s="257"/>
      <c r="BH621" s="257"/>
      <c r="BI621" s="257"/>
      <c r="BJ621" s="257"/>
    </row>
    <row r="622" spans="2:62" ht="15.75" customHeight="1">
      <c r="B622" s="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  <c r="AJ622" s="257"/>
      <c r="AK622" s="257"/>
      <c r="AL622" s="257"/>
      <c r="AM622" s="257"/>
      <c r="AN622" s="257"/>
      <c r="AO622" s="257"/>
      <c r="AP622" s="257"/>
      <c r="AQ622" s="257"/>
      <c r="AR622" s="257"/>
      <c r="AS622" s="257"/>
      <c r="AT622" s="257"/>
      <c r="AU622" s="257"/>
      <c r="AV622" s="257"/>
      <c r="AW622" s="257"/>
      <c r="AX622" s="257"/>
      <c r="AY622" s="257"/>
      <c r="AZ622" s="257"/>
      <c r="BA622" s="257"/>
      <c r="BB622" s="257"/>
      <c r="BC622" s="257"/>
      <c r="BD622" s="257"/>
      <c r="BE622" s="257"/>
      <c r="BF622" s="257"/>
      <c r="BG622" s="257"/>
      <c r="BH622" s="257"/>
      <c r="BI622" s="257"/>
      <c r="BJ622" s="257"/>
    </row>
    <row r="623" spans="2:62" ht="15.75" customHeight="1">
      <c r="B623" s="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  <c r="AJ623" s="257"/>
      <c r="AK623" s="257"/>
      <c r="AL623" s="257"/>
      <c r="AM623" s="257"/>
      <c r="AN623" s="257"/>
      <c r="AO623" s="257"/>
      <c r="AP623" s="257"/>
      <c r="AQ623" s="257"/>
      <c r="AR623" s="257"/>
      <c r="AS623" s="257"/>
      <c r="AT623" s="257"/>
      <c r="AU623" s="257"/>
      <c r="AV623" s="257"/>
      <c r="AW623" s="257"/>
      <c r="AX623" s="257"/>
      <c r="AY623" s="257"/>
      <c r="AZ623" s="257"/>
      <c r="BA623" s="257"/>
      <c r="BB623" s="257"/>
      <c r="BC623" s="257"/>
      <c r="BD623" s="257"/>
      <c r="BE623" s="257"/>
      <c r="BF623" s="257"/>
      <c r="BG623" s="257"/>
      <c r="BH623" s="257"/>
      <c r="BI623" s="257"/>
      <c r="BJ623" s="257"/>
    </row>
    <row r="624" spans="2:62" ht="15.75" customHeight="1">
      <c r="B624" s="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  <c r="AJ624" s="257"/>
      <c r="AK624" s="257"/>
      <c r="AL624" s="257"/>
      <c r="AM624" s="257"/>
      <c r="AN624" s="257"/>
      <c r="AO624" s="257"/>
      <c r="AP624" s="257"/>
      <c r="AQ624" s="257"/>
      <c r="AR624" s="257"/>
      <c r="AS624" s="257"/>
      <c r="AT624" s="257"/>
      <c r="AU624" s="257"/>
      <c r="AV624" s="257"/>
      <c r="AW624" s="257"/>
      <c r="AX624" s="257"/>
      <c r="AY624" s="257"/>
      <c r="AZ624" s="257"/>
      <c r="BA624" s="257"/>
      <c r="BB624" s="257"/>
      <c r="BC624" s="257"/>
      <c r="BD624" s="257"/>
      <c r="BE624" s="257"/>
      <c r="BF624" s="257"/>
      <c r="BG624" s="257"/>
      <c r="BH624" s="257"/>
      <c r="BI624" s="257"/>
      <c r="BJ624" s="257"/>
    </row>
    <row r="625" spans="2:62" ht="15.75" customHeight="1">
      <c r="B625" s="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  <c r="AJ625" s="257"/>
      <c r="AK625" s="257"/>
      <c r="AL625" s="257"/>
      <c r="AM625" s="257"/>
      <c r="AN625" s="257"/>
      <c r="AO625" s="257"/>
      <c r="AP625" s="257"/>
      <c r="AQ625" s="257"/>
      <c r="AR625" s="257"/>
      <c r="AS625" s="257"/>
      <c r="AT625" s="257"/>
      <c r="AU625" s="257"/>
      <c r="AV625" s="257"/>
      <c r="AW625" s="257"/>
      <c r="AX625" s="257"/>
      <c r="AY625" s="257"/>
      <c r="AZ625" s="257"/>
      <c r="BA625" s="257"/>
      <c r="BB625" s="257"/>
      <c r="BC625" s="257"/>
      <c r="BD625" s="257"/>
      <c r="BE625" s="257"/>
      <c r="BF625" s="257"/>
      <c r="BG625" s="257"/>
      <c r="BH625" s="257"/>
      <c r="BI625" s="257"/>
      <c r="BJ625" s="257"/>
    </row>
    <row r="626" spans="2:62" ht="15.75" customHeight="1">
      <c r="B626" s="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  <c r="AJ626" s="257"/>
      <c r="AK626" s="257"/>
      <c r="AL626" s="257"/>
      <c r="AM626" s="257"/>
      <c r="AN626" s="257"/>
      <c r="AO626" s="257"/>
      <c r="AP626" s="257"/>
      <c r="AQ626" s="257"/>
      <c r="AR626" s="257"/>
      <c r="AS626" s="257"/>
      <c r="AT626" s="257"/>
      <c r="AU626" s="257"/>
      <c r="AV626" s="257"/>
      <c r="AW626" s="257"/>
      <c r="AX626" s="257"/>
      <c r="AY626" s="257"/>
      <c r="AZ626" s="257"/>
      <c r="BA626" s="257"/>
      <c r="BB626" s="257"/>
      <c r="BC626" s="257"/>
      <c r="BD626" s="257"/>
      <c r="BE626" s="257"/>
      <c r="BF626" s="257"/>
      <c r="BG626" s="257"/>
      <c r="BH626" s="257"/>
      <c r="BI626" s="257"/>
      <c r="BJ626" s="257"/>
    </row>
    <row r="627" spans="2:62" ht="15.75" customHeight="1">
      <c r="B627" s="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  <c r="AJ627" s="257"/>
      <c r="AK627" s="257"/>
      <c r="AL627" s="257"/>
      <c r="AM627" s="257"/>
      <c r="AN627" s="257"/>
      <c r="AO627" s="257"/>
      <c r="AP627" s="257"/>
      <c r="AQ627" s="257"/>
      <c r="AR627" s="257"/>
      <c r="AS627" s="257"/>
      <c r="AT627" s="257"/>
      <c r="AU627" s="257"/>
      <c r="AV627" s="257"/>
      <c r="AW627" s="257"/>
      <c r="AX627" s="257"/>
      <c r="AY627" s="257"/>
      <c r="AZ627" s="257"/>
      <c r="BA627" s="257"/>
      <c r="BB627" s="257"/>
      <c r="BC627" s="257"/>
      <c r="BD627" s="257"/>
      <c r="BE627" s="257"/>
      <c r="BF627" s="257"/>
      <c r="BG627" s="257"/>
      <c r="BH627" s="257"/>
      <c r="BI627" s="257"/>
      <c r="BJ627" s="257"/>
    </row>
    <row r="628" spans="2:62" ht="15.75" customHeight="1">
      <c r="B628" s="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  <c r="AJ628" s="257"/>
      <c r="AK628" s="257"/>
      <c r="AL628" s="257"/>
      <c r="AM628" s="257"/>
      <c r="AN628" s="257"/>
      <c r="AO628" s="257"/>
      <c r="AP628" s="257"/>
      <c r="AQ628" s="257"/>
      <c r="AR628" s="257"/>
      <c r="AS628" s="257"/>
      <c r="AT628" s="257"/>
      <c r="AU628" s="257"/>
      <c r="AV628" s="257"/>
      <c r="AW628" s="257"/>
      <c r="AX628" s="257"/>
      <c r="AY628" s="257"/>
      <c r="AZ628" s="257"/>
      <c r="BA628" s="257"/>
      <c r="BB628" s="257"/>
      <c r="BC628" s="257"/>
      <c r="BD628" s="257"/>
      <c r="BE628" s="257"/>
      <c r="BF628" s="257"/>
      <c r="BG628" s="257"/>
      <c r="BH628" s="257"/>
      <c r="BI628" s="257"/>
      <c r="BJ628" s="257"/>
    </row>
    <row r="629" spans="2:62" ht="15.75" customHeight="1">
      <c r="B629" s="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  <c r="AJ629" s="257"/>
      <c r="AK629" s="257"/>
      <c r="AL629" s="257"/>
      <c r="AM629" s="257"/>
      <c r="AN629" s="257"/>
      <c r="AO629" s="257"/>
      <c r="AP629" s="257"/>
      <c r="AQ629" s="257"/>
      <c r="AR629" s="257"/>
      <c r="AS629" s="257"/>
      <c r="AT629" s="257"/>
      <c r="AU629" s="257"/>
      <c r="AV629" s="257"/>
      <c r="AW629" s="257"/>
      <c r="AX629" s="257"/>
      <c r="AY629" s="257"/>
      <c r="AZ629" s="257"/>
      <c r="BA629" s="257"/>
      <c r="BB629" s="257"/>
      <c r="BC629" s="257"/>
      <c r="BD629" s="257"/>
      <c r="BE629" s="257"/>
      <c r="BF629" s="257"/>
      <c r="BG629" s="257"/>
      <c r="BH629" s="257"/>
      <c r="BI629" s="257"/>
      <c r="BJ629" s="257"/>
    </row>
    <row r="630" spans="2:62" ht="15.75" customHeight="1">
      <c r="B630" s="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  <c r="AJ630" s="257"/>
      <c r="AK630" s="257"/>
      <c r="AL630" s="257"/>
      <c r="AM630" s="257"/>
      <c r="AN630" s="257"/>
      <c r="AO630" s="257"/>
      <c r="AP630" s="257"/>
      <c r="AQ630" s="257"/>
      <c r="AR630" s="257"/>
      <c r="AS630" s="257"/>
      <c r="AT630" s="257"/>
      <c r="AU630" s="257"/>
      <c r="AV630" s="257"/>
      <c r="AW630" s="257"/>
      <c r="AX630" s="257"/>
      <c r="AY630" s="257"/>
      <c r="AZ630" s="257"/>
      <c r="BA630" s="257"/>
      <c r="BB630" s="257"/>
      <c r="BC630" s="257"/>
      <c r="BD630" s="257"/>
      <c r="BE630" s="257"/>
      <c r="BF630" s="257"/>
      <c r="BG630" s="257"/>
      <c r="BH630" s="257"/>
      <c r="BI630" s="257"/>
      <c r="BJ630" s="257"/>
    </row>
    <row r="631" spans="2:62" ht="15.75" customHeight="1">
      <c r="B631" s="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  <c r="AJ631" s="257"/>
      <c r="AK631" s="257"/>
      <c r="AL631" s="257"/>
      <c r="AM631" s="257"/>
      <c r="AN631" s="257"/>
      <c r="AO631" s="257"/>
      <c r="AP631" s="257"/>
      <c r="AQ631" s="257"/>
      <c r="AR631" s="257"/>
      <c r="AS631" s="257"/>
      <c r="AT631" s="257"/>
      <c r="AU631" s="257"/>
      <c r="AV631" s="257"/>
      <c r="AW631" s="257"/>
      <c r="AX631" s="257"/>
      <c r="AY631" s="257"/>
      <c r="AZ631" s="257"/>
      <c r="BA631" s="257"/>
      <c r="BB631" s="257"/>
      <c r="BC631" s="257"/>
      <c r="BD631" s="257"/>
      <c r="BE631" s="257"/>
      <c r="BF631" s="257"/>
      <c r="BG631" s="257"/>
      <c r="BH631" s="257"/>
      <c r="BI631" s="257"/>
      <c r="BJ631" s="257"/>
    </row>
    <row r="632" spans="2:62" ht="15.75" customHeight="1">
      <c r="B632" s="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  <c r="AJ632" s="257"/>
      <c r="AK632" s="257"/>
      <c r="AL632" s="257"/>
      <c r="AM632" s="257"/>
      <c r="AN632" s="257"/>
      <c r="AO632" s="257"/>
      <c r="AP632" s="257"/>
      <c r="AQ632" s="257"/>
      <c r="AR632" s="257"/>
      <c r="AS632" s="257"/>
      <c r="AT632" s="257"/>
      <c r="AU632" s="257"/>
      <c r="AV632" s="257"/>
      <c r="AW632" s="257"/>
      <c r="AX632" s="257"/>
      <c r="AY632" s="257"/>
      <c r="AZ632" s="257"/>
      <c r="BA632" s="257"/>
      <c r="BB632" s="257"/>
      <c r="BC632" s="257"/>
      <c r="BD632" s="257"/>
      <c r="BE632" s="257"/>
      <c r="BF632" s="257"/>
      <c r="BG632" s="257"/>
      <c r="BH632" s="257"/>
      <c r="BI632" s="257"/>
      <c r="BJ632" s="257"/>
    </row>
    <row r="633" spans="2:62" ht="15.75" customHeight="1">
      <c r="B633" s="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  <c r="AJ633" s="257"/>
      <c r="AK633" s="257"/>
      <c r="AL633" s="257"/>
      <c r="AM633" s="257"/>
      <c r="AN633" s="257"/>
      <c r="AO633" s="257"/>
      <c r="AP633" s="257"/>
      <c r="AQ633" s="257"/>
      <c r="AR633" s="257"/>
      <c r="AS633" s="257"/>
      <c r="AT633" s="257"/>
      <c r="AU633" s="257"/>
      <c r="AV633" s="257"/>
      <c r="AW633" s="257"/>
      <c r="AX633" s="257"/>
      <c r="AY633" s="257"/>
      <c r="AZ633" s="257"/>
      <c r="BA633" s="257"/>
      <c r="BB633" s="257"/>
      <c r="BC633" s="257"/>
      <c r="BD633" s="257"/>
      <c r="BE633" s="257"/>
      <c r="BF633" s="257"/>
      <c r="BG633" s="257"/>
      <c r="BH633" s="257"/>
      <c r="BI633" s="257"/>
      <c r="BJ633" s="257"/>
    </row>
    <row r="634" spans="2:62" ht="15.75" customHeight="1">
      <c r="B634" s="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  <c r="AJ634" s="257"/>
      <c r="AK634" s="257"/>
      <c r="AL634" s="257"/>
      <c r="AM634" s="257"/>
      <c r="AN634" s="257"/>
      <c r="AO634" s="257"/>
      <c r="AP634" s="257"/>
      <c r="AQ634" s="257"/>
      <c r="AR634" s="257"/>
      <c r="AS634" s="257"/>
      <c r="AT634" s="257"/>
      <c r="AU634" s="257"/>
      <c r="AV634" s="257"/>
      <c r="AW634" s="257"/>
      <c r="AX634" s="257"/>
      <c r="AY634" s="257"/>
      <c r="AZ634" s="257"/>
      <c r="BA634" s="257"/>
      <c r="BB634" s="257"/>
      <c r="BC634" s="257"/>
      <c r="BD634" s="257"/>
      <c r="BE634" s="257"/>
      <c r="BF634" s="257"/>
      <c r="BG634" s="257"/>
      <c r="BH634" s="257"/>
      <c r="BI634" s="257"/>
      <c r="BJ634" s="257"/>
    </row>
    <row r="635" spans="2:62" ht="15.75" customHeight="1">
      <c r="B635" s="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  <c r="AJ635" s="257"/>
      <c r="AK635" s="257"/>
      <c r="AL635" s="257"/>
      <c r="AM635" s="257"/>
      <c r="AN635" s="257"/>
      <c r="AO635" s="257"/>
      <c r="AP635" s="257"/>
      <c r="AQ635" s="257"/>
      <c r="AR635" s="257"/>
      <c r="AS635" s="257"/>
      <c r="AT635" s="257"/>
      <c r="AU635" s="257"/>
      <c r="AV635" s="257"/>
      <c r="AW635" s="257"/>
      <c r="AX635" s="257"/>
      <c r="AY635" s="257"/>
      <c r="AZ635" s="257"/>
      <c r="BA635" s="257"/>
      <c r="BB635" s="257"/>
      <c r="BC635" s="257"/>
      <c r="BD635" s="257"/>
      <c r="BE635" s="257"/>
      <c r="BF635" s="257"/>
      <c r="BG635" s="257"/>
      <c r="BH635" s="257"/>
      <c r="BI635" s="257"/>
      <c r="BJ635" s="257"/>
    </row>
    <row r="636" spans="2:62" ht="15.75" customHeight="1">
      <c r="B636" s="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  <c r="AJ636" s="257"/>
      <c r="AK636" s="257"/>
      <c r="AL636" s="257"/>
      <c r="AM636" s="257"/>
      <c r="AN636" s="257"/>
      <c r="AO636" s="257"/>
      <c r="AP636" s="257"/>
      <c r="AQ636" s="257"/>
      <c r="AR636" s="257"/>
      <c r="AS636" s="257"/>
      <c r="AT636" s="257"/>
      <c r="AU636" s="257"/>
      <c r="AV636" s="257"/>
      <c r="AW636" s="257"/>
      <c r="AX636" s="257"/>
      <c r="AY636" s="257"/>
      <c r="AZ636" s="257"/>
      <c r="BA636" s="257"/>
      <c r="BB636" s="257"/>
      <c r="BC636" s="257"/>
      <c r="BD636" s="257"/>
      <c r="BE636" s="257"/>
      <c r="BF636" s="257"/>
      <c r="BG636" s="257"/>
      <c r="BH636" s="257"/>
      <c r="BI636" s="257"/>
      <c r="BJ636" s="257"/>
    </row>
    <row r="637" spans="2:62" ht="15.75" customHeight="1">
      <c r="B637" s="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  <c r="AJ637" s="257"/>
      <c r="AK637" s="257"/>
      <c r="AL637" s="257"/>
      <c r="AM637" s="257"/>
      <c r="AN637" s="257"/>
      <c r="AO637" s="257"/>
      <c r="AP637" s="257"/>
      <c r="AQ637" s="257"/>
      <c r="AR637" s="257"/>
      <c r="AS637" s="257"/>
      <c r="AT637" s="257"/>
      <c r="AU637" s="257"/>
      <c r="AV637" s="257"/>
      <c r="AW637" s="257"/>
      <c r="AX637" s="257"/>
      <c r="AY637" s="257"/>
      <c r="AZ637" s="257"/>
      <c r="BA637" s="257"/>
      <c r="BB637" s="257"/>
      <c r="BC637" s="257"/>
      <c r="BD637" s="257"/>
      <c r="BE637" s="257"/>
      <c r="BF637" s="257"/>
      <c r="BG637" s="257"/>
      <c r="BH637" s="257"/>
      <c r="BI637" s="257"/>
      <c r="BJ637" s="257"/>
    </row>
    <row r="638" spans="2:62" ht="15.75" customHeight="1">
      <c r="B638" s="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  <c r="AJ638" s="257"/>
      <c r="AK638" s="257"/>
      <c r="AL638" s="257"/>
      <c r="AM638" s="257"/>
      <c r="AN638" s="257"/>
      <c r="AO638" s="257"/>
      <c r="AP638" s="257"/>
      <c r="AQ638" s="257"/>
      <c r="AR638" s="257"/>
      <c r="AS638" s="257"/>
      <c r="AT638" s="257"/>
      <c r="AU638" s="257"/>
      <c r="AV638" s="257"/>
      <c r="AW638" s="257"/>
      <c r="AX638" s="257"/>
      <c r="AY638" s="257"/>
      <c r="AZ638" s="257"/>
      <c r="BA638" s="257"/>
      <c r="BB638" s="257"/>
      <c r="BC638" s="257"/>
      <c r="BD638" s="257"/>
      <c r="BE638" s="257"/>
      <c r="BF638" s="257"/>
      <c r="BG638" s="257"/>
      <c r="BH638" s="257"/>
      <c r="BI638" s="257"/>
      <c r="BJ638" s="257"/>
    </row>
    <row r="639" spans="2:62" ht="15.75" customHeight="1">
      <c r="B639" s="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  <c r="AJ639" s="257"/>
      <c r="AK639" s="257"/>
      <c r="AL639" s="257"/>
      <c r="AM639" s="257"/>
      <c r="AN639" s="257"/>
      <c r="AO639" s="257"/>
      <c r="AP639" s="257"/>
      <c r="AQ639" s="257"/>
      <c r="AR639" s="257"/>
      <c r="AS639" s="257"/>
      <c r="AT639" s="257"/>
      <c r="AU639" s="257"/>
      <c r="AV639" s="257"/>
      <c r="AW639" s="257"/>
      <c r="AX639" s="257"/>
      <c r="AY639" s="257"/>
      <c r="AZ639" s="257"/>
      <c r="BA639" s="257"/>
      <c r="BB639" s="257"/>
      <c r="BC639" s="257"/>
      <c r="BD639" s="257"/>
      <c r="BE639" s="257"/>
      <c r="BF639" s="257"/>
      <c r="BG639" s="257"/>
      <c r="BH639" s="257"/>
      <c r="BI639" s="257"/>
      <c r="BJ639" s="257"/>
    </row>
    <row r="640" spans="2:62" ht="15.75" customHeight="1">
      <c r="B640" s="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  <c r="AJ640" s="257"/>
      <c r="AK640" s="257"/>
      <c r="AL640" s="257"/>
      <c r="AM640" s="257"/>
      <c r="AN640" s="257"/>
      <c r="AO640" s="257"/>
      <c r="AP640" s="257"/>
      <c r="AQ640" s="257"/>
      <c r="AR640" s="257"/>
      <c r="AS640" s="257"/>
      <c r="AT640" s="257"/>
      <c r="AU640" s="257"/>
      <c r="AV640" s="257"/>
      <c r="AW640" s="257"/>
      <c r="AX640" s="257"/>
      <c r="AY640" s="257"/>
      <c r="AZ640" s="257"/>
      <c r="BA640" s="257"/>
      <c r="BB640" s="257"/>
      <c r="BC640" s="257"/>
      <c r="BD640" s="257"/>
      <c r="BE640" s="257"/>
      <c r="BF640" s="257"/>
      <c r="BG640" s="257"/>
      <c r="BH640" s="257"/>
      <c r="BI640" s="257"/>
      <c r="BJ640" s="257"/>
    </row>
    <row r="641" spans="2:62" ht="15.75" customHeight="1">
      <c r="B641" s="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  <c r="AJ641" s="257"/>
      <c r="AK641" s="257"/>
      <c r="AL641" s="257"/>
      <c r="AM641" s="257"/>
      <c r="AN641" s="257"/>
      <c r="AO641" s="257"/>
      <c r="AP641" s="257"/>
      <c r="AQ641" s="257"/>
      <c r="AR641" s="257"/>
      <c r="AS641" s="257"/>
      <c r="AT641" s="257"/>
      <c r="AU641" s="257"/>
      <c r="AV641" s="257"/>
      <c r="AW641" s="257"/>
      <c r="AX641" s="257"/>
      <c r="AY641" s="257"/>
      <c r="AZ641" s="257"/>
      <c r="BA641" s="257"/>
      <c r="BB641" s="257"/>
      <c r="BC641" s="257"/>
      <c r="BD641" s="257"/>
      <c r="BE641" s="257"/>
      <c r="BF641" s="257"/>
      <c r="BG641" s="257"/>
      <c r="BH641" s="257"/>
      <c r="BI641" s="257"/>
      <c r="BJ641" s="257"/>
    </row>
    <row r="642" spans="2:62" ht="15.75" customHeight="1">
      <c r="B642" s="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  <c r="AJ642" s="257"/>
      <c r="AK642" s="257"/>
      <c r="AL642" s="257"/>
      <c r="AM642" s="257"/>
      <c r="AN642" s="257"/>
      <c r="AO642" s="257"/>
      <c r="AP642" s="257"/>
      <c r="AQ642" s="257"/>
      <c r="AR642" s="257"/>
      <c r="AS642" s="257"/>
      <c r="AT642" s="257"/>
      <c r="AU642" s="257"/>
      <c r="AV642" s="257"/>
      <c r="AW642" s="257"/>
      <c r="AX642" s="257"/>
      <c r="AY642" s="257"/>
      <c r="AZ642" s="257"/>
      <c r="BA642" s="257"/>
      <c r="BB642" s="257"/>
      <c r="BC642" s="257"/>
      <c r="BD642" s="257"/>
      <c r="BE642" s="257"/>
      <c r="BF642" s="257"/>
      <c r="BG642" s="257"/>
      <c r="BH642" s="257"/>
      <c r="BI642" s="257"/>
      <c r="BJ642" s="257"/>
    </row>
    <row r="643" spans="2:62" ht="15.75" customHeight="1">
      <c r="B643" s="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  <c r="AJ643" s="257"/>
      <c r="AK643" s="257"/>
      <c r="AL643" s="257"/>
      <c r="AM643" s="257"/>
      <c r="AN643" s="257"/>
      <c r="AO643" s="257"/>
      <c r="AP643" s="257"/>
      <c r="AQ643" s="257"/>
      <c r="AR643" s="257"/>
      <c r="AS643" s="257"/>
      <c r="AT643" s="257"/>
      <c r="AU643" s="257"/>
      <c r="AV643" s="257"/>
      <c r="AW643" s="257"/>
      <c r="AX643" s="257"/>
      <c r="AY643" s="257"/>
      <c r="AZ643" s="257"/>
      <c r="BA643" s="257"/>
      <c r="BB643" s="257"/>
      <c r="BC643" s="257"/>
      <c r="BD643" s="257"/>
      <c r="BE643" s="257"/>
      <c r="BF643" s="257"/>
      <c r="BG643" s="257"/>
      <c r="BH643" s="257"/>
      <c r="BI643" s="257"/>
      <c r="BJ643" s="257"/>
    </row>
    <row r="644" spans="2:62" ht="15.75" customHeight="1">
      <c r="B644" s="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  <c r="AJ644" s="257"/>
      <c r="AK644" s="257"/>
      <c r="AL644" s="257"/>
      <c r="AM644" s="257"/>
      <c r="AN644" s="257"/>
      <c r="AO644" s="257"/>
      <c r="AP644" s="257"/>
      <c r="AQ644" s="257"/>
      <c r="AR644" s="257"/>
      <c r="AS644" s="257"/>
      <c r="AT644" s="257"/>
      <c r="AU644" s="257"/>
      <c r="AV644" s="257"/>
      <c r="AW644" s="257"/>
      <c r="AX644" s="257"/>
      <c r="AY644" s="257"/>
      <c r="AZ644" s="257"/>
      <c r="BA644" s="257"/>
      <c r="BB644" s="257"/>
      <c r="BC644" s="257"/>
      <c r="BD644" s="257"/>
      <c r="BE644" s="257"/>
      <c r="BF644" s="257"/>
      <c r="BG644" s="257"/>
      <c r="BH644" s="257"/>
      <c r="BI644" s="257"/>
      <c r="BJ644" s="257"/>
    </row>
    <row r="645" spans="2:62" ht="15.75" customHeight="1">
      <c r="B645" s="7"/>
      <c r="C645" s="42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428"/>
      <c r="P645" s="347"/>
      <c r="Q645" s="347"/>
      <c r="R645" s="347"/>
      <c r="S645" s="347"/>
      <c r="T645" s="347"/>
      <c r="U645" s="347"/>
      <c r="V645" s="347"/>
      <c r="W645" s="347"/>
      <c r="X645" s="34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  <c r="AJ645" s="257"/>
      <c r="AK645" s="257"/>
      <c r="AL645" s="257"/>
      <c r="AM645" s="257"/>
      <c r="AN645" s="257"/>
      <c r="AO645" s="257"/>
      <c r="AP645" s="257"/>
      <c r="AQ645" s="257"/>
      <c r="AR645" s="257"/>
      <c r="AS645" s="257"/>
      <c r="AT645" s="257"/>
      <c r="AU645" s="257"/>
      <c r="AV645" s="257"/>
      <c r="AW645" s="257"/>
      <c r="AX645" s="257"/>
      <c r="AY645" s="257"/>
      <c r="AZ645" s="257"/>
      <c r="BA645" s="257"/>
      <c r="BB645" s="257"/>
      <c r="BC645" s="257"/>
      <c r="BD645" s="257"/>
      <c r="BE645" s="257"/>
      <c r="BF645" s="257"/>
      <c r="BG645" s="257"/>
      <c r="BH645" s="257"/>
      <c r="BI645" s="257"/>
      <c r="BJ645" s="257"/>
    </row>
    <row r="646" spans="2:62" ht="15.75" customHeight="1">
      <c r="B646" s="7"/>
      <c r="C646" s="417"/>
      <c r="D646" s="421"/>
      <c r="E646" s="421"/>
      <c r="F646" s="421"/>
      <c r="G646" s="421"/>
      <c r="H646" s="421"/>
      <c r="I646" s="421"/>
      <c r="J646" s="421"/>
      <c r="K646" s="421"/>
      <c r="L646" s="421"/>
      <c r="M646" s="421"/>
      <c r="N646" s="421"/>
      <c r="O646" s="421"/>
      <c r="P646" s="421"/>
      <c r="Q646" s="429"/>
      <c r="R646" s="421"/>
      <c r="S646" s="421"/>
      <c r="T646" s="347"/>
      <c r="U646" s="347"/>
      <c r="V646" s="347"/>
      <c r="W646" s="347"/>
      <c r="X646" s="34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  <c r="AJ646" s="257"/>
      <c r="AK646" s="257"/>
      <c r="AL646" s="257"/>
      <c r="AM646" s="257"/>
      <c r="AN646" s="257"/>
      <c r="AO646" s="257"/>
      <c r="AP646" s="257"/>
      <c r="AQ646" s="257"/>
      <c r="AR646" s="257"/>
      <c r="AS646" s="257"/>
      <c r="AT646" s="257"/>
      <c r="AU646" s="257"/>
      <c r="AV646" s="257"/>
      <c r="AW646" s="257"/>
      <c r="AX646" s="257"/>
      <c r="AY646" s="257"/>
      <c r="AZ646" s="257"/>
      <c r="BA646" s="257"/>
      <c r="BB646" s="257"/>
      <c r="BC646" s="257"/>
      <c r="BD646" s="257"/>
      <c r="BE646" s="257"/>
      <c r="BF646" s="257"/>
      <c r="BG646" s="257"/>
      <c r="BH646" s="257"/>
      <c r="BI646" s="257"/>
      <c r="BJ646" s="257"/>
    </row>
    <row r="647" spans="2:62" ht="15.75" customHeight="1">
      <c r="B647" s="7"/>
      <c r="C647" s="347"/>
      <c r="D647" s="418"/>
      <c r="E647" s="418"/>
      <c r="F647" s="430"/>
      <c r="G647" s="418"/>
      <c r="H647" s="418"/>
      <c r="I647" s="430"/>
      <c r="J647" s="422"/>
      <c r="K647" s="422"/>
      <c r="L647" s="431"/>
      <c r="M647" s="422"/>
      <c r="N647" s="422"/>
      <c r="O647" s="422"/>
      <c r="P647" s="422"/>
      <c r="Q647" s="419"/>
      <c r="R647" s="418"/>
      <c r="S647" s="430"/>
      <c r="T647" s="347"/>
      <c r="U647" s="347"/>
      <c r="V647" s="347"/>
      <c r="W647" s="347"/>
      <c r="X647" s="34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  <c r="AJ647" s="257"/>
      <c r="AK647" s="257"/>
      <c r="AL647" s="257"/>
      <c r="AM647" s="257"/>
      <c r="AN647" s="257"/>
      <c r="AO647" s="257"/>
      <c r="AP647" s="257"/>
      <c r="AQ647" s="257"/>
      <c r="AR647" s="257"/>
      <c r="AS647" s="257"/>
      <c r="AT647" s="257"/>
      <c r="AU647" s="257"/>
      <c r="AV647" s="257"/>
      <c r="AW647" s="257"/>
      <c r="AX647" s="257"/>
      <c r="AY647" s="257"/>
      <c r="AZ647" s="257"/>
      <c r="BA647" s="257"/>
      <c r="BB647" s="257"/>
      <c r="BC647" s="257"/>
      <c r="BD647" s="257"/>
      <c r="BE647" s="257"/>
      <c r="BF647" s="257"/>
      <c r="BG647" s="257"/>
      <c r="BH647" s="257"/>
      <c r="BI647" s="257"/>
      <c r="BJ647" s="257"/>
    </row>
    <row r="648" spans="2:62" ht="15.75" customHeight="1">
      <c r="B648" s="7"/>
      <c r="C648" s="432"/>
      <c r="D648" s="347"/>
      <c r="E648" s="347"/>
      <c r="F648" s="421"/>
      <c r="G648" s="347"/>
      <c r="H648" s="347"/>
      <c r="I648" s="421"/>
      <c r="J648" s="421"/>
      <c r="K648" s="421"/>
      <c r="L648" s="347"/>
      <c r="M648" s="421"/>
      <c r="N648" s="421"/>
      <c r="O648" s="347"/>
      <c r="P648" s="421"/>
      <c r="Q648" s="421"/>
      <c r="R648" s="347"/>
      <c r="S648" s="421"/>
      <c r="T648" s="347"/>
      <c r="U648" s="347"/>
      <c r="V648" s="347"/>
      <c r="W648" s="347"/>
      <c r="X648" s="34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  <c r="AJ648" s="257"/>
      <c r="AK648" s="257"/>
      <c r="AL648" s="257"/>
      <c r="AM648" s="257"/>
      <c r="AN648" s="257"/>
      <c r="AO648" s="257"/>
      <c r="AP648" s="257"/>
      <c r="AQ648" s="257"/>
      <c r="AR648" s="257"/>
      <c r="AS648" s="257"/>
      <c r="AT648" s="257"/>
      <c r="AU648" s="257"/>
      <c r="AV648" s="257"/>
      <c r="AW648" s="257"/>
      <c r="AX648" s="257"/>
      <c r="AY648" s="257"/>
      <c r="AZ648" s="257"/>
      <c r="BA648" s="257"/>
      <c r="BB648" s="257"/>
      <c r="BC648" s="257"/>
      <c r="BD648" s="257"/>
      <c r="BE648" s="257"/>
      <c r="BF648" s="257"/>
      <c r="BG648" s="257"/>
      <c r="BH648" s="257"/>
      <c r="BI648" s="257"/>
      <c r="BJ648" s="257"/>
    </row>
    <row r="649" spans="2:62" ht="15.75" customHeight="1">
      <c r="B649" s="7"/>
      <c r="C649" s="347"/>
      <c r="D649" s="347"/>
      <c r="E649" s="347"/>
      <c r="F649" s="414"/>
      <c r="G649" s="347"/>
      <c r="H649" s="347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347"/>
      <c r="U649" s="347"/>
      <c r="V649" s="347"/>
      <c r="W649" s="347"/>
      <c r="X649" s="34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  <c r="AJ649" s="257"/>
      <c r="AK649" s="257"/>
      <c r="AL649" s="257"/>
      <c r="AM649" s="257"/>
      <c r="AN649" s="257"/>
      <c r="AO649" s="257"/>
      <c r="AP649" s="257"/>
      <c r="AQ649" s="257"/>
      <c r="AR649" s="257"/>
      <c r="AS649" s="257"/>
      <c r="AT649" s="257"/>
      <c r="AU649" s="257"/>
      <c r="AV649" s="257"/>
      <c r="AW649" s="257"/>
      <c r="AX649" s="257"/>
      <c r="AY649" s="257"/>
      <c r="AZ649" s="257"/>
      <c r="BA649" s="257"/>
      <c r="BB649" s="257"/>
      <c r="BC649" s="257"/>
      <c r="BD649" s="257"/>
      <c r="BE649" s="257"/>
      <c r="BF649" s="257"/>
      <c r="BG649" s="257"/>
      <c r="BH649" s="257"/>
      <c r="BI649" s="257"/>
      <c r="BJ649" s="257"/>
    </row>
    <row r="650" spans="2:62" ht="15.75" customHeight="1">
      <c r="B650" s="7"/>
      <c r="C650" s="413"/>
      <c r="D650" s="413"/>
      <c r="E650" s="413"/>
      <c r="F650" s="416"/>
      <c r="G650" s="413"/>
      <c r="H650" s="413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347"/>
      <c r="U650" s="347"/>
      <c r="V650" s="347"/>
      <c r="W650" s="347"/>
      <c r="X650" s="34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  <c r="AJ650" s="257"/>
      <c r="AK650" s="257"/>
      <c r="AL650" s="257"/>
      <c r="AM650" s="257"/>
      <c r="AN650" s="257"/>
      <c r="AO650" s="257"/>
      <c r="AP650" s="257"/>
      <c r="AQ650" s="257"/>
      <c r="AR650" s="257"/>
      <c r="AS650" s="257"/>
      <c r="AT650" s="257"/>
      <c r="AU650" s="257"/>
      <c r="AV650" s="257"/>
      <c r="AW650" s="257"/>
      <c r="AX650" s="257"/>
      <c r="AY650" s="257"/>
      <c r="AZ650" s="257"/>
      <c r="BA650" s="257"/>
      <c r="BB650" s="257"/>
      <c r="BC650" s="257"/>
      <c r="BD650" s="257"/>
      <c r="BE650" s="257"/>
      <c r="BF650" s="257"/>
      <c r="BG650" s="257"/>
      <c r="BH650" s="257"/>
      <c r="BI650" s="257"/>
      <c r="BJ650" s="257"/>
    </row>
    <row r="651" spans="2:62" ht="15.75" customHeight="1">
      <c r="B651" s="7"/>
      <c r="C651" s="347"/>
      <c r="D651" s="347"/>
      <c r="E651" s="347"/>
      <c r="F651" s="347"/>
      <c r="G651" s="347"/>
      <c r="H651" s="347"/>
      <c r="I651" s="347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347"/>
      <c r="U651" s="347"/>
      <c r="V651" s="347"/>
      <c r="W651" s="347"/>
      <c r="X651" s="34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  <c r="AJ651" s="257"/>
      <c r="AK651" s="257"/>
      <c r="AL651" s="257"/>
      <c r="AM651" s="257"/>
      <c r="AN651" s="257"/>
      <c r="AO651" s="257"/>
      <c r="AP651" s="257"/>
      <c r="AQ651" s="257"/>
      <c r="AR651" s="257"/>
      <c r="AS651" s="257"/>
      <c r="AT651" s="257"/>
      <c r="AU651" s="257"/>
      <c r="AV651" s="257"/>
      <c r="AW651" s="257"/>
      <c r="AX651" s="257"/>
      <c r="AY651" s="257"/>
      <c r="AZ651" s="257"/>
      <c r="BA651" s="257"/>
      <c r="BB651" s="257"/>
      <c r="BC651" s="257"/>
      <c r="BD651" s="257"/>
      <c r="BE651" s="257"/>
      <c r="BF651" s="257"/>
      <c r="BG651" s="257"/>
      <c r="BH651" s="257"/>
      <c r="BI651" s="257"/>
      <c r="BJ651" s="257"/>
    </row>
    <row r="652" spans="2:62" ht="15.75" customHeight="1">
      <c r="B652" s="7"/>
      <c r="C652" s="347"/>
      <c r="D652" s="347"/>
      <c r="E652" s="347"/>
      <c r="F652" s="347"/>
      <c r="G652" s="347"/>
      <c r="H652" s="347"/>
      <c r="I652" s="347"/>
      <c r="J652" s="347"/>
      <c r="K652" s="414"/>
      <c r="L652" s="414"/>
      <c r="M652" s="347"/>
      <c r="N652" s="414"/>
      <c r="O652" s="414"/>
      <c r="P652" s="347"/>
      <c r="Q652" s="414"/>
      <c r="R652" s="414"/>
      <c r="S652" s="347"/>
      <c r="T652" s="347"/>
      <c r="U652" s="347"/>
      <c r="V652" s="347"/>
      <c r="W652" s="347"/>
      <c r="X652" s="34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  <c r="AJ652" s="257"/>
      <c r="AK652" s="257"/>
      <c r="AL652" s="257"/>
      <c r="AM652" s="257"/>
      <c r="AN652" s="257"/>
      <c r="AO652" s="257"/>
      <c r="AP652" s="257"/>
      <c r="AQ652" s="257"/>
      <c r="AR652" s="257"/>
      <c r="AS652" s="257"/>
      <c r="AT652" s="257"/>
      <c r="AU652" s="257"/>
      <c r="AV652" s="257"/>
      <c r="AW652" s="257"/>
      <c r="AX652" s="257"/>
      <c r="AY652" s="257"/>
      <c r="AZ652" s="257"/>
      <c r="BA652" s="257"/>
      <c r="BB652" s="257"/>
      <c r="BC652" s="257"/>
      <c r="BD652" s="257"/>
      <c r="BE652" s="257"/>
      <c r="BF652" s="257"/>
      <c r="BG652" s="257"/>
      <c r="BH652" s="257"/>
      <c r="BI652" s="257"/>
      <c r="BJ652" s="257"/>
    </row>
    <row r="653" spans="2:62" ht="15.75" customHeight="1">
      <c r="B653" s="7"/>
      <c r="C653" s="347"/>
      <c r="D653" s="347"/>
      <c r="E653" s="347"/>
      <c r="F653" s="347"/>
      <c r="G653" s="347"/>
      <c r="H653" s="347"/>
      <c r="I653" s="347"/>
      <c r="J653" s="347"/>
      <c r="K653" s="414"/>
      <c r="L653" s="414"/>
      <c r="M653" s="347"/>
      <c r="N653" s="414"/>
      <c r="O653" s="414"/>
      <c r="P653" s="347"/>
      <c r="Q653" s="414"/>
      <c r="R653" s="414"/>
      <c r="S653" s="347"/>
      <c r="T653" s="347"/>
      <c r="U653" s="347"/>
      <c r="V653" s="347"/>
      <c r="W653" s="347"/>
      <c r="X653" s="34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  <c r="AJ653" s="257"/>
      <c r="AK653" s="257"/>
      <c r="AL653" s="257"/>
      <c r="AM653" s="257"/>
      <c r="AN653" s="257"/>
      <c r="AO653" s="257"/>
      <c r="AP653" s="257"/>
      <c r="AQ653" s="257"/>
      <c r="AR653" s="257"/>
      <c r="AS653" s="257"/>
      <c r="AT653" s="257"/>
      <c r="AU653" s="257"/>
      <c r="AV653" s="257"/>
      <c r="AW653" s="257"/>
      <c r="AX653" s="257"/>
      <c r="AY653" s="257"/>
      <c r="AZ653" s="257"/>
      <c r="BA653" s="257"/>
      <c r="BB653" s="257"/>
      <c r="BC653" s="257"/>
      <c r="BD653" s="257"/>
      <c r="BE653" s="257"/>
      <c r="BF653" s="257"/>
      <c r="BG653" s="257"/>
      <c r="BH653" s="257"/>
      <c r="BI653" s="257"/>
      <c r="BJ653" s="257"/>
    </row>
    <row r="654" spans="2:62" ht="15.75" customHeight="1">
      <c r="B654" s="7"/>
      <c r="C654" s="347"/>
      <c r="D654" s="347"/>
      <c r="E654" s="347"/>
      <c r="F654" s="347"/>
      <c r="G654" s="347"/>
      <c r="H654" s="347"/>
      <c r="I654" s="347"/>
      <c r="J654" s="347"/>
      <c r="K654" s="414"/>
      <c r="L654" s="414"/>
      <c r="M654" s="347"/>
      <c r="N654" s="414"/>
      <c r="O654" s="414"/>
      <c r="P654" s="347"/>
      <c r="Q654" s="414"/>
      <c r="R654" s="414"/>
      <c r="S654" s="347"/>
      <c r="T654" s="347"/>
      <c r="U654" s="347"/>
      <c r="V654" s="347"/>
      <c r="W654" s="347"/>
      <c r="X654" s="34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  <c r="AJ654" s="257"/>
      <c r="AK654" s="257"/>
      <c r="AL654" s="257"/>
      <c r="AM654" s="257"/>
      <c r="AN654" s="257"/>
      <c r="AO654" s="257"/>
      <c r="AP654" s="257"/>
      <c r="AQ654" s="257"/>
      <c r="AR654" s="257"/>
      <c r="AS654" s="257"/>
      <c r="AT654" s="257"/>
      <c r="AU654" s="257"/>
      <c r="AV654" s="257"/>
      <c r="AW654" s="257"/>
      <c r="AX654" s="257"/>
      <c r="AY654" s="257"/>
      <c r="AZ654" s="257"/>
      <c r="BA654" s="257"/>
      <c r="BB654" s="257"/>
      <c r="BC654" s="257"/>
      <c r="BD654" s="257"/>
      <c r="BE654" s="257"/>
      <c r="BF654" s="257"/>
      <c r="BG654" s="257"/>
      <c r="BH654" s="257"/>
      <c r="BI654" s="257"/>
      <c r="BJ654" s="257"/>
    </row>
    <row r="655" spans="2:62" ht="15.75" customHeight="1">
      <c r="B655" s="7"/>
      <c r="C655" s="347"/>
      <c r="D655" s="347"/>
      <c r="E655" s="347"/>
      <c r="F655" s="347"/>
      <c r="G655" s="347"/>
      <c r="H655" s="347"/>
      <c r="I655" s="347"/>
      <c r="J655" s="347"/>
      <c r="K655" s="414"/>
      <c r="L655" s="414"/>
      <c r="M655" s="347"/>
      <c r="N655" s="414"/>
      <c r="O655" s="414"/>
      <c r="P655" s="347"/>
      <c r="Q655" s="414"/>
      <c r="R655" s="414"/>
      <c r="S655" s="347"/>
      <c r="T655" s="347"/>
      <c r="U655" s="347"/>
      <c r="V655" s="347"/>
      <c r="W655" s="347"/>
      <c r="X655" s="34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  <c r="AJ655" s="257"/>
      <c r="AK655" s="257"/>
      <c r="AL655" s="257"/>
      <c r="AM655" s="257"/>
      <c r="AN655" s="257"/>
      <c r="AO655" s="257"/>
      <c r="AP655" s="257"/>
      <c r="AQ655" s="257"/>
      <c r="AR655" s="257"/>
      <c r="AS655" s="257"/>
      <c r="AT655" s="257"/>
      <c r="AU655" s="257"/>
      <c r="AV655" s="257"/>
      <c r="AW655" s="257"/>
      <c r="AX655" s="257"/>
      <c r="AY655" s="257"/>
      <c r="AZ655" s="257"/>
      <c r="BA655" s="257"/>
      <c r="BB655" s="257"/>
      <c r="BC655" s="257"/>
      <c r="BD655" s="257"/>
      <c r="BE655" s="257"/>
      <c r="BF655" s="257"/>
      <c r="BG655" s="257"/>
      <c r="BH655" s="257"/>
      <c r="BI655" s="257"/>
      <c r="BJ655" s="257"/>
    </row>
    <row r="656" spans="2:62" ht="15.75" customHeight="1">
      <c r="B656" s="7"/>
      <c r="C656" s="347"/>
      <c r="D656" s="347"/>
      <c r="E656" s="347"/>
      <c r="F656" s="347"/>
      <c r="G656" s="347"/>
      <c r="H656" s="347"/>
      <c r="I656" s="347"/>
      <c r="J656" s="347"/>
      <c r="K656" s="414"/>
      <c r="L656" s="414"/>
      <c r="M656" s="347"/>
      <c r="N656" s="414"/>
      <c r="O656" s="414"/>
      <c r="P656" s="347"/>
      <c r="Q656" s="414"/>
      <c r="R656" s="414"/>
      <c r="S656" s="347"/>
      <c r="T656" s="347"/>
      <c r="U656" s="347"/>
      <c r="V656" s="347"/>
      <c r="W656" s="347"/>
      <c r="X656" s="34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  <c r="AJ656" s="257"/>
      <c r="AK656" s="257"/>
      <c r="AL656" s="257"/>
      <c r="AM656" s="257"/>
      <c r="AN656" s="257"/>
      <c r="AO656" s="257"/>
      <c r="AP656" s="257"/>
      <c r="AQ656" s="257"/>
      <c r="AR656" s="257"/>
      <c r="AS656" s="257"/>
      <c r="AT656" s="257"/>
      <c r="AU656" s="257"/>
      <c r="AV656" s="257"/>
      <c r="AW656" s="257"/>
      <c r="AX656" s="257"/>
      <c r="AY656" s="257"/>
      <c r="AZ656" s="257"/>
      <c r="BA656" s="257"/>
      <c r="BB656" s="257"/>
      <c r="BC656" s="257"/>
      <c r="BD656" s="257"/>
      <c r="BE656" s="257"/>
      <c r="BF656" s="257"/>
      <c r="BG656" s="257"/>
      <c r="BH656" s="257"/>
      <c r="BI656" s="257"/>
      <c r="BJ656" s="257"/>
    </row>
    <row r="657" spans="2:62" ht="15.75" customHeight="1">
      <c r="B657" s="7"/>
      <c r="C657" s="347"/>
      <c r="D657" s="347"/>
      <c r="E657" s="347"/>
      <c r="F657" s="347"/>
      <c r="G657" s="347"/>
      <c r="H657" s="347"/>
      <c r="I657" s="347"/>
      <c r="J657" s="347"/>
      <c r="K657" s="414"/>
      <c r="L657" s="416"/>
      <c r="M657" s="347"/>
      <c r="N657" s="414"/>
      <c r="O657" s="414"/>
      <c r="P657" s="347"/>
      <c r="Q657" s="414"/>
      <c r="R657" s="416"/>
      <c r="S657" s="347"/>
      <c r="T657" s="347"/>
      <c r="U657" s="347"/>
      <c r="V657" s="347"/>
      <c r="W657" s="347"/>
      <c r="X657" s="34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  <c r="AJ657" s="257"/>
      <c r="AK657" s="257"/>
      <c r="AL657" s="257"/>
      <c r="AM657" s="257"/>
      <c r="AN657" s="257"/>
      <c r="AO657" s="257"/>
      <c r="AP657" s="257"/>
      <c r="AQ657" s="257"/>
      <c r="AR657" s="257"/>
      <c r="AS657" s="257"/>
      <c r="AT657" s="257"/>
      <c r="AU657" s="257"/>
      <c r="AV657" s="257"/>
      <c r="AW657" s="257"/>
      <c r="AX657" s="257"/>
      <c r="AY657" s="257"/>
      <c r="AZ657" s="257"/>
      <c r="BA657" s="257"/>
      <c r="BB657" s="257"/>
      <c r="BC657" s="257"/>
      <c r="BD657" s="257"/>
      <c r="BE657" s="257"/>
      <c r="BF657" s="257"/>
      <c r="BG657" s="257"/>
      <c r="BH657" s="257"/>
      <c r="BI657" s="257"/>
      <c r="BJ657" s="257"/>
    </row>
    <row r="658" spans="2:62" ht="15.75" customHeight="1">
      <c r="B658" s="7"/>
      <c r="C658" s="347"/>
      <c r="D658" s="347"/>
      <c r="E658" s="347"/>
      <c r="F658" s="347"/>
      <c r="G658" s="347"/>
      <c r="H658" s="347"/>
      <c r="I658" s="347"/>
      <c r="J658" s="347"/>
      <c r="K658" s="414"/>
      <c r="L658" s="414"/>
      <c r="M658" s="347"/>
      <c r="N658" s="414"/>
      <c r="O658" s="414"/>
      <c r="P658" s="347"/>
      <c r="Q658" s="414"/>
      <c r="R658" s="414"/>
      <c r="S658" s="347"/>
      <c r="T658" s="347"/>
      <c r="U658" s="347"/>
      <c r="V658" s="347"/>
      <c r="W658" s="347"/>
      <c r="X658" s="34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  <c r="AJ658" s="257"/>
      <c r="AK658" s="257"/>
      <c r="AL658" s="257"/>
      <c r="AM658" s="257"/>
      <c r="AN658" s="257"/>
      <c r="AO658" s="257"/>
      <c r="AP658" s="257"/>
      <c r="AQ658" s="257"/>
      <c r="AR658" s="257"/>
      <c r="AS658" s="257"/>
      <c r="AT658" s="257"/>
      <c r="AU658" s="257"/>
      <c r="AV658" s="257"/>
      <c r="AW658" s="257"/>
      <c r="AX658" s="257"/>
      <c r="AY658" s="257"/>
      <c r="AZ658" s="257"/>
      <c r="BA658" s="257"/>
      <c r="BB658" s="257"/>
      <c r="BC658" s="257"/>
      <c r="BD658" s="257"/>
      <c r="BE658" s="257"/>
      <c r="BF658" s="257"/>
      <c r="BG658" s="257"/>
      <c r="BH658" s="257"/>
      <c r="BI658" s="257"/>
      <c r="BJ658" s="257"/>
    </row>
    <row r="659" spans="2:62" ht="15.75" customHeight="1">
      <c r="B659" s="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416"/>
      <c r="O659" s="416"/>
      <c r="P659" s="347"/>
      <c r="Q659" s="416"/>
      <c r="R659" s="347"/>
      <c r="S659" s="347"/>
      <c r="T659" s="347"/>
      <c r="U659" s="347"/>
      <c r="V659" s="347"/>
      <c r="W659" s="347"/>
      <c r="X659" s="34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  <c r="AJ659" s="257"/>
      <c r="AK659" s="257"/>
      <c r="AL659" s="257"/>
      <c r="AM659" s="257"/>
      <c r="AN659" s="257"/>
      <c r="AO659" s="257"/>
      <c r="AP659" s="257"/>
      <c r="AQ659" s="257"/>
      <c r="AR659" s="257"/>
      <c r="AS659" s="257"/>
      <c r="AT659" s="257"/>
      <c r="AU659" s="257"/>
      <c r="AV659" s="257"/>
      <c r="AW659" s="257"/>
      <c r="AX659" s="257"/>
      <c r="AY659" s="257"/>
      <c r="AZ659" s="257"/>
      <c r="BA659" s="257"/>
      <c r="BB659" s="257"/>
      <c r="BC659" s="257"/>
      <c r="BD659" s="257"/>
      <c r="BE659" s="257"/>
      <c r="BF659" s="257"/>
      <c r="BG659" s="257"/>
      <c r="BH659" s="257"/>
      <c r="BI659" s="257"/>
      <c r="BJ659" s="257"/>
    </row>
    <row r="660" spans="2:62" ht="15.75" customHeight="1">
      <c r="B660" s="7"/>
      <c r="C660" s="347"/>
      <c r="D660" s="347"/>
      <c r="E660" s="347"/>
      <c r="F660" s="347"/>
      <c r="G660" s="347"/>
      <c r="H660" s="347"/>
      <c r="I660" s="347"/>
      <c r="J660" s="347"/>
      <c r="K660" s="416"/>
      <c r="L660" s="416"/>
      <c r="M660" s="347"/>
      <c r="N660" s="414"/>
      <c r="O660" s="414"/>
      <c r="P660" s="347"/>
      <c r="Q660" s="414"/>
      <c r="R660" s="416"/>
      <c r="S660" s="347"/>
      <c r="T660" s="347"/>
      <c r="U660" s="347"/>
      <c r="V660" s="347"/>
      <c r="W660" s="347"/>
      <c r="X660" s="34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  <c r="AJ660" s="257"/>
      <c r="AK660" s="257"/>
      <c r="AL660" s="257"/>
      <c r="AM660" s="257"/>
      <c r="AN660" s="257"/>
      <c r="AO660" s="257"/>
      <c r="AP660" s="257"/>
      <c r="AQ660" s="257"/>
      <c r="AR660" s="257"/>
      <c r="AS660" s="257"/>
      <c r="AT660" s="257"/>
      <c r="AU660" s="257"/>
      <c r="AV660" s="257"/>
      <c r="AW660" s="257"/>
      <c r="AX660" s="257"/>
      <c r="AY660" s="257"/>
      <c r="AZ660" s="257"/>
      <c r="BA660" s="257"/>
      <c r="BB660" s="257"/>
      <c r="BC660" s="257"/>
      <c r="BD660" s="257"/>
      <c r="BE660" s="257"/>
      <c r="BF660" s="257"/>
      <c r="BG660" s="257"/>
      <c r="BH660" s="257"/>
      <c r="BI660" s="257"/>
      <c r="BJ660" s="257"/>
    </row>
    <row r="661" spans="2:62" ht="15.75" customHeight="1">
      <c r="B661" s="7"/>
      <c r="C661" s="347"/>
      <c r="D661" s="347"/>
      <c r="E661" s="347"/>
      <c r="F661" s="347"/>
      <c r="G661" s="347"/>
      <c r="H661" s="347"/>
      <c r="I661" s="347"/>
      <c r="J661" s="347"/>
      <c r="K661" s="414"/>
      <c r="L661" s="414"/>
      <c r="M661" s="347"/>
      <c r="N661" s="414"/>
      <c r="O661" s="414"/>
      <c r="P661" s="347"/>
      <c r="Q661" s="414"/>
      <c r="R661" s="414"/>
      <c r="S661" s="347"/>
      <c r="T661" s="347"/>
      <c r="U661" s="347"/>
      <c r="V661" s="347"/>
      <c r="W661" s="347"/>
      <c r="X661" s="34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  <c r="AJ661" s="257"/>
      <c r="AK661" s="257"/>
      <c r="AL661" s="257"/>
      <c r="AM661" s="257"/>
      <c r="AN661" s="257"/>
      <c r="AO661" s="257"/>
      <c r="AP661" s="257"/>
      <c r="AQ661" s="257"/>
      <c r="AR661" s="257"/>
      <c r="AS661" s="257"/>
      <c r="AT661" s="257"/>
      <c r="AU661" s="257"/>
      <c r="AV661" s="257"/>
      <c r="AW661" s="257"/>
      <c r="AX661" s="257"/>
      <c r="AY661" s="257"/>
      <c r="AZ661" s="257"/>
      <c r="BA661" s="257"/>
      <c r="BB661" s="257"/>
      <c r="BC661" s="257"/>
      <c r="BD661" s="257"/>
      <c r="BE661" s="257"/>
      <c r="BF661" s="257"/>
      <c r="BG661" s="257"/>
      <c r="BH661" s="257"/>
      <c r="BI661" s="257"/>
      <c r="BJ661" s="257"/>
    </row>
    <row r="662" spans="2:62" ht="15.75" customHeight="1">
      <c r="B662" s="7"/>
      <c r="C662" s="347"/>
      <c r="D662" s="347"/>
      <c r="E662" s="347"/>
      <c r="F662" s="347"/>
      <c r="G662" s="347"/>
      <c r="H662" s="347"/>
      <c r="I662" s="347"/>
      <c r="J662" s="347"/>
      <c r="K662" s="414"/>
      <c r="L662" s="414"/>
      <c r="M662" s="347"/>
      <c r="N662" s="414"/>
      <c r="O662" s="414"/>
      <c r="P662" s="347"/>
      <c r="Q662" s="414"/>
      <c r="R662" s="414"/>
      <c r="S662" s="347"/>
      <c r="T662" s="347"/>
      <c r="U662" s="347"/>
      <c r="V662" s="347"/>
      <c r="W662" s="347"/>
      <c r="X662" s="34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  <c r="AJ662" s="257"/>
      <c r="AK662" s="257"/>
      <c r="AL662" s="257"/>
      <c r="AM662" s="257"/>
      <c r="AN662" s="257"/>
      <c r="AO662" s="257"/>
      <c r="AP662" s="257"/>
      <c r="AQ662" s="257"/>
      <c r="AR662" s="257"/>
      <c r="AS662" s="257"/>
      <c r="AT662" s="257"/>
      <c r="AU662" s="257"/>
      <c r="AV662" s="257"/>
      <c r="AW662" s="257"/>
      <c r="AX662" s="257"/>
      <c r="AY662" s="257"/>
      <c r="AZ662" s="257"/>
      <c r="BA662" s="257"/>
      <c r="BB662" s="257"/>
      <c r="BC662" s="257"/>
      <c r="BD662" s="257"/>
      <c r="BE662" s="257"/>
      <c r="BF662" s="257"/>
      <c r="BG662" s="257"/>
      <c r="BH662" s="257"/>
      <c r="BI662" s="257"/>
      <c r="BJ662" s="257"/>
    </row>
    <row r="663" spans="2:62" ht="15.75" customHeight="1">
      <c r="B663" s="7"/>
      <c r="C663" s="347"/>
      <c r="D663" s="347"/>
      <c r="E663" s="347"/>
      <c r="F663" s="347"/>
      <c r="G663" s="347"/>
      <c r="H663" s="347"/>
      <c r="I663" s="347"/>
      <c r="J663" s="347"/>
      <c r="K663" s="414"/>
      <c r="L663" s="414"/>
      <c r="M663" s="347"/>
      <c r="N663" s="414"/>
      <c r="O663" s="414"/>
      <c r="P663" s="347"/>
      <c r="Q663" s="414"/>
      <c r="R663" s="414"/>
      <c r="S663" s="347"/>
      <c r="T663" s="347"/>
      <c r="U663" s="347"/>
      <c r="V663" s="347"/>
      <c r="W663" s="347"/>
      <c r="X663" s="34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  <c r="AJ663" s="257"/>
      <c r="AK663" s="257"/>
      <c r="AL663" s="257"/>
      <c r="AM663" s="257"/>
      <c r="AN663" s="257"/>
      <c r="AO663" s="257"/>
      <c r="AP663" s="257"/>
      <c r="AQ663" s="257"/>
      <c r="AR663" s="257"/>
      <c r="AS663" s="257"/>
      <c r="AT663" s="257"/>
      <c r="AU663" s="257"/>
      <c r="AV663" s="257"/>
      <c r="AW663" s="257"/>
      <c r="AX663" s="257"/>
      <c r="AY663" s="257"/>
      <c r="AZ663" s="257"/>
      <c r="BA663" s="257"/>
      <c r="BB663" s="257"/>
      <c r="BC663" s="257"/>
      <c r="BD663" s="257"/>
      <c r="BE663" s="257"/>
      <c r="BF663" s="257"/>
      <c r="BG663" s="257"/>
      <c r="BH663" s="257"/>
      <c r="BI663" s="257"/>
      <c r="BJ663" s="257"/>
    </row>
    <row r="664" spans="2:62" ht="15.75" customHeight="1">
      <c r="B664" s="7"/>
      <c r="C664" s="347"/>
      <c r="D664" s="347"/>
      <c r="E664" s="347"/>
      <c r="F664" s="347"/>
      <c r="G664" s="347"/>
      <c r="H664" s="347"/>
      <c r="I664" s="347"/>
      <c r="J664" s="347"/>
      <c r="K664" s="414"/>
      <c r="L664" s="414"/>
      <c r="M664" s="347"/>
      <c r="N664" s="414"/>
      <c r="O664" s="414"/>
      <c r="P664" s="347"/>
      <c r="Q664" s="414"/>
      <c r="R664" s="414"/>
      <c r="S664" s="347"/>
      <c r="T664" s="347"/>
      <c r="U664" s="347"/>
      <c r="V664" s="347"/>
      <c r="W664" s="347"/>
      <c r="X664" s="34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  <c r="AJ664" s="257"/>
      <c r="AK664" s="257"/>
      <c r="AL664" s="257"/>
      <c r="AM664" s="257"/>
      <c r="AN664" s="257"/>
      <c r="AO664" s="257"/>
      <c r="AP664" s="257"/>
      <c r="AQ664" s="257"/>
      <c r="AR664" s="257"/>
      <c r="AS664" s="257"/>
      <c r="AT664" s="257"/>
      <c r="AU664" s="257"/>
      <c r="AV664" s="257"/>
      <c r="AW664" s="257"/>
      <c r="AX664" s="257"/>
      <c r="AY664" s="257"/>
      <c r="AZ664" s="257"/>
      <c r="BA664" s="257"/>
      <c r="BB664" s="257"/>
      <c r="BC664" s="257"/>
      <c r="BD664" s="257"/>
      <c r="BE664" s="257"/>
      <c r="BF664" s="257"/>
      <c r="BG664" s="257"/>
      <c r="BH664" s="257"/>
      <c r="BI664" s="257"/>
      <c r="BJ664" s="257"/>
    </row>
    <row r="665" spans="2:62" ht="15.75" customHeight="1">
      <c r="B665" s="7"/>
      <c r="C665" s="347"/>
      <c r="D665" s="347"/>
      <c r="E665" s="347"/>
      <c r="F665" s="347"/>
      <c r="G665" s="347"/>
      <c r="H665" s="347"/>
      <c r="I665" s="347"/>
      <c r="J665" s="347"/>
      <c r="K665" s="414"/>
      <c r="L665" s="414"/>
      <c r="M665" s="347"/>
      <c r="N665" s="414"/>
      <c r="O665" s="414"/>
      <c r="P665" s="347"/>
      <c r="Q665" s="414"/>
      <c r="R665" s="414"/>
      <c r="S665" s="347"/>
      <c r="T665" s="347"/>
      <c r="U665" s="347"/>
      <c r="V665" s="347"/>
      <c r="W665" s="347"/>
      <c r="X665" s="34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  <c r="AJ665" s="257"/>
      <c r="AK665" s="257"/>
      <c r="AL665" s="257"/>
      <c r="AM665" s="257"/>
      <c r="AN665" s="257"/>
      <c r="AO665" s="257"/>
      <c r="AP665" s="257"/>
      <c r="AQ665" s="257"/>
      <c r="AR665" s="257"/>
      <c r="AS665" s="257"/>
      <c r="AT665" s="257"/>
      <c r="AU665" s="257"/>
      <c r="AV665" s="257"/>
      <c r="AW665" s="257"/>
      <c r="AX665" s="257"/>
      <c r="AY665" s="257"/>
      <c r="AZ665" s="257"/>
      <c r="BA665" s="257"/>
      <c r="BB665" s="257"/>
      <c r="BC665" s="257"/>
      <c r="BD665" s="257"/>
      <c r="BE665" s="257"/>
      <c r="BF665" s="257"/>
      <c r="BG665" s="257"/>
      <c r="BH665" s="257"/>
      <c r="BI665" s="257"/>
      <c r="BJ665" s="257"/>
    </row>
    <row r="666" spans="2:62" ht="15.75" customHeight="1">
      <c r="B666" s="7"/>
      <c r="C666" s="347"/>
      <c r="D666" s="347"/>
      <c r="E666" s="347"/>
      <c r="F666" s="347"/>
      <c r="G666" s="347"/>
      <c r="H666" s="347"/>
      <c r="I666" s="347"/>
      <c r="J666" s="347"/>
      <c r="K666" s="414"/>
      <c r="L666" s="414"/>
      <c r="M666" s="347"/>
      <c r="N666" s="414"/>
      <c r="O666" s="414"/>
      <c r="P666" s="347"/>
      <c r="Q666" s="414"/>
      <c r="R666" s="414"/>
      <c r="S666" s="347"/>
      <c r="T666" s="347"/>
      <c r="U666" s="347"/>
      <c r="V666" s="347"/>
      <c r="W666" s="347"/>
      <c r="X666" s="34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  <c r="AJ666" s="257"/>
      <c r="AK666" s="257"/>
      <c r="AL666" s="257"/>
      <c r="AM666" s="257"/>
      <c r="AN666" s="257"/>
      <c r="AO666" s="257"/>
      <c r="AP666" s="257"/>
      <c r="AQ666" s="257"/>
      <c r="AR666" s="257"/>
      <c r="AS666" s="257"/>
      <c r="AT666" s="257"/>
      <c r="AU666" s="257"/>
      <c r="AV666" s="257"/>
      <c r="AW666" s="257"/>
      <c r="AX666" s="257"/>
      <c r="AY666" s="257"/>
      <c r="AZ666" s="257"/>
      <c r="BA666" s="257"/>
      <c r="BB666" s="257"/>
      <c r="BC666" s="257"/>
      <c r="BD666" s="257"/>
      <c r="BE666" s="257"/>
      <c r="BF666" s="257"/>
      <c r="BG666" s="257"/>
      <c r="BH666" s="257"/>
      <c r="BI666" s="257"/>
      <c r="BJ666" s="257"/>
    </row>
    <row r="667" spans="2:62" ht="15.75" customHeight="1">
      <c r="B667" s="7"/>
      <c r="C667" s="347"/>
      <c r="D667" s="347"/>
      <c r="E667" s="347"/>
      <c r="F667" s="347"/>
      <c r="G667" s="347"/>
      <c r="H667" s="347"/>
      <c r="I667" s="347"/>
      <c r="J667" s="347"/>
      <c r="K667" s="414"/>
      <c r="L667" s="414"/>
      <c r="M667" s="347"/>
      <c r="N667" s="414"/>
      <c r="O667" s="414"/>
      <c r="P667" s="347"/>
      <c r="Q667" s="414"/>
      <c r="R667" s="414"/>
      <c r="S667" s="347"/>
      <c r="T667" s="347"/>
      <c r="U667" s="347"/>
      <c r="V667" s="347"/>
      <c r="W667" s="347"/>
      <c r="X667" s="34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  <c r="AJ667" s="257"/>
      <c r="AK667" s="257"/>
      <c r="AL667" s="257"/>
      <c r="AM667" s="257"/>
      <c r="AN667" s="257"/>
      <c r="AO667" s="257"/>
      <c r="AP667" s="257"/>
      <c r="AQ667" s="257"/>
      <c r="AR667" s="257"/>
      <c r="AS667" s="257"/>
      <c r="AT667" s="257"/>
      <c r="AU667" s="257"/>
      <c r="AV667" s="257"/>
      <c r="AW667" s="257"/>
      <c r="AX667" s="257"/>
      <c r="AY667" s="257"/>
      <c r="AZ667" s="257"/>
      <c r="BA667" s="257"/>
      <c r="BB667" s="257"/>
      <c r="BC667" s="257"/>
      <c r="BD667" s="257"/>
      <c r="BE667" s="257"/>
      <c r="BF667" s="257"/>
      <c r="BG667" s="257"/>
      <c r="BH667" s="257"/>
      <c r="BI667" s="257"/>
      <c r="BJ667" s="257"/>
    </row>
    <row r="668" spans="2:62" ht="15.75" customHeight="1">
      <c r="B668" s="7"/>
      <c r="C668" s="347"/>
      <c r="D668" s="347"/>
      <c r="E668" s="347"/>
      <c r="F668" s="347"/>
      <c r="G668" s="347"/>
      <c r="H668" s="347"/>
      <c r="I668" s="347"/>
      <c r="J668" s="347"/>
      <c r="K668" s="414"/>
      <c r="L668" s="414"/>
      <c r="M668" s="347"/>
      <c r="N668" s="414"/>
      <c r="O668" s="414"/>
      <c r="P668" s="347"/>
      <c r="Q668" s="414"/>
      <c r="R668" s="414"/>
      <c r="S668" s="347"/>
      <c r="T668" s="347"/>
      <c r="U668" s="347"/>
      <c r="V668" s="347"/>
      <c r="W668" s="347"/>
      <c r="X668" s="34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  <c r="AJ668" s="257"/>
      <c r="AK668" s="257"/>
      <c r="AL668" s="257"/>
      <c r="AM668" s="257"/>
      <c r="AN668" s="257"/>
      <c r="AO668" s="257"/>
      <c r="AP668" s="257"/>
      <c r="AQ668" s="257"/>
      <c r="AR668" s="257"/>
      <c r="AS668" s="257"/>
      <c r="AT668" s="257"/>
      <c r="AU668" s="257"/>
      <c r="AV668" s="257"/>
      <c r="AW668" s="257"/>
      <c r="AX668" s="257"/>
      <c r="AY668" s="257"/>
      <c r="AZ668" s="257"/>
      <c r="BA668" s="257"/>
      <c r="BB668" s="257"/>
      <c r="BC668" s="257"/>
      <c r="BD668" s="257"/>
      <c r="BE668" s="257"/>
      <c r="BF668" s="257"/>
      <c r="BG668" s="257"/>
      <c r="BH668" s="257"/>
      <c r="BI668" s="257"/>
      <c r="BJ668" s="257"/>
    </row>
    <row r="669" spans="2:62" ht="15.75" customHeight="1">
      <c r="B669" s="7"/>
      <c r="C669" s="347"/>
      <c r="D669" s="347"/>
      <c r="E669" s="347"/>
      <c r="F669" s="347"/>
      <c r="G669" s="347"/>
      <c r="H669" s="347"/>
      <c r="I669" s="347"/>
      <c r="J669" s="347"/>
      <c r="K669" s="414"/>
      <c r="L669" s="414"/>
      <c r="M669" s="347"/>
      <c r="N669" s="416"/>
      <c r="O669" s="416"/>
      <c r="P669" s="347"/>
      <c r="Q669" s="416"/>
      <c r="R669" s="414"/>
      <c r="S669" s="347"/>
      <c r="T669" s="347"/>
      <c r="U669" s="347"/>
      <c r="V669" s="347"/>
      <c r="W669" s="347"/>
      <c r="X669" s="34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  <c r="AJ669" s="257"/>
      <c r="AK669" s="257"/>
      <c r="AL669" s="257"/>
      <c r="AM669" s="257"/>
      <c r="AN669" s="257"/>
      <c r="AO669" s="257"/>
      <c r="AP669" s="257"/>
      <c r="AQ669" s="257"/>
      <c r="AR669" s="257"/>
      <c r="AS669" s="257"/>
      <c r="AT669" s="257"/>
      <c r="AU669" s="257"/>
      <c r="AV669" s="257"/>
      <c r="AW669" s="257"/>
      <c r="AX669" s="257"/>
      <c r="AY669" s="257"/>
      <c r="AZ669" s="257"/>
      <c r="BA669" s="257"/>
      <c r="BB669" s="257"/>
      <c r="BC669" s="257"/>
      <c r="BD669" s="257"/>
      <c r="BE669" s="257"/>
      <c r="BF669" s="257"/>
      <c r="BG669" s="257"/>
      <c r="BH669" s="257"/>
      <c r="BI669" s="257"/>
      <c r="BJ669" s="257"/>
    </row>
    <row r="670" spans="2:62" ht="15.75" customHeight="1">
      <c r="B670" s="7"/>
      <c r="C670" s="347"/>
      <c r="D670" s="347"/>
      <c r="E670" s="347"/>
      <c r="F670" s="347"/>
      <c r="G670" s="347"/>
      <c r="H670" s="347"/>
      <c r="I670" s="347"/>
      <c r="J670" s="347"/>
      <c r="K670" s="416"/>
      <c r="L670" s="416"/>
      <c r="M670" s="347"/>
      <c r="N670" s="414"/>
      <c r="O670" s="414"/>
      <c r="P670" s="347"/>
      <c r="Q670" s="414"/>
      <c r="R670" s="416"/>
      <c r="S670" s="347"/>
      <c r="T670" s="347"/>
      <c r="U670" s="347"/>
      <c r="V670" s="347"/>
      <c r="W670" s="347"/>
      <c r="X670" s="34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  <c r="AJ670" s="257"/>
      <c r="AK670" s="257"/>
      <c r="AL670" s="257"/>
      <c r="AM670" s="257"/>
      <c r="AN670" s="257"/>
      <c r="AO670" s="257"/>
      <c r="AP670" s="257"/>
      <c r="AQ670" s="257"/>
      <c r="AR670" s="257"/>
      <c r="AS670" s="257"/>
      <c r="AT670" s="257"/>
      <c r="AU670" s="257"/>
      <c r="AV670" s="257"/>
      <c r="AW670" s="257"/>
      <c r="AX670" s="257"/>
      <c r="AY670" s="257"/>
      <c r="AZ670" s="257"/>
      <c r="BA670" s="257"/>
      <c r="BB670" s="257"/>
      <c r="BC670" s="257"/>
      <c r="BD670" s="257"/>
      <c r="BE670" s="257"/>
      <c r="BF670" s="257"/>
      <c r="BG670" s="257"/>
      <c r="BH670" s="257"/>
      <c r="BI670" s="257"/>
      <c r="BJ670" s="257"/>
    </row>
    <row r="671" spans="2:62" ht="15.75" customHeight="1">
      <c r="B671" s="7"/>
      <c r="C671" s="347"/>
      <c r="D671" s="347"/>
      <c r="E671" s="347"/>
      <c r="F671" s="347"/>
      <c r="G671" s="347"/>
      <c r="H671" s="347"/>
      <c r="I671" s="347"/>
      <c r="J671" s="347"/>
      <c r="K671" s="414"/>
      <c r="L671" s="414"/>
      <c r="M671" s="347"/>
      <c r="N671" s="414"/>
      <c r="O671" s="414"/>
      <c r="P671" s="347"/>
      <c r="Q671" s="414"/>
      <c r="R671" s="414"/>
      <c r="S671" s="347"/>
      <c r="T671" s="347"/>
      <c r="U671" s="347"/>
      <c r="V671" s="347"/>
      <c r="W671" s="347"/>
      <c r="X671" s="34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  <c r="AJ671" s="257"/>
      <c r="AK671" s="257"/>
      <c r="AL671" s="257"/>
      <c r="AM671" s="257"/>
      <c r="AN671" s="257"/>
      <c r="AO671" s="257"/>
      <c r="AP671" s="257"/>
      <c r="AQ671" s="257"/>
      <c r="AR671" s="257"/>
      <c r="AS671" s="257"/>
      <c r="AT671" s="257"/>
      <c r="AU671" s="257"/>
      <c r="AV671" s="257"/>
      <c r="AW671" s="257"/>
      <c r="AX671" s="257"/>
      <c r="AY671" s="257"/>
      <c r="AZ671" s="257"/>
      <c r="BA671" s="257"/>
      <c r="BB671" s="257"/>
      <c r="BC671" s="257"/>
      <c r="BD671" s="257"/>
      <c r="BE671" s="257"/>
      <c r="BF671" s="257"/>
      <c r="BG671" s="257"/>
      <c r="BH671" s="257"/>
      <c r="BI671" s="257"/>
      <c r="BJ671" s="257"/>
    </row>
    <row r="672" spans="2:62" ht="15.75" customHeight="1">
      <c r="B672" s="7"/>
      <c r="C672" s="347"/>
      <c r="D672" s="347"/>
      <c r="E672" s="347"/>
      <c r="F672" s="347"/>
      <c r="G672" s="347"/>
      <c r="H672" s="347"/>
      <c r="I672" s="347"/>
      <c r="J672" s="347"/>
      <c r="K672" s="414"/>
      <c r="L672" s="414"/>
      <c r="M672" s="347"/>
      <c r="N672" s="414"/>
      <c r="O672" s="414"/>
      <c r="P672" s="347"/>
      <c r="Q672" s="414"/>
      <c r="R672" s="414"/>
      <c r="S672" s="347"/>
      <c r="T672" s="347"/>
      <c r="U672" s="347"/>
      <c r="V672" s="347"/>
      <c r="W672" s="347"/>
      <c r="X672" s="34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  <c r="AJ672" s="257"/>
      <c r="AK672" s="257"/>
      <c r="AL672" s="257"/>
      <c r="AM672" s="257"/>
      <c r="AN672" s="257"/>
      <c r="AO672" s="257"/>
      <c r="AP672" s="257"/>
      <c r="AQ672" s="257"/>
      <c r="AR672" s="257"/>
      <c r="AS672" s="257"/>
      <c r="AT672" s="257"/>
      <c r="AU672" s="257"/>
      <c r="AV672" s="257"/>
      <c r="AW672" s="257"/>
      <c r="AX672" s="257"/>
      <c r="AY672" s="257"/>
      <c r="AZ672" s="257"/>
      <c r="BA672" s="257"/>
      <c r="BB672" s="257"/>
      <c r="BC672" s="257"/>
      <c r="BD672" s="257"/>
      <c r="BE672" s="257"/>
      <c r="BF672" s="257"/>
      <c r="BG672" s="257"/>
      <c r="BH672" s="257"/>
      <c r="BI672" s="257"/>
      <c r="BJ672" s="257"/>
    </row>
    <row r="673" spans="2:62" ht="15.75" customHeight="1">
      <c r="B673" s="7"/>
      <c r="C673" s="347"/>
      <c r="D673" s="347"/>
      <c r="E673" s="347"/>
      <c r="F673" s="347"/>
      <c r="G673" s="347"/>
      <c r="H673" s="347"/>
      <c r="I673" s="347"/>
      <c r="J673" s="347"/>
      <c r="K673" s="414"/>
      <c r="L673" s="414"/>
      <c r="M673" s="347"/>
      <c r="N673" s="414"/>
      <c r="O673" s="414"/>
      <c r="P673" s="347"/>
      <c r="Q673" s="414"/>
      <c r="R673" s="414"/>
      <c r="S673" s="347"/>
      <c r="T673" s="347"/>
      <c r="U673" s="347"/>
      <c r="V673" s="347"/>
      <c r="W673" s="347"/>
      <c r="X673" s="34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  <c r="AJ673" s="257"/>
      <c r="AK673" s="257"/>
      <c r="AL673" s="257"/>
      <c r="AM673" s="257"/>
      <c r="AN673" s="257"/>
      <c r="AO673" s="257"/>
      <c r="AP673" s="257"/>
      <c r="AQ673" s="257"/>
      <c r="AR673" s="257"/>
      <c r="AS673" s="257"/>
      <c r="AT673" s="257"/>
      <c r="AU673" s="257"/>
      <c r="AV673" s="257"/>
      <c r="AW673" s="257"/>
      <c r="AX673" s="257"/>
      <c r="AY673" s="257"/>
      <c r="AZ673" s="257"/>
      <c r="BA673" s="257"/>
      <c r="BB673" s="257"/>
      <c r="BC673" s="257"/>
      <c r="BD673" s="257"/>
      <c r="BE673" s="257"/>
      <c r="BF673" s="257"/>
      <c r="BG673" s="257"/>
      <c r="BH673" s="257"/>
      <c r="BI673" s="257"/>
      <c r="BJ673" s="257"/>
    </row>
    <row r="674" spans="2:62" ht="15.75" customHeight="1">
      <c r="B674" s="7"/>
      <c r="C674" s="347"/>
      <c r="D674" s="347"/>
      <c r="E674" s="347"/>
      <c r="F674" s="347"/>
      <c r="G674" s="347"/>
      <c r="H674" s="347"/>
      <c r="I674" s="347"/>
      <c r="J674" s="347"/>
      <c r="K674" s="414"/>
      <c r="L674" s="414"/>
      <c r="M674" s="347"/>
      <c r="N674" s="414"/>
      <c r="O674" s="414"/>
      <c r="P674" s="347"/>
      <c r="Q674" s="414"/>
      <c r="R674" s="414"/>
      <c r="S674" s="347"/>
      <c r="T674" s="347"/>
      <c r="U674" s="347"/>
      <c r="V674" s="347"/>
      <c r="W674" s="347"/>
      <c r="X674" s="34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  <c r="AJ674" s="257"/>
      <c r="AK674" s="257"/>
      <c r="AL674" s="257"/>
      <c r="AM674" s="257"/>
      <c r="AN674" s="257"/>
      <c r="AO674" s="257"/>
      <c r="AP674" s="257"/>
      <c r="AQ674" s="257"/>
      <c r="AR674" s="257"/>
      <c r="AS674" s="257"/>
      <c r="AT674" s="257"/>
      <c r="AU674" s="257"/>
      <c r="AV674" s="257"/>
      <c r="AW674" s="257"/>
      <c r="AX674" s="257"/>
      <c r="AY674" s="257"/>
      <c r="AZ674" s="257"/>
      <c r="BA674" s="257"/>
      <c r="BB674" s="257"/>
      <c r="BC674" s="257"/>
      <c r="BD674" s="257"/>
      <c r="BE674" s="257"/>
      <c r="BF674" s="257"/>
      <c r="BG674" s="257"/>
      <c r="BH674" s="257"/>
      <c r="BI674" s="257"/>
      <c r="BJ674" s="257"/>
    </row>
    <row r="675" spans="2:62" ht="15.75" customHeight="1">
      <c r="B675" s="7"/>
      <c r="C675" s="347"/>
      <c r="D675" s="347"/>
      <c r="E675" s="347"/>
      <c r="F675" s="347"/>
      <c r="G675" s="347"/>
      <c r="H675" s="347"/>
      <c r="I675" s="347"/>
      <c r="J675" s="347"/>
      <c r="K675" s="414"/>
      <c r="L675" s="414"/>
      <c r="M675" s="347"/>
      <c r="N675" s="414"/>
      <c r="O675" s="414"/>
      <c r="P675" s="347"/>
      <c r="Q675" s="414"/>
      <c r="R675" s="414"/>
      <c r="S675" s="347"/>
      <c r="T675" s="347"/>
      <c r="U675" s="347"/>
      <c r="V675" s="347"/>
      <c r="W675" s="347"/>
      <c r="X675" s="34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  <c r="AJ675" s="257"/>
      <c r="AK675" s="257"/>
      <c r="AL675" s="257"/>
      <c r="AM675" s="257"/>
      <c r="AN675" s="257"/>
      <c r="AO675" s="257"/>
      <c r="AP675" s="257"/>
      <c r="AQ675" s="257"/>
      <c r="AR675" s="257"/>
      <c r="AS675" s="257"/>
      <c r="AT675" s="257"/>
      <c r="AU675" s="257"/>
      <c r="AV675" s="257"/>
      <c r="AW675" s="257"/>
      <c r="AX675" s="257"/>
      <c r="AY675" s="257"/>
      <c r="AZ675" s="257"/>
      <c r="BA675" s="257"/>
      <c r="BB675" s="257"/>
      <c r="BC675" s="257"/>
      <c r="BD675" s="257"/>
      <c r="BE675" s="257"/>
      <c r="BF675" s="257"/>
      <c r="BG675" s="257"/>
      <c r="BH675" s="257"/>
      <c r="BI675" s="257"/>
      <c r="BJ675" s="257"/>
    </row>
    <row r="676" spans="2:62" ht="15.75" customHeight="1">
      <c r="B676" s="7"/>
      <c r="C676" s="347"/>
      <c r="D676" s="347"/>
      <c r="E676" s="347"/>
      <c r="F676" s="347"/>
      <c r="G676" s="347"/>
      <c r="H676" s="347"/>
      <c r="I676" s="347"/>
      <c r="J676" s="347"/>
      <c r="K676" s="414"/>
      <c r="L676" s="414"/>
      <c r="M676" s="347"/>
      <c r="N676" s="414"/>
      <c r="O676" s="414"/>
      <c r="P676" s="347"/>
      <c r="Q676" s="414"/>
      <c r="R676" s="414"/>
      <c r="S676" s="347"/>
      <c r="T676" s="347"/>
      <c r="U676" s="347"/>
      <c r="V676" s="347"/>
      <c r="W676" s="347"/>
      <c r="X676" s="34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  <c r="AJ676" s="257"/>
      <c r="AK676" s="257"/>
      <c r="AL676" s="257"/>
      <c r="AM676" s="257"/>
      <c r="AN676" s="257"/>
      <c r="AO676" s="257"/>
      <c r="AP676" s="257"/>
      <c r="AQ676" s="257"/>
      <c r="AR676" s="257"/>
      <c r="AS676" s="257"/>
      <c r="AT676" s="257"/>
      <c r="AU676" s="257"/>
      <c r="AV676" s="257"/>
      <c r="AW676" s="257"/>
      <c r="AX676" s="257"/>
      <c r="AY676" s="257"/>
      <c r="AZ676" s="257"/>
      <c r="BA676" s="257"/>
      <c r="BB676" s="257"/>
      <c r="BC676" s="257"/>
      <c r="BD676" s="257"/>
      <c r="BE676" s="257"/>
      <c r="BF676" s="257"/>
      <c r="BG676" s="257"/>
      <c r="BH676" s="257"/>
      <c r="BI676" s="257"/>
      <c r="BJ676" s="257"/>
    </row>
    <row r="677" spans="2:62" ht="15.75" customHeight="1">
      <c r="B677" s="7"/>
      <c r="C677" s="347"/>
      <c r="D677" s="347"/>
      <c r="E677" s="347"/>
      <c r="F677" s="347"/>
      <c r="G677" s="347"/>
      <c r="H677" s="347"/>
      <c r="I677" s="347"/>
      <c r="J677" s="347"/>
      <c r="K677" s="414"/>
      <c r="L677" s="414"/>
      <c r="M677" s="347"/>
      <c r="N677" s="414"/>
      <c r="O677" s="414"/>
      <c r="P677" s="347"/>
      <c r="Q677" s="414"/>
      <c r="R677" s="414"/>
      <c r="S677" s="347"/>
      <c r="T677" s="347"/>
      <c r="U677" s="347"/>
      <c r="V677" s="347"/>
      <c r="W677" s="347"/>
      <c r="X677" s="34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  <c r="AJ677" s="257"/>
      <c r="AK677" s="257"/>
      <c r="AL677" s="257"/>
      <c r="AM677" s="257"/>
      <c r="AN677" s="257"/>
      <c r="AO677" s="257"/>
      <c r="AP677" s="257"/>
      <c r="AQ677" s="257"/>
      <c r="AR677" s="257"/>
      <c r="AS677" s="257"/>
      <c r="AT677" s="257"/>
      <c r="AU677" s="257"/>
      <c r="AV677" s="257"/>
      <c r="AW677" s="257"/>
      <c r="AX677" s="257"/>
      <c r="AY677" s="257"/>
      <c r="AZ677" s="257"/>
      <c r="BA677" s="257"/>
      <c r="BB677" s="257"/>
      <c r="BC677" s="257"/>
      <c r="BD677" s="257"/>
      <c r="BE677" s="257"/>
      <c r="BF677" s="257"/>
      <c r="BG677" s="257"/>
      <c r="BH677" s="257"/>
      <c r="BI677" s="257"/>
      <c r="BJ677" s="257"/>
    </row>
    <row r="678" spans="2:62" ht="15.75" customHeight="1">
      <c r="B678" s="7"/>
      <c r="C678" s="347"/>
      <c r="D678" s="347"/>
      <c r="E678" s="347"/>
      <c r="F678" s="347"/>
      <c r="G678" s="347"/>
      <c r="H678" s="347"/>
      <c r="I678" s="347"/>
      <c r="J678" s="347"/>
      <c r="K678" s="414"/>
      <c r="L678" s="414"/>
      <c r="M678" s="347"/>
      <c r="N678" s="414"/>
      <c r="O678" s="414"/>
      <c r="P678" s="347"/>
      <c r="Q678" s="414"/>
      <c r="R678" s="414"/>
      <c r="S678" s="347"/>
      <c r="T678" s="347"/>
      <c r="U678" s="347"/>
      <c r="V678" s="347"/>
      <c r="W678" s="347"/>
      <c r="X678" s="34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  <c r="AJ678" s="257"/>
      <c r="AK678" s="257"/>
      <c r="AL678" s="257"/>
      <c r="AM678" s="257"/>
      <c r="AN678" s="257"/>
      <c r="AO678" s="257"/>
      <c r="AP678" s="257"/>
      <c r="AQ678" s="257"/>
      <c r="AR678" s="257"/>
      <c r="AS678" s="257"/>
      <c r="AT678" s="257"/>
      <c r="AU678" s="257"/>
      <c r="AV678" s="257"/>
      <c r="AW678" s="257"/>
      <c r="AX678" s="257"/>
      <c r="AY678" s="257"/>
      <c r="AZ678" s="257"/>
      <c r="BA678" s="257"/>
      <c r="BB678" s="257"/>
      <c r="BC678" s="257"/>
      <c r="BD678" s="257"/>
      <c r="BE678" s="257"/>
      <c r="BF678" s="257"/>
      <c r="BG678" s="257"/>
      <c r="BH678" s="257"/>
      <c r="BI678" s="257"/>
      <c r="BJ678" s="257"/>
    </row>
    <row r="679" spans="2:62" ht="15.75" customHeight="1">
      <c r="B679" s="7"/>
      <c r="C679" s="347"/>
      <c r="D679" s="347"/>
      <c r="E679" s="347"/>
      <c r="F679" s="347"/>
      <c r="G679" s="347"/>
      <c r="H679" s="347"/>
      <c r="I679" s="347"/>
      <c r="J679" s="347"/>
      <c r="K679" s="414"/>
      <c r="L679" s="414"/>
      <c r="M679" s="347"/>
      <c r="N679" s="414"/>
      <c r="O679" s="414"/>
      <c r="P679" s="347"/>
      <c r="Q679" s="414"/>
      <c r="R679" s="414"/>
      <c r="S679" s="347"/>
      <c r="T679" s="347"/>
      <c r="U679" s="347"/>
      <c r="V679" s="347"/>
      <c r="W679" s="347"/>
      <c r="X679" s="34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  <c r="AJ679" s="257"/>
      <c r="AK679" s="257"/>
      <c r="AL679" s="257"/>
      <c r="AM679" s="257"/>
      <c r="AN679" s="257"/>
      <c r="AO679" s="257"/>
      <c r="AP679" s="257"/>
      <c r="AQ679" s="257"/>
      <c r="AR679" s="257"/>
      <c r="AS679" s="257"/>
      <c r="AT679" s="257"/>
      <c r="AU679" s="257"/>
      <c r="AV679" s="257"/>
      <c r="AW679" s="257"/>
      <c r="AX679" s="257"/>
      <c r="AY679" s="257"/>
      <c r="AZ679" s="257"/>
      <c r="BA679" s="257"/>
      <c r="BB679" s="257"/>
      <c r="BC679" s="257"/>
      <c r="BD679" s="257"/>
      <c r="BE679" s="257"/>
      <c r="BF679" s="257"/>
      <c r="BG679" s="257"/>
      <c r="BH679" s="257"/>
      <c r="BI679" s="257"/>
      <c r="BJ679" s="257"/>
    </row>
    <row r="680" spans="2:62" ht="15.75" customHeight="1">
      <c r="B680" s="7"/>
      <c r="C680" s="347"/>
      <c r="D680" s="347"/>
      <c r="E680" s="347"/>
      <c r="F680" s="347"/>
      <c r="G680" s="347"/>
      <c r="H680" s="347"/>
      <c r="I680" s="347"/>
      <c r="J680" s="347"/>
      <c r="K680" s="414"/>
      <c r="L680" s="414"/>
      <c r="M680" s="347"/>
      <c r="N680" s="414"/>
      <c r="O680" s="414"/>
      <c r="P680" s="347"/>
      <c r="Q680" s="414"/>
      <c r="R680" s="414"/>
      <c r="S680" s="347"/>
      <c r="T680" s="347"/>
      <c r="U680" s="347"/>
      <c r="V680" s="347"/>
      <c r="W680" s="347"/>
      <c r="X680" s="34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  <c r="AJ680" s="257"/>
      <c r="AK680" s="257"/>
      <c r="AL680" s="257"/>
      <c r="AM680" s="257"/>
      <c r="AN680" s="257"/>
      <c r="AO680" s="257"/>
      <c r="AP680" s="257"/>
      <c r="AQ680" s="257"/>
      <c r="AR680" s="257"/>
      <c r="AS680" s="257"/>
      <c r="AT680" s="257"/>
      <c r="AU680" s="257"/>
      <c r="AV680" s="257"/>
      <c r="AW680" s="257"/>
      <c r="AX680" s="257"/>
      <c r="AY680" s="257"/>
      <c r="AZ680" s="257"/>
      <c r="BA680" s="257"/>
      <c r="BB680" s="257"/>
      <c r="BC680" s="257"/>
      <c r="BD680" s="257"/>
      <c r="BE680" s="257"/>
      <c r="BF680" s="257"/>
      <c r="BG680" s="257"/>
      <c r="BH680" s="257"/>
      <c r="BI680" s="257"/>
      <c r="BJ680" s="257"/>
    </row>
    <row r="681" spans="2:62" ht="15.75" customHeight="1">
      <c r="B681" s="7"/>
      <c r="C681" s="347"/>
      <c r="D681" s="347"/>
      <c r="E681" s="347"/>
      <c r="F681" s="347"/>
      <c r="G681" s="347"/>
      <c r="H681" s="347"/>
      <c r="I681" s="347"/>
      <c r="J681" s="347"/>
      <c r="K681" s="414"/>
      <c r="L681" s="414"/>
      <c r="M681" s="347"/>
      <c r="N681" s="414"/>
      <c r="O681" s="414"/>
      <c r="P681" s="347"/>
      <c r="Q681" s="414"/>
      <c r="R681" s="414"/>
      <c r="S681" s="347"/>
      <c r="T681" s="347"/>
      <c r="U681" s="347"/>
      <c r="V681" s="347"/>
      <c r="W681" s="347"/>
      <c r="X681" s="34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  <c r="AJ681" s="257"/>
      <c r="AK681" s="257"/>
      <c r="AL681" s="257"/>
      <c r="AM681" s="257"/>
      <c r="AN681" s="257"/>
      <c r="AO681" s="257"/>
      <c r="AP681" s="257"/>
      <c r="AQ681" s="257"/>
      <c r="AR681" s="257"/>
      <c r="AS681" s="257"/>
      <c r="AT681" s="257"/>
      <c r="AU681" s="257"/>
      <c r="AV681" s="257"/>
      <c r="AW681" s="257"/>
      <c r="AX681" s="257"/>
      <c r="AY681" s="257"/>
      <c r="AZ681" s="257"/>
      <c r="BA681" s="257"/>
      <c r="BB681" s="257"/>
      <c r="BC681" s="257"/>
      <c r="BD681" s="257"/>
      <c r="BE681" s="257"/>
      <c r="BF681" s="257"/>
      <c r="BG681" s="257"/>
      <c r="BH681" s="257"/>
      <c r="BI681" s="257"/>
      <c r="BJ681" s="257"/>
    </row>
    <row r="682" spans="2:62" ht="15.75" customHeight="1">
      <c r="B682" s="7"/>
      <c r="C682" s="347"/>
      <c r="D682" s="347"/>
      <c r="E682" s="347"/>
      <c r="F682" s="347"/>
      <c r="G682" s="347"/>
      <c r="H682" s="347"/>
      <c r="I682" s="347"/>
      <c r="J682" s="347"/>
      <c r="K682" s="414"/>
      <c r="L682" s="414"/>
      <c r="M682" s="347"/>
      <c r="N682" s="414"/>
      <c r="O682" s="414"/>
      <c r="P682" s="347"/>
      <c r="Q682" s="414"/>
      <c r="R682" s="414"/>
      <c r="S682" s="347"/>
      <c r="T682" s="347"/>
      <c r="U682" s="347"/>
      <c r="V682" s="347"/>
      <c r="W682" s="347"/>
      <c r="X682" s="34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  <c r="AJ682" s="257"/>
      <c r="AK682" s="257"/>
      <c r="AL682" s="257"/>
      <c r="AM682" s="257"/>
      <c r="AN682" s="257"/>
      <c r="AO682" s="257"/>
      <c r="AP682" s="257"/>
      <c r="AQ682" s="257"/>
      <c r="AR682" s="257"/>
      <c r="AS682" s="257"/>
      <c r="AT682" s="257"/>
      <c r="AU682" s="257"/>
      <c r="AV682" s="257"/>
      <c r="AW682" s="257"/>
      <c r="AX682" s="257"/>
      <c r="AY682" s="257"/>
      <c r="AZ682" s="257"/>
      <c r="BA682" s="257"/>
      <c r="BB682" s="257"/>
      <c r="BC682" s="257"/>
      <c r="BD682" s="257"/>
      <c r="BE682" s="257"/>
      <c r="BF682" s="257"/>
      <c r="BG682" s="257"/>
      <c r="BH682" s="257"/>
      <c r="BI682" s="257"/>
      <c r="BJ682" s="257"/>
    </row>
    <row r="683" spans="2:62" ht="15.75" customHeight="1">
      <c r="B683" s="7"/>
      <c r="C683" s="347"/>
      <c r="D683" s="347"/>
      <c r="E683" s="347"/>
      <c r="F683" s="347"/>
      <c r="G683" s="347"/>
      <c r="H683" s="347"/>
      <c r="I683" s="347"/>
      <c r="J683" s="347"/>
      <c r="K683" s="414"/>
      <c r="L683" s="414"/>
      <c r="M683" s="347"/>
      <c r="N683" s="414"/>
      <c r="O683" s="414"/>
      <c r="P683" s="347"/>
      <c r="Q683" s="414"/>
      <c r="R683" s="414"/>
      <c r="S683" s="347"/>
      <c r="T683" s="347"/>
      <c r="U683" s="347"/>
      <c r="V683" s="347"/>
      <c r="W683" s="347"/>
      <c r="X683" s="34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  <c r="AJ683" s="257"/>
      <c r="AK683" s="257"/>
      <c r="AL683" s="257"/>
      <c r="AM683" s="257"/>
      <c r="AN683" s="257"/>
      <c r="AO683" s="257"/>
      <c r="AP683" s="257"/>
      <c r="AQ683" s="257"/>
      <c r="AR683" s="257"/>
      <c r="AS683" s="257"/>
      <c r="AT683" s="257"/>
      <c r="AU683" s="257"/>
      <c r="AV683" s="257"/>
      <c r="AW683" s="257"/>
      <c r="AX683" s="257"/>
      <c r="AY683" s="257"/>
      <c r="AZ683" s="257"/>
      <c r="BA683" s="257"/>
      <c r="BB683" s="257"/>
      <c r="BC683" s="257"/>
      <c r="BD683" s="257"/>
      <c r="BE683" s="257"/>
      <c r="BF683" s="257"/>
      <c r="BG683" s="257"/>
      <c r="BH683" s="257"/>
      <c r="BI683" s="257"/>
      <c r="BJ683" s="257"/>
    </row>
    <row r="684" spans="2:62" ht="15.75" customHeight="1">
      <c r="B684" s="7"/>
      <c r="C684" s="347"/>
      <c r="D684" s="347"/>
      <c r="E684" s="347"/>
      <c r="F684" s="347"/>
      <c r="G684" s="347"/>
      <c r="H684" s="347"/>
      <c r="I684" s="347"/>
      <c r="J684" s="347"/>
      <c r="K684" s="414"/>
      <c r="L684" s="414"/>
      <c r="M684" s="347"/>
      <c r="N684" s="347"/>
      <c r="O684" s="347"/>
      <c r="P684" s="347"/>
      <c r="Q684" s="347"/>
      <c r="R684" s="414"/>
      <c r="S684" s="347"/>
      <c r="T684" s="347"/>
      <c r="U684" s="347"/>
      <c r="V684" s="347"/>
      <c r="W684" s="347"/>
      <c r="X684" s="34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  <c r="AJ684" s="257"/>
      <c r="AK684" s="257"/>
      <c r="AL684" s="257"/>
      <c r="AM684" s="257"/>
      <c r="AN684" s="257"/>
      <c r="AO684" s="257"/>
      <c r="AP684" s="257"/>
      <c r="AQ684" s="257"/>
      <c r="AR684" s="257"/>
      <c r="AS684" s="257"/>
      <c r="AT684" s="257"/>
      <c r="AU684" s="257"/>
      <c r="AV684" s="257"/>
      <c r="AW684" s="257"/>
      <c r="AX684" s="257"/>
      <c r="AY684" s="257"/>
      <c r="AZ684" s="257"/>
      <c r="BA684" s="257"/>
      <c r="BB684" s="257"/>
      <c r="BC684" s="257"/>
      <c r="BD684" s="257"/>
      <c r="BE684" s="257"/>
      <c r="BF684" s="257"/>
      <c r="BG684" s="257"/>
      <c r="BH684" s="257"/>
      <c r="BI684" s="257"/>
      <c r="BJ684" s="257"/>
    </row>
    <row r="685" spans="2:62" ht="15.75" customHeight="1">
      <c r="B685" s="7"/>
      <c r="C685" s="347"/>
      <c r="D685" s="347"/>
      <c r="E685" s="347"/>
      <c r="F685" s="347"/>
      <c r="G685" s="347"/>
      <c r="H685" s="347"/>
      <c r="I685" s="347"/>
      <c r="J685" s="347"/>
      <c r="K685" s="414"/>
      <c r="L685" s="414"/>
      <c r="M685" s="347"/>
      <c r="N685" s="416"/>
      <c r="O685" s="416"/>
      <c r="P685" s="347"/>
      <c r="Q685" s="416"/>
      <c r="R685" s="414"/>
      <c r="S685" s="347"/>
      <c r="T685" s="347"/>
      <c r="U685" s="347"/>
      <c r="V685" s="347"/>
      <c r="W685" s="347"/>
      <c r="X685" s="34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  <c r="AJ685" s="257"/>
      <c r="AK685" s="257"/>
      <c r="AL685" s="257"/>
      <c r="AM685" s="257"/>
      <c r="AN685" s="257"/>
      <c r="AO685" s="257"/>
      <c r="AP685" s="257"/>
      <c r="AQ685" s="257"/>
      <c r="AR685" s="257"/>
      <c r="AS685" s="257"/>
      <c r="AT685" s="257"/>
      <c r="AU685" s="257"/>
      <c r="AV685" s="257"/>
      <c r="AW685" s="257"/>
      <c r="AX685" s="257"/>
      <c r="AY685" s="257"/>
      <c r="AZ685" s="257"/>
      <c r="BA685" s="257"/>
      <c r="BB685" s="257"/>
      <c r="BC685" s="257"/>
      <c r="BD685" s="257"/>
      <c r="BE685" s="257"/>
      <c r="BF685" s="257"/>
      <c r="BG685" s="257"/>
      <c r="BH685" s="257"/>
      <c r="BI685" s="257"/>
      <c r="BJ685" s="257"/>
    </row>
    <row r="686" spans="2:62" ht="15.75" customHeight="1">
      <c r="B686" s="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414"/>
      <c r="O686" s="414"/>
      <c r="P686" s="347"/>
      <c r="Q686" s="414"/>
      <c r="R686" s="347"/>
      <c r="S686" s="347"/>
      <c r="T686" s="347"/>
      <c r="U686" s="347"/>
      <c r="V686" s="347"/>
      <c r="W686" s="347"/>
      <c r="X686" s="34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  <c r="AJ686" s="257"/>
      <c r="AK686" s="257"/>
      <c r="AL686" s="257"/>
      <c r="AM686" s="257"/>
      <c r="AN686" s="257"/>
      <c r="AO686" s="257"/>
      <c r="AP686" s="257"/>
      <c r="AQ686" s="257"/>
      <c r="AR686" s="257"/>
      <c r="AS686" s="257"/>
      <c r="AT686" s="257"/>
      <c r="AU686" s="257"/>
      <c r="AV686" s="257"/>
      <c r="AW686" s="257"/>
      <c r="AX686" s="257"/>
      <c r="AY686" s="257"/>
      <c r="AZ686" s="257"/>
      <c r="BA686" s="257"/>
      <c r="BB686" s="257"/>
      <c r="BC686" s="257"/>
      <c r="BD686" s="257"/>
      <c r="BE686" s="257"/>
      <c r="BF686" s="257"/>
      <c r="BG686" s="257"/>
      <c r="BH686" s="257"/>
      <c r="BI686" s="257"/>
      <c r="BJ686" s="257"/>
    </row>
    <row r="687" spans="2:62" ht="15.75" customHeight="1">
      <c r="B687" s="7"/>
      <c r="C687" s="347"/>
      <c r="D687" s="347"/>
      <c r="E687" s="347"/>
      <c r="F687" s="347"/>
      <c r="G687" s="347"/>
      <c r="H687" s="347"/>
      <c r="I687" s="347"/>
      <c r="J687" s="347"/>
      <c r="K687" s="416"/>
      <c r="L687" s="416"/>
      <c r="M687" s="347"/>
      <c r="N687" s="414"/>
      <c r="O687" s="414"/>
      <c r="P687" s="347"/>
      <c r="Q687" s="414"/>
      <c r="R687" s="416"/>
      <c r="S687" s="347"/>
      <c r="T687" s="347"/>
      <c r="U687" s="347"/>
      <c r="V687" s="347"/>
      <c r="W687" s="347"/>
      <c r="X687" s="34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  <c r="AJ687" s="257"/>
      <c r="AK687" s="257"/>
      <c r="AL687" s="257"/>
      <c r="AM687" s="257"/>
      <c r="AN687" s="257"/>
      <c r="AO687" s="257"/>
      <c r="AP687" s="257"/>
      <c r="AQ687" s="257"/>
      <c r="AR687" s="257"/>
      <c r="AS687" s="257"/>
      <c r="AT687" s="257"/>
      <c r="AU687" s="257"/>
      <c r="AV687" s="257"/>
      <c r="AW687" s="257"/>
      <c r="AX687" s="257"/>
      <c r="AY687" s="257"/>
      <c r="AZ687" s="257"/>
      <c r="BA687" s="257"/>
      <c r="BB687" s="257"/>
      <c r="BC687" s="257"/>
      <c r="BD687" s="257"/>
      <c r="BE687" s="257"/>
      <c r="BF687" s="257"/>
      <c r="BG687" s="257"/>
      <c r="BH687" s="257"/>
      <c r="BI687" s="257"/>
      <c r="BJ687" s="257"/>
    </row>
    <row r="688" spans="2:62" ht="15.75" customHeight="1">
      <c r="B688" s="7"/>
      <c r="C688" s="347"/>
      <c r="D688" s="347"/>
      <c r="E688" s="347"/>
      <c r="F688" s="347"/>
      <c r="G688" s="347"/>
      <c r="H688" s="347"/>
      <c r="I688" s="347"/>
      <c r="J688" s="347"/>
      <c r="K688" s="414"/>
      <c r="L688" s="414"/>
      <c r="M688" s="347"/>
      <c r="N688" s="414"/>
      <c r="O688" s="414"/>
      <c r="P688" s="347"/>
      <c r="Q688" s="414"/>
      <c r="R688" s="414"/>
      <c r="S688" s="347"/>
      <c r="T688" s="347"/>
      <c r="U688" s="347"/>
      <c r="V688" s="347"/>
      <c r="W688" s="347"/>
      <c r="X688" s="34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  <c r="AJ688" s="257"/>
      <c r="AK688" s="257"/>
      <c r="AL688" s="257"/>
      <c r="AM688" s="257"/>
      <c r="AN688" s="257"/>
      <c r="AO688" s="257"/>
      <c r="AP688" s="257"/>
      <c r="AQ688" s="257"/>
      <c r="AR688" s="257"/>
      <c r="AS688" s="257"/>
      <c r="AT688" s="257"/>
      <c r="AU688" s="257"/>
      <c r="AV688" s="257"/>
      <c r="AW688" s="257"/>
      <c r="AX688" s="257"/>
      <c r="AY688" s="257"/>
      <c r="AZ688" s="257"/>
      <c r="BA688" s="257"/>
      <c r="BB688" s="257"/>
      <c r="BC688" s="257"/>
      <c r="BD688" s="257"/>
      <c r="BE688" s="257"/>
      <c r="BF688" s="257"/>
      <c r="BG688" s="257"/>
      <c r="BH688" s="257"/>
      <c r="BI688" s="257"/>
      <c r="BJ688" s="257"/>
    </row>
    <row r="689" spans="2:62" ht="15.75" customHeight="1">
      <c r="B689" s="7"/>
      <c r="C689" s="347"/>
      <c r="D689" s="347"/>
      <c r="E689" s="347"/>
      <c r="F689" s="347"/>
      <c r="G689" s="347"/>
      <c r="H689" s="347"/>
      <c r="I689" s="347"/>
      <c r="J689" s="347"/>
      <c r="K689" s="414"/>
      <c r="L689" s="414"/>
      <c r="M689" s="347"/>
      <c r="N689" s="414"/>
      <c r="O689" s="414"/>
      <c r="P689" s="347"/>
      <c r="Q689" s="414"/>
      <c r="R689" s="414"/>
      <c r="S689" s="347"/>
      <c r="T689" s="347"/>
      <c r="U689" s="347"/>
      <c r="V689" s="347"/>
      <c r="W689" s="347"/>
      <c r="X689" s="34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  <c r="AJ689" s="257"/>
      <c r="AK689" s="257"/>
      <c r="AL689" s="257"/>
      <c r="AM689" s="257"/>
      <c r="AN689" s="257"/>
      <c r="AO689" s="257"/>
      <c r="AP689" s="257"/>
      <c r="AQ689" s="257"/>
      <c r="AR689" s="257"/>
      <c r="AS689" s="257"/>
      <c r="AT689" s="257"/>
      <c r="AU689" s="257"/>
      <c r="AV689" s="257"/>
      <c r="AW689" s="257"/>
      <c r="AX689" s="257"/>
      <c r="AY689" s="257"/>
      <c r="AZ689" s="257"/>
      <c r="BA689" s="257"/>
      <c r="BB689" s="257"/>
      <c r="BC689" s="257"/>
      <c r="BD689" s="257"/>
      <c r="BE689" s="257"/>
      <c r="BF689" s="257"/>
      <c r="BG689" s="257"/>
      <c r="BH689" s="257"/>
      <c r="BI689" s="257"/>
      <c r="BJ689" s="257"/>
    </row>
    <row r="690" spans="2:62" ht="15.75" customHeight="1">
      <c r="B690" s="7"/>
      <c r="C690" s="347"/>
      <c r="D690" s="347"/>
      <c r="E690" s="347"/>
      <c r="F690" s="347"/>
      <c r="G690" s="347"/>
      <c r="H690" s="347"/>
      <c r="I690" s="347"/>
      <c r="J690" s="347"/>
      <c r="K690" s="414"/>
      <c r="L690" s="414"/>
      <c r="M690" s="347"/>
      <c r="N690" s="414"/>
      <c r="O690" s="414"/>
      <c r="P690" s="347"/>
      <c r="Q690" s="414"/>
      <c r="R690" s="414"/>
      <c r="S690" s="347"/>
      <c r="T690" s="347"/>
      <c r="U690" s="347"/>
      <c r="V690" s="347"/>
      <c r="W690" s="347"/>
      <c r="X690" s="34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  <c r="AJ690" s="257"/>
      <c r="AK690" s="257"/>
      <c r="AL690" s="257"/>
      <c r="AM690" s="257"/>
      <c r="AN690" s="257"/>
      <c r="AO690" s="257"/>
      <c r="AP690" s="257"/>
      <c r="AQ690" s="257"/>
      <c r="AR690" s="257"/>
      <c r="AS690" s="257"/>
      <c r="AT690" s="257"/>
      <c r="AU690" s="257"/>
      <c r="AV690" s="257"/>
      <c r="AW690" s="257"/>
      <c r="AX690" s="257"/>
      <c r="AY690" s="257"/>
      <c r="AZ690" s="257"/>
      <c r="BA690" s="257"/>
      <c r="BB690" s="257"/>
      <c r="BC690" s="257"/>
      <c r="BD690" s="257"/>
      <c r="BE690" s="257"/>
      <c r="BF690" s="257"/>
      <c r="BG690" s="257"/>
      <c r="BH690" s="257"/>
      <c r="BI690" s="257"/>
      <c r="BJ690" s="257"/>
    </row>
    <row r="691" spans="2:62" ht="15.75" customHeight="1">
      <c r="B691" s="7"/>
      <c r="C691" s="347"/>
      <c r="D691" s="347"/>
      <c r="E691" s="347"/>
      <c r="F691" s="347"/>
      <c r="G691" s="347"/>
      <c r="H691" s="347"/>
      <c r="I691" s="347"/>
      <c r="J691" s="347"/>
      <c r="K691" s="414"/>
      <c r="L691" s="414"/>
      <c r="M691" s="347"/>
      <c r="N691" s="414"/>
      <c r="O691" s="414"/>
      <c r="P691" s="347"/>
      <c r="Q691" s="414"/>
      <c r="R691" s="414"/>
      <c r="S691" s="347"/>
      <c r="T691" s="347"/>
      <c r="U691" s="347"/>
      <c r="V691" s="347"/>
      <c r="W691" s="347"/>
      <c r="X691" s="34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  <c r="AJ691" s="257"/>
      <c r="AK691" s="257"/>
      <c r="AL691" s="257"/>
      <c r="AM691" s="257"/>
      <c r="AN691" s="257"/>
      <c r="AO691" s="257"/>
      <c r="AP691" s="257"/>
      <c r="AQ691" s="257"/>
      <c r="AR691" s="257"/>
      <c r="AS691" s="257"/>
      <c r="AT691" s="257"/>
      <c r="AU691" s="257"/>
      <c r="AV691" s="257"/>
      <c r="AW691" s="257"/>
      <c r="AX691" s="257"/>
      <c r="AY691" s="257"/>
      <c r="AZ691" s="257"/>
      <c r="BA691" s="257"/>
      <c r="BB691" s="257"/>
      <c r="BC691" s="257"/>
      <c r="BD691" s="257"/>
      <c r="BE691" s="257"/>
      <c r="BF691" s="257"/>
      <c r="BG691" s="257"/>
      <c r="BH691" s="257"/>
      <c r="BI691" s="257"/>
      <c r="BJ691" s="257"/>
    </row>
    <row r="692" spans="2:62" ht="15.75" customHeight="1">
      <c r="B692" s="7"/>
      <c r="C692" s="347"/>
      <c r="D692" s="347"/>
      <c r="E692" s="347"/>
      <c r="F692" s="347"/>
      <c r="G692" s="347"/>
      <c r="H692" s="347"/>
      <c r="I692" s="347"/>
      <c r="J692" s="347"/>
      <c r="K692" s="414"/>
      <c r="L692" s="414"/>
      <c r="M692" s="347"/>
      <c r="N692" s="414"/>
      <c r="O692" s="414"/>
      <c r="P692" s="347"/>
      <c r="Q692" s="414"/>
      <c r="R692" s="414"/>
      <c r="S692" s="347"/>
      <c r="T692" s="347"/>
      <c r="U692" s="347"/>
      <c r="V692" s="347"/>
      <c r="W692" s="347"/>
      <c r="X692" s="34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  <c r="AJ692" s="257"/>
      <c r="AK692" s="257"/>
      <c r="AL692" s="257"/>
      <c r="AM692" s="257"/>
      <c r="AN692" s="257"/>
      <c r="AO692" s="257"/>
      <c r="AP692" s="257"/>
      <c r="AQ692" s="257"/>
      <c r="AR692" s="257"/>
      <c r="AS692" s="257"/>
      <c r="AT692" s="257"/>
      <c r="AU692" s="257"/>
      <c r="AV692" s="257"/>
      <c r="AW692" s="257"/>
      <c r="AX692" s="257"/>
      <c r="AY692" s="257"/>
      <c r="AZ692" s="257"/>
      <c r="BA692" s="257"/>
      <c r="BB692" s="257"/>
      <c r="BC692" s="257"/>
      <c r="BD692" s="257"/>
      <c r="BE692" s="257"/>
      <c r="BF692" s="257"/>
      <c r="BG692" s="257"/>
      <c r="BH692" s="257"/>
      <c r="BI692" s="257"/>
      <c r="BJ692" s="257"/>
    </row>
    <row r="693" spans="2:62" ht="15.75" customHeight="1">
      <c r="B693" s="7"/>
      <c r="C693" s="347"/>
      <c r="D693" s="347"/>
      <c r="E693" s="347"/>
      <c r="F693" s="347"/>
      <c r="G693" s="347"/>
      <c r="H693" s="347"/>
      <c r="I693" s="347"/>
      <c r="J693" s="347"/>
      <c r="K693" s="414"/>
      <c r="L693" s="414"/>
      <c r="M693" s="347"/>
      <c r="N693" s="414"/>
      <c r="O693" s="414"/>
      <c r="P693" s="347"/>
      <c r="Q693" s="414"/>
      <c r="R693" s="414"/>
      <c r="S693" s="347"/>
      <c r="T693" s="347"/>
      <c r="U693" s="347"/>
      <c r="V693" s="347"/>
      <c r="W693" s="347"/>
      <c r="X693" s="34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  <c r="AJ693" s="257"/>
      <c r="AK693" s="257"/>
      <c r="AL693" s="257"/>
      <c r="AM693" s="257"/>
      <c r="AN693" s="257"/>
      <c r="AO693" s="257"/>
      <c r="AP693" s="257"/>
      <c r="AQ693" s="257"/>
      <c r="AR693" s="257"/>
      <c r="AS693" s="257"/>
      <c r="AT693" s="257"/>
      <c r="AU693" s="257"/>
      <c r="AV693" s="257"/>
      <c r="AW693" s="257"/>
      <c r="AX693" s="257"/>
      <c r="AY693" s="257"/>
      <c r="AZ693" s="257"/>
      <c r="BA693" s="257"/>
      <c r="BB693" s="257"/>
      <c r="BC693" s="257"/>
      <c r="BD693" s="257"/>
      <c r="BE693" s="257"/>
      <c r="BF693" s="257"/>
      <c r="BG693" s="257"/>
      <c r="BH693" s="257"/>
      <c r="BI693" s="257"/>
      <c r="BJ693" s="257"/>
    </row>
    <row r="694" spans="2:62" ht="15.75" customHeight="1">
      <c r="B694" s="7"/>
      <c r="C694" s="347"/>
      <c r="D694" s="347"/>
      <c r="E694" s="347"/>
      <c r="F694" s="347"/>
      <c r="G694" s="347"/>
      <c r="H694" s="347"/>
      <c r="I694" s="347"/>
      <c r="J694" s="347"/>
      <c r="K694" s="414"/>
      <c r="L694" s="416"/>
      <c r="M694" s="347"/>
      <c r="N694" s="414"/>
      <c r="O694" s="414"/>
      <c r="P694" s="347"/>
      <c r="Q694" s="414"/>
      <c r="R694" s="416"/>
      <c r="S694" s="347"/>
      <c r="T694" s="347"/>
      <c r="U694" s="347"/>
      <c r="V694" s="347"/>
      <c r="W694" s="347"/>
      <c r="X694" s="34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  <c r="AJ694" s="257"/>
      <c r="AK694" s="257"/>
      <c r="AL694" s="257"/>
      <c r="AM694" s="257"/>
      <c r="AN694" s="257"/>
      <c r="AO694" s="257"/>
      <c r="AP694" s="257"/>
      <c r="AQ694" s="257"/>
      <c r="AR694" s="257"/>
      <c r="AS694" s="257"/>
      <c r="AT694" s="257"/>
      <c r="AU694" s="257"/>
      <c r="AV694" s="257"/>
      <c r="AW694" s="257"/>
      <c r="AX694" s="257"/>
      <c r="AY694" s="257"/>
      <c r="AZ694" s="257"/>
      <c r="BA694" s="257"/>
      <c r="BB694" s="257"/>
      <c r="BC694" s="257"/>
      <c r="BD694" s="257"/>
      <c r="BE694" s="257"/>
      <c r="BF694" s="257"/>
      <c r="BG694" s="257"/>
      <c r="BH694" s="257"/>
      <c r="BI694" s="257"/>
      <c r="BJ694" s="257"/>
    </row>
    <row r="695" spans="2:62" ht="15.75" customHeight="1">
      <c r="B695" s="7"/>
      <c r="C695" s="347"/>
      <c r="D695" s="347"/>
      <c r="E695" s="347"/>
      <c r="F695" s="347"/>
      <c r="G695" s="347"/>
      <c r="H695" s="347"/>
      <c r="I695" s="347"/>
      <c r="J695" s="347"/>
      <c r="K695" s="414"/>
      <c r="L695" s="414"/>
      <c r="M695" s="347"/>
      <c r="N695" s="414"/>
      <c r="O695" s="414"/>
      <c r="P695" s="347"/>
      <c r="Q695" s="414"/>
      <c r="R695" s="414"/>
      <c r="S695" s="347"/>
      <c r="T695" s="347"/>
      <c r="U695" s="347"/>
      <c r="V695" s="347"/>
      <c r="W695" s="347"/>
      <c r="X695" s="34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  <c r="AJ695" s="257"/>
      <c r="AK695" s="257"/>
      <c r="AL695" s="257"/>
      <c r="AM695" s="257"/>
      <c r="AN695" s="257"/>
      <c r="AO695" s="257"/>
      <c r="AP695" s="257"/>
      <c r="AQ695" s="257"/>
      <c r="AR695" s="257"/>
      <c r="AS695" s="257"/>
      <c r="AT695" s="257"/>
      <c r="AU695" s="257"/>
      <c r="AV695" s="257"/>
      <c r="AW695" s="257"/>
      <c r="AX695" s="257"/>
      <c r="AY695" s="257"/>
      <c r="AZ695" s="257"/>
      <c r="BA695" s="257"/>
      <c r="BB695" s="257"/>
      <c r="BC695" s="257"/>
      <c r="BD695" s="257"/>
      <c r="BE695" s="257"/>
      <c r="BF695" s="257"/>
      <c r="BG695" s="257"/>
      <c r="BH695" s="257"/>
      <c r="BI695" s="257"/>
      <c r="BJ695" s="257"/>
    </row>
    <row r="696" spans="2:62" ht="15.75" customHeight="1">
      <c r="B696" s="7"/>
      <c r="C696" s="347"/>
      <c r="D696" s="347"/>
      <c r="E696" s="347"/>
      <c r="F696" s="347"/>
      <c r="G696" s="347"/>
      <c r="H696" s="347"/>
      <c r="I696" s="347"/>
      <c r="J696" s="347"/>
      <c r="K696" s="414"/>
      <c r="L696" s="414"/>
      <c r="M696" s="347"/>
      <c r="N696" s="414"/>
      <c r="O696" s="414"/>
      <c r="P696" s="347"/>
      <c r="Q696" s="414"/>
      <c r="R696" s="414"/>
      <c r="S696" s="347"/>
      <c r="T696" s="347"/>
      <c r="U696" s="347"/>
      <c r="V696" s="347"/>
      <c r="W696" s="347"/>
      <c r="X696" s="34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  <c r="AJ696" s="257"/>
      <c r="AK696" s="257"/>
      <c r="AL696" s="257"/>
      <c r="AM696" s="257"/>
      <c r="AN696" s="257"/>
      <c r="AO696" s="257"/>
      <c r="AP696" s="257"/>
      <c r="AQ696" s="257"/>
      <c r="AR696" s="257"/>
      <c r="AS696" s="257"/>
      <c r="AT696" s="257"/>
      <c r="AU696" s="257"/>
      <c r="AV696" s="257"/>
      <c r="AW696" s="257"/>
      <c r="AX696" s="257"/>
      <c r="AY696" s="257"/>
      <c r="AZ696" s="257"/>
      <c r="BA696" s="257"/>
      <c r="BB696" s="257"/>
      <c r="BC696" s="257"/>
      <c r="BD696" s="257"/>
      <c r="BE696" s="257"/>
      <c r="BF696" s="257"/>
      <c r="BG696" s="257"/>
      <c r="BH696" s="257"/>
      <c r="BI696" s="257"/>
      <c r="BJ696" s="257"/>
    </row>
    <row r="697" spans="2:62" ht="15.75" customHeight="1">
      <c r="B697" s="7"/>
      <c r="C697" s="347"/>
      <c r="D697" s="347"/>
      <c r="E697" s="347"/>
      <c r="F697" s="347"/>
      <c r="G697" s="347"/>
      <c r="H697" s="347"/>
      <c r="I697" s="347"/>
      <c r="J697" s="347"/>
      <c r="K697" s="414"/>
      <c r="L697" s="414"/>
      <c r="M697" s="347"/>
      <c r="N697" s="416"/>
      <c r="O697" s="416"/>
      <c r="P697" s="347"/>
      <c r="Q697" s="416"/>
      <c r="R697" s="414"/>
      <c r="S697" s="347"/>
      <c r="T697" s="347"/>
      <c r="U697" s="347"/>
      <c r="V697" s="347"/>
      <c r="W697" s="347"/>
      <c r="X697" s="34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  <c r="AJ697" s="257"/>
      <c r="AK697" s="257"/>
      <c r="AL697" s="257"/>
      <c r="AM697" s="257"/>
      <c r="AN697" s="257"/>
      <c r="AO697" s="257"/>
      <c r="AP697" s="257"/>
      <c r="AQ697" s="257"/>
      <c r="AR697" s="257"/>
      <c r="AS697" s="257"/>
      <c r="AT697" s="257"/>
      <c r="AU697" s="257"/>
      <c r="AV697" s="257"/>
      <c r="AW697" s="257"/>
      <c r="AX697" s="257"/>
      <c r="AY697" s="257"/>
      <c r="AZ697" s="257"/>
      <c r="BA697" s="257"/>
      <c r="BB697" s="257"/>
      <c r="BC697" s="257"/>
      <c r="BD697" s="257"/>
      <c r="BE697" s="257"/>
      <c r="BF697" s="257"/>
      <c r="BG697" s="257"/>
      <c r="BH697" s="257"/>
      <c r="BI697" s="257"/>
      <c r="BJ697" s="257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conditionalFormatting sqref="K291 H168:I168 K168 J168:J19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6 K178:L179 K181:L181 K184:L186 K183 K188:L189 H312:L315 L182 K306:K307 K311 K191:L195 L190 J101:K103 H135:H136 J135:K136 H155:H156 J155:K156 H172:I173 H175:I176 H178:I179 H181:I182 H188:I189 H191:I195 H364:H375 J364:K375 H284:L284 J18:J24 J49:L54 L173 L6:L14 J31:K48 J111:K120 J122:K133 H105:H133 L125:L129 O122:P133 Q125:Q129 H225:H228 J225:K228 H281:H283 L275:L283 J294:K302 L319:L324 J317:K347 H317:H347 J253:K274 H253:H274 H197:H218 J197:K218 H184:I186 J25:L30">
    <cfRule type="expression" dxfId="363" priority="337" stopIfTrue="1">
      <formula>"esterreur(reference)"</formula>
    </cfRule>
  </conditionalFormatting>
  <conditionalFormatting sqref="M95:M96">
    <cfRule type="expression" dxfId="362" priority="338" stopIfTrue="1">
      <formula>"esterreur(reference)"</formula>
    </cfRule>
  </conditionalFormatting>
  <conditionalFormatting sqref="H275:H280 J275:K280">
    <cfRule type="expression" dxfId="361" priority="339" stopIfTrue="1">
      <formula>"esterreur(reference)"</formula>
    </cfRule>
  </conditionalFormatting>
  <conditionalFormatting sqref="H219:H224 J219:K224">
    <cfRule type="expression" dxfId="360" priority="340" stopIfTrue="1">
      <formula>"esterreur(reference)"</formula>
    </cfRule>
  </conditionalFormatting>
  <conditionalFormatting sqref="H141:H147 J141:K147">
    <cfRule type="expression" dxfId="359" priority="341" stopIfTrue="1">
      <formula>"esterreur(reference)"</formula>
    </cfRule>
  </conditionalFormatting>
  <conditionalFormatting sqref="H137:H139 J137:K139">
    <cfRule type="expression" dxfId="358" priority="342" stopIfTrue="1">
      <formula>"esterreur(reference)"</formula>
    </cfRule>
  </conditionalFormatting>
  <conditionalFormatting sqref="H140 J140:K140">
    <cfRule type="expression" dxfId="357" priority="343" stopIfTrue="1">
      <formula>"esterreur(reference)"</formula>
    </cfRule>
  </conditionalFormatting>
  <conditionalFormatting sqref="L82">
    <cfRule type="expression" dxfId="356" priority="317" stopIfTrue="1">
      <formula>"esterreur(reference)"</formula>
    </cfRule>
  </conditionalFormatting>
  <conditionalFormatting sqref="M311">
    <cfRule type="expression" dxfId="355" priority="344" stopIfTrue="1">
      <formula>"esterreur(reference)"</formula>
    </cfRule>
  </conditionalFormatting>
  <conditionalFormatting sqref="R311">
    <cfRule type="expression" dxfId="354" priority="345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353" priority="346" operator="greaterThan">
      <formula>0</formula>
    </cfRule>
  </conditionalFormatting>
  <conditionalFormatting sqref="AH468:AI475 AH479:AI479">
    <cfRule type="cellIs" dxfId="352" priority="347" operator="lessThan">
      <formula>0</formula>
    </cfRule>
  </conditionalFormatting>
  <conditionalFormatting sqref="AH491:AH493">
    <cfRule type="cellIs" dxfId="351" priority="348" operator="greaterThan">
      <formula>0</formula>
    </cfRule>
  </conditionalFormatting>
  <conditionalFormatting sqref="J281:K283">
    <cfRule type="expression" dxfId="350" priority="349" stopIfTrue="1">
      <formula>"esterreur(reference)"</formula>
    </cfRule>
  </conditionalFormatting>
  <conditionalFormatting sqref="K356 J356:J357 H356:I356 L355:L356 H358:L358">
    <cfRule type="expression" dxfId="349" priority="350" stopIfTrue="1">
      <formula>"esterreur(reference)"</formula>
    </cfRule>
  </conditionalFormatting>
  <conditionalFormatting sqref="H396">
    <cfRule type="expression" dxfId="348" priority="351" stopIfTrue="1">
      <formula>"esterreur(reference)"</formula>
    </cfRule>
  </conditionalFormatting>
  <conditionalFormatting sqref="I376:L376 H377:H392 J377:K392">
    <cfRule type="expression" dxfId="347" priority="352" stopIfTrue="1">
      <formula>"esterreur(reference)"</formula>
    </cfRule>
  </conditionalFormatting>
  <conditionalFormatting sqref="H397:L398 I396:L396 H395:L395 H393:H394 J393:K393">
    <cfRule type="expression" dxfId="346" priority="353" stopIfTrue="1">
      <formula>"esterreur(reference)"</formula>
    </cfRule>
  </conditionalFormatting>
  <conditionalFormatting sqref="H360:L362 H359 K359">
    <cfRule type="expression" dxfId="345" priority="354" stopIfTrue="1">
      <formula>"esterreur(reference)"</formula>
    </cfRule>
  </conditionalFormatting>
  <conditionalFormatting sqref="K394">
    <cfRule type="expression" dxfId="344" priority="355" stopIfTrue="1">
      <formula>"esterreur(reference)"</formula>
    </cfRule>
  </conditionalFormatting>
  <conditionalFormatting sqref="H316:L316">
    <cfRule type="expression" dxfId="343" priority="356" stopIfTrue="1">
      <formula>"esterreur(reference)"</formula>
    </cfRule>
  </conditionalFormatting>
  <conditionalFormatting sqref="H196:L196">
    <cfRule type="expression" dxfId="342" priority="357" stopIfTrue="1">
      <formula>"esterreur(reference)"</formula>
    </cfRule>
  </conditionalFormatting>
  <conditionalFormatting sqref="J55:K56 J71:K71">
    <cfRule type="expression" dxfId="341" priority="358" stopIfTrue="1">
      <formula>"esterreur(reference)"</formula>
    </cfRule>
  </conditionalFormatting>
  <conditionalFormatting sqref="J61:K70">
    <cfRule type="expression" dxfId="340" priority="359" stopIfTrue="1">
      <formula>"esterreur(reference)"</formula>
    </cfRule>
  </conditionalFormatting>
  <conditionalFormatting sqref="J57:K59">
    <cfRule type="expression" dxfId="339" priority="360" stopIfTrue="1">
      <formula>"esterreur(reference)"</formula>
    </cfRule>
  </conditionalFormatting>
  <conditionalFormatting sqref="J60:K60">
    <cfRule type="expression" dxfId="338" priority="361" stopIfTrue="1">
      <formula>"esterreur(reference)"</formula>
    </cfRule>
  </conditionalFormatting>
  <conditionalFormatting sqref="L19 L21:L23">
    <cfRule type="expression" dxfId="337" priority="335" stopIfTrue="1">
      <formula>"esterreur(reference)"</formula>
    </cfRule>
  </conditionalFormatting>
  <conditionalFormatting sqref="K98">
    <cfRule type="expression" dxfId="336" priority="362" stopIfTrue="1">
      <formula>"esterreur(reference)"</formula>
    </cfRule>
  </conditionalFormatting>
  <conditionalFormatting sqref="L331:L347">
    <cfRule type="expression" dxfId="335" priority="231" stopIfTrue="1">
      <formula>"esterreur(reference)"</formula>
    </cfRule>
  </conditionalFormatting>
  <conditionalFormatting sqref="L16:L17">
    <cfRule type="expression" dxfId="334" priority="336" stopIfTrue="1">
      <formula>"esterreur(reference)"</formula>
    </cfRule>
  </conditionalFormatting>
  <conditionalFormatting sqref="L20">
    <cfRule type="expression" dxfId="333" priority="334" stopIfTrue="1">
      <formula>"esterreur(reference)"</formula>
    </cfRule>
  </conditionalFormatting>
  <conditionalFormatting sqref="L325">
    <cfRule type="expression" dxfId="332" priority="235" stopIfTrue="1">
      <formula>"esterreur(reference)"</formula>
    </cfRule>
  </conditionalFormatting>
  <conditionalFormatting sqref="L326">
    <cfRule type="expression" dxfId="331" priority="234" stopIfTrue="1">
      <formula>"esterreur(reference)"</formula>
    </cfRule>
  </conditionalFormatting>
  <conditionalFormatting sqref="L327">
    <cfRule type="expression" dxfId="330" priority="233" stopIfTrue="1">
      <formula>"esterreur(reference)"</formula>
    </cfRule>
  </conditionalFormatting>
  <conditionalFormatting sqref="L328">
    <cfRule type="expression" dxfId="329" priority="232" stopIfTrue="1">
      <formula>"esterreur(reference)"</formula>
    </cfRule>
  </conditionalFormatting>
  <conditionalFormatting sqref="L42">
    <cfRule type="expression" dxfId="328" priority="333" stopIfTrue="1">
      <formula>"esterreur(reference)"</formula>
    </cfRule>
  </conditionalFormatting>
  <conditionalFormatting sqref="L43">
    <cfRule type="expression" dxfId="327" priority="332" stopIfTrue="1">
      <formula>"esterreur(reference)"</formula>
    </cfRule>
  </conditionalFormatting>
  <conditionalFormatting sqref="L44">
    <cfRule type="expression" dxfId="326" priority="331" stopIfTrue="1">
      <formula>"esterreur(reference)"</formula>
    </cfRule>
  </conditionalFormatting>
  <conditionalFormatting sqref="L45:L48">
    <cfRule type="expression" dxfId="325" priority="330" stopIfTrue="1">
      <formula>"esterreur(reference)"</formula>
    </cfRule>
  </conditionalFormatting>
  <conditionalFormatting sqref="L55">
    <cfRule type="expression" dxfId="324" priority="329" stopIfTrue="1">
      <formula>"esterreur(reference)"</formula>
    </cfRule>
  </conditionalFormatting>
  <conditionalFormatting sqref="L56">
    <cfRule type="expression" dxfId="323" priority="328" stopIfTrue="1">
      <formula>"esterreur(reference)"</formula>
    </cfRule>
  </conditionalFormatting>
  <conditionalFormatting sqref="L271">
    <cfRule type="expression" dxfId="322" priority="246" stopIfTrue="1">
      <formula>"esterreur(reference)"</formula>
    </cfRule>
  </conditionalFormatting>
  <conditionalFormatting sqref="L58">
    <cfRule type="expression" dxfId="321" priority="327" stopIfTrue="1">
      <formula>"esterreur(reference)"</formula>
    </cfRule>
  </conditionalFormatting>
  <conditionalFormatting sqref="L61">
    <cfRule type="expression" dxfId="320" priority="326" stopIfTrue="1">
      <formula>"esterreur(reference)"</formula>
    </cfRule>
  </conditionalFormatting>
  <conditionalFormatting sqref="L274">
    <cfRule type="expression" dxfId="319" priority="244" stopIfTrue="1">
      <formula>"esterreur(reference)"</formula>
    </cfRule>
  </conditionalFormatting>
  <conditionalFormatting sqref="L63">
    <cfRule type="expression" dxfId="318" priority="325" stopIfTrue="1">
      <formula>"esterreur(reference)"</formula>
    </cfRule>
  </conditionalFormatting>
  <conditionalFormatting sqref="L62">
    <cfRule type="expression" dxfId="317" priority="324" stopIfTrue="1">
      <formula>"esterreur(reference)"</formula>
    </cfRule>
  </conditionalFormatting>
  <conditionalFormatting sqref="L64">
    <cfRule type="expression" dxfId="316" priority="323" stopIfTrue="1">
      <formula>"esterreur(reference)"</formula>
    </cfRule>
  </conditionalFormatting>
  <conditionalFormatting sqref="L65">
    <cfRule type="expression" dxfId="315" priority="322" stopIfTrue="1">
      <formula>"esterreur(reference)"</formula>
    </cfRule>
  </conditionalFormatting>
  <conditionalFormatting sqref="L69 L66:L67">
    <cfRule type="expression" dxfId="314" priority="321" stopIfTrue="1">
      <formula>"esterreur(reference)"</formula>
    </cfRule>
  </conditionalFormatting>
  <conditionalFormatting sqref="L70">
    <cfRule type="expression" dxfId="313" priority="320" stopIfTrue="1">
      <formula>"esterreur(reference)"</formula>
    </cfRule>
  </conditionalFormatting>
  <conditionalFormatting sqref="L76:L77">
    <cfRule type="expression" dxfId="312" priority="319" stopIfTrue="1">
      <formula>"esterreur(reference)"</formula>
    </cfRule>
  </conditionalFormatting>
  <conditionalFormatting sqref="L78:L81">
    <cfRule type="expression" dxfId="311" priority="318" stopIfTrue="1">
      <formula>"esterreur(reference)"</formula>
    </cfRule>
  </conditionalFormatting>
  <conditionalFormatting sqref="L57">
    <cfRule type="expression" dxfId="310" priority="316" stopIfTrue="1">
      <formula>"esterreur(reference)"</formula>
    </cfRule>
  </conditionalFormatting>
  <conditionalFormatting sqref="L94:L95">
    <cfRule type="expression" dxfId="309" priority="315" stopIfTrue="1">
      <formula>"esterreur(reference)"</formula>
    </cfRule>
  </conditionalFormatting>
  <conditionalFormatting sqref="L98">
    <cfRule type="expression" dxfId="308" priority="314" stopIfTrue="1">
      <formula>"esterreur(reference)"</formula>
    </cfRule>
  </conditionalFormatting>
  <conditionalFormatting sqref="L99">
    <cfRule type="expression" dxfId="307" priority="313" stopIfTrue="1">
      <formula>"esterreur(reference)"</formula>
    </cfRule>
  </conditionalFormatting>
  <conditionalFormatting sqref="L101">
    <cfRule type="expression" dxfId="306" priority="312" stopIfTrue="1">
      <formula>"esterreur(reference)"</formula>
    </cfRule>
  </conditionalFormatting>
  <conditionalFormatting sqref="L102">
    <cfRule type="expression" dxfId="305" priority="311" stopIfTrue="1">
      <formula>"esterreur(reference)"</formula>
    </cfRule>
  </conditionalFormatting>
  <conditionalFormatting sqref="L103">
    <cfRule type="expression" dxfId="304" priority="310" stopIfTrue="1">
      <formula>"esterreur(reference)"</formula>
    </cfRule>
  </conditionalFormatting>
  <conditionalFormatting sqref="L111">
    <cfRule type="expression" dxfId="303" priority="309" stopIfTrue="1">
      <formula>"esterreur(reference)"</formula>
    </cfRule>
  </conditionalFormatting>
  <conditionalFormatting sqref="L112">
    <cfRule type="expression" dxfId="302" priority="308" stopIfTrue="1">
      <formula>"esterreur(reference)"</formula>
    </cfRule>
  </conditionalFormatting>
  <conditionalFormatting sqref="L207">
    <cfRule type="expression" dxfId="301" priority="269" stopIfTrue="1">
      <formula>"esterreur(reference)"</formula>
    </cfRule>
  </conditionalFormatting>
  <conditionalFormatting sqref="L114">
    <cfRule type="expression" dxfId="300" priority="307" stopIfTrue="1">
      <formula>"esterreur(reference)"</formula>
    </cfRule>
  </conditionalFormatting>
  <conditionalFormatting sqref="L227">
    <cfRule type="expression" dxfId="299" priority="265" stopIfTrue="1">
      <formula>"esterreur(reference)"</formula>
    </cfRule>
  </conditionalFormatting>
  <conditionalFormatting sqref="L116:L119">
    <cfRule type="expression" dxfId="298" priority="306" stopIfTrue="1">
      <formula>"esterreur(reference)"</formula>
    </cfRule>
  </conditionalFormatting>
  <conditionalFormatting sqref="L120">
    <cfRule type="expression" dxfId="297" priority="305" stopIfTrue="1">
      <formula>"esterreur(reference)"</formula>
    </cfRule>
  </conditionalFormatting>
  <conditionalFormatting sqref="L130">
    <cfRule type="expression" dxfId="296" priority="302" stopIfTrue="1">
      <formula>"esterreur(reference)"</formula>
    </cfRule>
  </conditionalFormatting>
  <conditionalFormatting sqref="L124">
    <cfRule type="expression" dxfId="295" priority="304" stopIfTrue="1">
      <formula>"esterreur(reference)"</formula>
    </cfRule>
  </conditionalFormatting>
  <conditionalFormatting sqref="L123">
    <cfRule type="expression" dxfId="294" priority="303" stopIfTrue="1">
      <formula>"esterreur(reference)"</formula>
    </cfRule>
  </conditionalFormatting>
  <conditionalFormatting sqref="L138">
    <cfRule type="expression" dxfId="293" priority="296" stopIfTrue="1">
      <formula>"esterreur(reference)"</formula>
    </cfRule>
  </conditionalFormatting>
  <conditionalFormatting sqref="L131">
    <cfRule type="expression" dxfId="292" priority="301" stopIfTrue="1">
      <formula>"esterreur(reference)"</formula>
    </cfRule>
  </conditionalFormatting>
  <conditionalFormatting sqref="L132">
    <cfRule type="expression" dxfId="291" priority="300" stopIfTrue="1">
      <formula>"esterreur(reference)"</formula>
    </cfRule>
  </conditionalFormatting>
  <conditionalFormatting sqref="L133">
    <cfRule type="expression" dxfId="290" priority="299" stopIfTrue="1">
      <formula>"esterreur(reference)"</formula>
    </cfRule>
  </conditionalFormatting>
  <conditionalFormatting sqref="L139">
    <cfRule type="expression" dxfId="289" priority="295" stopIfTrue="1">
      <formula>"esterreur(reference)"</formula>
    </cfRule>
  </conditionalFormatting>
  <conditionalFormatting sqref="L136">
    <cfRule type="expression" dxfId="288" priority="298" stopIfTrue="1">
      <formula>"esterreur(reference)"</formula>
    </cfRule>
  </conditionalFormatting>
  <conditionalFormatting sqref="L137">
    <cfRule type="expression" dxfId="287" priority="297" stopIfTrue="1">
      <formula>"esterreur(reference)"</formula>
    </cfRule>
  </conditionalFormatting>
  <conditionalFormatting sqref="L140">
    <cfRule type="expression" dxfId="286" priority="294" stopIfTrue="1">
      <formula>"esterreur(reference)"</formula>
    </cfRule>
  </conditionalFormatting>
  <conditionalFormatting sqref="L141">
    <cfRule type="expression" dxfId="285" priority="293" stopIfTrue="1">
      <formula>"esterreur(reference)"</formula>
    </cfRule>
  </conditionalFormatting>
  <conditionalFormatting sqref="L142">
    <cfRule type="expression" dxfId="284" priority="292" stopIfTrue="1">
      <formula>"esterreur(reference)"</formula>
    </cfRule>
  </conditionalFormatting>
  <conditionalFormatting sqref="L143">
    <cfRule type="expression" dxfId="283" priority="291" stopIfTrue="1">
      <formula>"esterreur(reference)"</formula>
    </cfRule>
  </conditionalFormatting>
  <conditionalFormatting sqref="L144">
    <cfRule type="expression" dxfId="282" priority="290" stopIfTrue="1">
      <formula>"esterreur(reference)"</formula>
    </cfRule>
  </conditionalFormatting>
  <conditionalFormatting sqref="L145">
    <cfRule type="expression" dxfId="281" priority="289" stopIfTrue="1">
      <formula>"esterreur(reference)"</formula>
    </cfRule>
  </conditionalFormatting>
  <conditionalFormatting sqref="L146">
    <cfRule type="expression" dxfId="280" priority="288" stopIfTrue="1">
      <formula>"esterreur(reference)"</formula>
    </cfRule>
  </conditionalFormatting>
  <conditionalFormatting sqref="L147">
    <cfRule type="expression" dxfId="279" priority="287" stopIfTrue="1">
      <formula>"esterreur(reference)"</formula>
    </cfRule>
  </conditionalFormatting>
  <conditionalFormatting sqref="L155">
    <cfRule type="expression" dxfId="278" priority="286" stopIfTrue="1">
      <formula>"esterreur(reference)"</formula>
    </cfRule>
  </conditionalFormatting>
  <conditionalFormatting sqref="L157">
    <cfRule type="expression" dxfId="277" priority="284" stopIfTrue="1">
      <formula>"esterreur(reference)"</formula>
    </cfRule>
  </conditionalFormatting>
  <conditionalFormatting sqref="L156">
    <cfRule type="expression" dxfId="276" priority="285" stopIfTrue="1">
      <formula>"esterreur(reference)"</formula>
    </cfRule>
  </conditionalFormatting>
  <conditionalFormatting sqref="L115">
    <cfRule type="expression" dxfId="275" priority="283" stopIfTrue="1">
      <formula>"esterreur(reference)"</formula>
    </cfRule>
  </conditionalFormatting>
  <conditionalFormatting sqref="L113">
    <cfRule type="expression" dxfId="274" priority="282" stopIfTrue="1">
      <formula>"esterreur(reference)"</formula>
    </cfRule>
  </conditionalFormatting>
  <conditionalFormatting sqref="L171">
    <cfRule type="expression" dxfId="273" priority="281" stopIfTrue="1">
      <formula>"esterreur(reference)"</formula>
    </cfRule>
  </conditionalFormatting>
  <conditionalFormatting sqref="L174">
    <cfRule type="expression" dxfId="272" priority="280" stopIfTrue="1">
      <formula>"esterreur(reference)"</formula>
    </cfRule>
  </conditionalFormatting>
  <conditionalFormatting sqref="L177">
    <cfRule type="expression" dxfId="271" priority="279" stopIfTrue="1">
      <formula>"esterreur(reference)"</formula>
    </cfRule>
  </conditionalFormatting>
  <conditionalFormatting sqref="L187">
    <cfRule type="expression" dxfId="270" priority="278" stopIfTrue="1">
      <formula>"esterreur(reference)"</formula>
    </cfRule>
  </conditionalFormatting>
  <conditionalFormatting sqref="L197">
    <cfRule type="expression" dxfId="269" priority="277" stopIfTrue="1">
      <formula>"esterreur(reference)"</formula>
    </cfRule>
  </conditionalFormatting>
  <conditionalFormatting sqref="L199">
    <cfRule type="expression" dxfId="268" priority="276" stopIfTrue="1">
      <formula>"esterreur(reference)"</formula>
    </cfRule>
  </conditionalFormatting>
  <conditionalFormatting sqref="L198">
    <cfRule type="expression" dxfId="267" priority="275" stopIfTrue="1">
      <formula>"esterreur(reference)"</formula>
    </cfRule>
  </conditionalFormatting>
  <conditionalFormatting sqref="L200">
    <cfRule type="expression" dxfId="266" priority="274" stopIfTrue="1">
      <formula>"esterreur(reference)"</formula>
    </cfRule>
  </conditionalFormatting>
  <conditionalFormatting sqref="L201">
    <cfRule type="expression" dxfId="265" priority="273" stopIfTrue="1">
      <formula>"esterreur(reference)"</formula>
    </cfRule>
  </conditionalFormatting>
  <conditionalFormatting sqref="L202:L204">
    <cfRule type="expression" dxfId="264" priority="272" stopIfTrue="1">
      <formula>"esterreur(reference)"</formula>
    </cfRule>
  </conditionalFormatting>
  <conditionalFormatting sqref="L206">
    <cfRule type="expression" dxfId="263" priority="270" stopIfTrue="1">
      <formula>"esterreur(reference)"</formula>
    </cfRule>
  </conditionalFormatting>
  <conditionalFormatting sqref="L205">
    <cfRule type="expression" dxfId="262" priority="271" stopIfTrue="1">
      <formula>"esterreur(reference)"</formula>
    </cfRule>
  </conditionalFormatting>
  <conditionalFormatting sqref="L208">
    <cfRule type="expression" dxfId="261" priority="268" stopIfTrue="1">
      <formula>"esterreur(reference)"</formula>
    </cfRule>
  </conditionalFormatting>
  <conditionalFormatting sqref="L211:L224">
    <cfRule type="expression" dxfId="260" priority="267" stopIfTrue="1">
      <formula>"esterreur(reference)"</formula>
    </cfRule>
  </conditionalFormatting>
  <conditionalFormatting sqref="L225:L226">
    <cfRule type="expression" dxfId="259" priority="266" stopIfTrue="1">
      <formula>"esterreur(reference)"</formula>
    </cfRule>
  </conditionalFormatting>
  <conditionalFormatting sqref="L180">
    <cfRule type="expression" dxfId="258" priority="264" stopIfTrue="1">
      <formula>"esterreur(reference)"</formula>
    </cfRule>
  </conditionalFormatting>
  <conditionalFormatting sqref="L243">
    <cfRule type="expression" dxfId="257" priority="263" stopIfTrue="1">
      <formula>"esterreur(reference)"</formula>
    </cfRule>
  </conditionalFormatting>
  <conditionalFormatting sqref="L246">
    <cfRule type="expression" dxfId="256" priority="262" stopIfTrue="1">
      <formula>"esterreur(reference)"</formula>
    </cfRule>
  </conditionalFormatting>
  <conditionalFormatting sqref="L253">
    <cfRule type="expression" dxfId="255" priority="261" stopIfTrue="1">
      <formula>"esterreur(reference)"</formula>
    </cfRule>
  </conditionalFormatting>
  <conditionalFormatting sqref="L254">
    <cfRule type="expression" dxfId="254" priority="260" stopIfTrue="1">
      <formula>"esterreur(reference)"</formula>
    </cfRule>
  </conditionalFormatting>
  <conditionalFormatting sqref="L255">
    <cfRule type="expression" dxfId="253" priority="259" stopIfTrue="1">
      <formula>"esterreur(reference)"</formula>
    </cfRule>
  </conditionalFormatting>
  <conditionalFormatting sqref="L256">
    <cfRule type="expression" dxfId="252" priority="258" stopIfTrue="1">
      <formula>"esterreur(reference)"</formula>
    </cfRule>
  </conditionalFormatting>
  <conditionalFormatting sqref="L257">
    <cfRule type="expression" dxfId="251" priority="257" stopIfTrue="1">
      <formula>"esterreur(reference)"</formula>
    </cfRule>
  </conditionalFormatting>
  <conditionalFormatting sqref="L258">
    <cfRule type="expression" dxfId="250" priority="256" stopIfTrue="1">
      <formula>"esterreur(reference)"</formula>
    </cfRule>
  </conditionalFormatting>
  <conditionalFormatting sqref="L259">
    <cfRule type="expression" dxfId="249" priority="255" stopIfTrue="1">
      <formula>"esterreur(reference)"</formula>
    </cfRule>
  </conditionalFormatting>
  <conditionalFormatting sqref="L260">
    <cfRule type="expression" dxfId="248" priority="254" stopIfTrue="1">
      <formula>"esterreur(reference)"</formula>
    </cfRule>
  </conditionalFormatting>
  <conditionalFormatting sqref="L261">
    <cfRule type="expression" dxfId="247" priority="253" stopIfTrue="1">
      <formula>"esterreur(reference)"</formula>
    </cfRule>
  </conditionalFormatting>
  <conditionalFormatting sqref="L262">
    <cfRule type="expression" dxfId="246" priority="252" stopIfTrue="1">
      <formula>"esterreur(reference)"</formula>
    </cfRule>
  </conditionalFormatting>
  <conditionalFormatting sqref="L263:L264">
    <cfRule type="expression" dxfId="245" priority="251" stopIfTrue="1">
      <formula>"esterreur(reference)"</formula>
    </cfRule>
  </conditionalFormatting>
  <conditionalFormatting sqref="L268">
    <cfRule type="expression" dxfId="244" priority="249" stopIfTrue="1">
      <formula>"esterreur(reference)"</formula>
    </cfRule>
  </conditionalFormatting>
  <conditionalFormatting sqref="L267">
    <cfRule type="expression" dxfId="243" priority="250" stopIfTrue="1">
      <formula>"esterreur(reference)"</formula>
    </cfRule>
  </conditionalFormatting>
  <conditionalFormatting sqref="L269">
    <cfRule type="expression" dxfId="242" priority="248" stopIfTrue="1">
      <formula>"esterreur(reference)"</formula>
    </cfRule>
  </conditionalFormatting>
  <conditionalFormatting sqref="L270">
    <cfRule type="expression" dxfId="241" priority="247" stopIfTrue="1">
      <formula>"esterreur(reference)"</formula>
    </cfRule>
  </conditionalFormatting>
  <conditionalFormatting sqref="L272:L273">
    <cfRule type="expression" dxfId="240" priority="245" stopIfTrue="1">
      <formula>"esterreur(reference)"</formula>
    </cfRule>
  </conditionalFormatting>
  <conditionalFormatting sqref="L294:L300">
    <cfRule type="expression" dxfId="239" priority="243" stopIfTrue="1">
      <formula>"esterreur(reference)"</formula>
    </cfRule>
  </conditionalFormatting>
  <conditionalFormatting sqref="L301">
    <cfRule type="expression" dxfId="238" priority="242" stopIfTrue="1">
      <formula>"esterreur(reference)"</formula>
    </cfRule>
  </conditionalFormatting>
  <conditionalFormatting sqref="L302">
    <cfRule type="expression" dxfId="237" priority="241" stopIfTrue="1">
      <formula>"esterreur(reference)"</formula>
    </cfRule>
  </conditionalFormatting>
  <conditionalFormatting sqref="L306">
    <cfRule type="expression" dxfId="236" priority="240" stopIfTrue="1">
      <formula>"esterreur(reference)"</formula>
    </cfRule>
  </conditionalFormatting>
  <conditionalFormatting sqref="L307">
    <cfRule type="expression" dxfId="235" priority="239" stopIfTrue="1">
      <formula>"esterreur(reference)"</formula>
    </cfRule>
  </conditionalFormatting>
  <conditionalFormatting sqref="L311">
    <cfRule type="expression" dxfId="234" priority="238" stopIfTrue="1">
      <formula>"esterreur(reference)"</formula>
    </cfRule>
  </conditionalFormatting>
  <conditionalFormatting sqref="L317">
    <cfRule type="expression" dxfId="233" priority="237" stopIfTrue="1">
      <formula>"esterreur(reference)"</formula>
    </cfRule>
  </conditionalFormatting>
  <conditionalFormatting sqref="L318">
    <cfRule type="expression" dxfId="232" priority="236" stopIfTrue="1">
      <formula>"esterreur(reference)"</formula>
    </cfRule>
  </conditionalFormatting>
  <conditionalFormatting sqref="K5">
    <cfRule type="expression" dxfId="231" priority="230" stopIfTrue="1">
      <formula>"esterreur(reference)"</formula>
    </cfRule>
  </conditionalFormatting>
  <conditionalFormatting sqref="L5">
    <cfRule type="expression" dxfId="230" priority="229" stopIfTrue="1">
      <formula>"esterreur(reference)"</formula>
    </cfRule>
  </conditionalFormatting>
  <conditionalFormatting sqref="K182">
    <cfRule type="expression" dxfId="229" priority="228" stopIfTrue="1">
      <formula>"esterreur(reference)"</formula>
    </cfRule>
  </conditionalFormatting>
  <conditionalFormatting sqref="L93">
    <cfRule type="expression" dxfId="228" priority="227" stopIfTrue="1">
      <formula>"esterreur(reference)"</formula>
    </cfRule>
  </conditionalFormatting>
  <conditionalFormatting sqref="K171">
    <cfRule type="expression" dxfId="227" priority="226" stopIfTrue="1">
      <formula>"esterreur(reference)"</formula>
    </cfRule>
  </conditionalFormatting>
  <conditionalFormatting sqref="K174">
    <cfRule type="expression" dxfId="226" priority="225" stopIfTrue="1">
      <formula>"esterreur(reference)"</formula>
    </cfRule>
  </conditionalFormatting>
  <conditionalFormatting sqref="K177">
    <cfRule type="expression" dxfId="225" priority="224" stopIfTrue="1">
      <formula>"esterreur(reference)"</formula>
    </cfRule>
  </conditionalFormatting>
  <conditionalFormatting sqref="K180">
    <cfRule type="expression" dxfId="224" priority="223" stopIfTrue="1">
      <formula>"esterreur(reference)"</formula>
    </cfRule>
  </conditionalFormatting>
  <conditionalFormatting sqref="K240">
    <cfRule type="expression" dxfId="223" priority="222" stopIfTrue="1">
      <formula>"esterreur(reference)"</formula>
    </cfRule>
  </conditionalFormatting>
  <conditionalFormatting sqref="K243">
    <cfRule type="expression" dxfId="222" priority="221" stopIfTrue="1">
      <formula>"esterreur(reference)"</formula>
    </cfRule>
  </conditionalFormatting>
  <conditionalFormatting sqref="K246">
    <cfRule type="expression" dxfId="221" priority="220" stopIfTrue="1">
      <formula>"esterreur(reference)"</formula>
    </cfRule>
  </conditionalFormatting>
  <conditionalFormatting sqref="J306:J307">
    <cfRule type="expression" dxfId="220" priority="219" stopIfTrue="1">
      <formula>"esterreur(reference)"</formula>
    </cfRule>
  </conditionalFormatting>
  <conditionalFormatting sqref="K187">
    <cfRule type="expression" dxfId="219" priority="218" stopIfTrue="1">
      <formula>"esterreur(reference)"</formula>
    </cfRule>
  </conditionalFormatting>
  <conditionalFormatting sqref="K190">
    <cfRule type="expression" dxfId="218" priority="217" stopIfTrue="1">
      <formula>"esterreur(reference)"</formula>
    </cfRule>
  </conditionalFormatting>
  <conditionalFormatting sqref="J311">
    <cfRule type="expression" dxfId="217" priority="216" stopIfTrue="1">
      <formula>"esterreur(reference)"</formula>
    </cfRule>
  </conditionalFormatting>
  <conditionalFormatting sqref="L364:L375">
    <cfRule type="expression" dxfId="216" priority="215" stopIfTrue="1">
      <formula>"esterreur(reference)"</formula>
    </cfRule>
  </conditionalFormatting>
  <conditionalFormatting sqref="L377:L393">
    <cfRule type="expression" dxfId="215" priority="214" stopIfTrue="1">
      <formula>"esterreur(reference)"</formula>
    </cfRule>
  </conditionalFormatting>
  <conditionalFormatting sqref="K93">
    <cfRule type="expression" dxfId="214" priority="213" stopIfTrue="1">
      <formula>"esterreur(reference)"</formula>
    </cfRule>
  </conditionalFormatting>
  <conditionalFormatting sqref="L240">
    <cfRule type="expression" dxfId="213" priority="212" stopIfTrue="1">
      <formula>"esterreur(reference)"</formula>
    </cfRule>
  </conditionalFormatting>
  <conditionalFormatting sqref="K239">
    <cfRule type="expression" dxfId="212" priority="211" stopIfTrue="1">
      <formula>"esterreur(reference)"</formula>
    </cfRule>
  </conditionalFormatting>
  <conditionalFormatting sqref="L239">
    <cfRule type="expression" dxfId="211" priority="210" stopIfTrue="1">
      <formula>"esterreur(reference)"</formula>
    </cfRule>
  </conditionalFormatting>
  <conditionalFormatting sqref="F183">
    <cfRule type="expression" dxfId="210" priority="209" stopIfTrue="1">
      <formula>"esterreur(reference)"</formula>
    </cfRule>
  </conditionalFormatting>
  <conditionalFormatting sqref="J359">
    <cfRule type="expression" dxfId="209" priority="208" stopIfTrue="1">
      <formula>"esterreur(reference)"</formula>
    </cfRule>
  </conditionalFormatting>
  <conditionalFormatting sqref="L359">
    <cfRule type="expression" dxfId="208" priority="207" stopIfTrue="1">
      <formula>"esterreur(reference)"</formula>
    </cfRule>
  </conditionalFormatting>
  <conditionalFormatting sqref="S185">
    <cfRule type="expression" dxfId="207" priority="206" stopIfTrue="1">
      <formula>"esterreur(reference)"</formula>
    </cfRule>
  </conditionalFormatting>
  <conditionalFormatting sqref="K286">
    <cfRule type="expression" dxfId="206" priority="205" stopIfTrue="1">
      <formula>"esterreur(reference)"</formula>
    </cfRule>
  </conditionalFormatting>
  <conditionalFormatting sqref="AO408:AO413">
    <cfRule type="cellIs" dxfId="205" priority="204" operator="greaterThan">
      <formula>0</formula>
    </cfRule>
  </conditionalFormatting>
  <conditionalFormatting sqref="L71">
    <cfRule type="expression" dxfId="204" priority="203" stopIfTrue="1">
      <formula>"esterreur(reference)"</formula>
    </cfRule>
  </conditionalFormatting>
  <conditionalFormatting sqref="L210">
    <cfRule type="expression" dxfId="203" priority="200" stopIfTrue="1">
      <formula>"esterreur(reference)"</formula>
    </cfRule>
  </conditionalFormatting>
  <conditionalFormatting sqref="L122">
    <cfRule type="expression" dxfId="202" priority="202" stopIfTrue="1">
      <formula>"esterreur(reference)"</formula>
    </cfRule>
  </conditionalFormatting>
  <conditionalFormatting sqref="L266">
    <cfRule type="expression" dxfId="201" priority="199" stopIfTrue="1">
      <formula>"esterreur(reference)"</formula>
    </cfRule>
  </conditionalFormatting>
  <conditionalFormatting sqref="L135">
    <cfRule type="expression" dxfId="200" priority="201" stopIfTrue="1">
      <formula>"esterreur(reference)"</formula>
    </cfRule>
  </conditionalFormatting>
  <conditionalFormatting sqref="L330">
    <cfRule type="expression" dxfId="199" priority="198" stopIfTrue="1">
      <formula>"esterreur(reference)"</formula>
    </cfRule>
  </conditionalFormatting>
  <conditionalFormatting sqref="L75">
    <cfRule type="expression" dxfId="198" priority="197" stopIfTrue="1">
      <formula>"esterreur(reference)"</formula>
    </cfRule>
  </conditionalFormatting>
  <conditionalFormatting sqref="L60">
    <cfRule type="expression" dxfId="197" priority="195" stopIfTrue="1">
      <formula>"esterreur(reference)"</formula>
    </cfRule>
  </conditionalFormatting>
  <conditionalFormatting sqref="L59">
    <cfRule type="expression" dxfId="196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95" priority="190" stopIfTrue="1">
      <formula>"esterreur(reference)"</formula>
    </cfRule>
  </conditionalFormatting>
  <conditionalFormatting sqref="P5">
    <cfRule type="expression" dxfId="194" priority="167" stopIfTrue="1">
      <formula>"esterreur(reference)"</formula>
    </cfRule>
  </conditionalFormatting>
  <conditionalFormatting sqref="Q32">
    <cfRule type="expression" dxfId="193" priority="185" stopIfTrue="1">
      <formula>"esterreur(reference)"</formula>
    </cfRule>
  </conditionalFormatting>
  <conditionalFormatting sqref="Q35">
    <cfRule type="expression" dxfId="192" priority="184" stopIfTrue="1">
      <formula>"esterreur(reference)"</formula>
    </cfRule>
  </conditionalFormatting>
  <conditionalFormatting sqref="O55:P56 O71:P71">
    <cfRule type="expression" dxfId="191" priority="191" stopIfTrue="1">
      <formula>"esterreur(reference)"</formula>
    </cfRule>
  </conditionalFormatting>
  <conditionalFormatting sqref="O61:P70">
    <cfRule type="expression" dxfId="190" priority="192" stopIfTrue="1">
      <formula>"esterreur(reference)"</formula>
    </cfRule>
  </conditionalFormatting>
  <conditionalFormatting sqref="O57:P59">
    <cfRule type="expression" dxfId="189" priority="193" stopIfTrue="1">
      <formula>"esterreur(reference)"</formula>
    </cfRule>
  </conditionalFormatting>
  <conditionalFormatting sqref="O60:P60">
    <cfRule type="expression" dxfId="188" priority="194" stopIfTrue="1">
      <formula>"esterreur(reference)"</formula>
    </cfRule>
  </conditionalFormatting>
  <conditionalFormatting sqref="Q19 Q21:Q23">
    <cfRule type="expression" dxfId="187" priority="188" stopIfTrue="1">
      <formula>"esterreur(reference)"</formula>
    </cfRule>
  </conditionalFormatting>
  <conditionalFormatting sqref="Q16:Q17">
    <cfRule type="expression" dxfId="186" priority="189" stopIfTrue="1">
      <formula>"esterreur(reference)"</formula>
    </cfRule>
  </conditionalFormatting>
  <conditionalFormatting sqref="Q20">
    <cfRule type="expression" dxfId="185" priority="187" stopIfTrue="1">
      <formula>"esterreur(reference)"</formula>
    </cfRule>
  </conditionalFormatting>
  <conditionalFormatting sqref="Q31 Q33:Q34">
    <cfRule type="expression" dxfId="184" priority="186" stopIfTrue="1">
      <formula>"esterreur(reference)"</formula>
    </cfRule>
  </conditionalFormatting>
  <conditionalFormatting sqref="Q42">
    <cfRule type="expression" dxfId="183" priority="183" stopIfTrue="1">
      <formula>"esterreur(reference)"</formula>
    </cfRule>
  </conditionalFormatting>
  <conditionalFormatting sqref="Q43">
    <cfRule type="expression" dxfId="182" priority="182" stopIfTrue="1">
      <formula>"esterreur(reference)"</formula>
    </cfRule>
  </conditionalFormatting>
  <conditionalFormatting sqref="Q44">
    <cfRule type="expression" dxfId="181" priority="181" stopIfTrue="1">
      <formula>"esterreur(reference)"</formula>
    </cfRule>
  </conditionalFormatting>
  <conditionalFormatting sqref="Q45:Q48">
    <cfRule type="expression" dxfId="180" priority="180" stopIfTrue="1">
      <formula>"esterreur(reference)"</formula>
    </cfRule>
  </conditionalFormatting>
  <conditionalFormatting sqref="Q55">
    <cfRule type="expression" dxfId="179" priority="179" stopIfTrue="1">
      <formula>"esterreur(reference)"</formula>
    </cfRule>
  </conditionalFormatting>
  <conditionalFormatting sqref="Q56">
    <cfRule type="expression" dxfId="178" priority="178" stopIfTrue="1">
      <formula>"esterreur(reference)"</formula>
    </cfRule>
  </conditionalFormatting>
  <conditionalFormatting sqref="Q58">
    <cfRule type="expression" dxfId="177" priority="177" stopIfTrue="1">
      <formula>"esterreur(reference)"</formula>
    </cfRule>
  </conditionalFormatting>
  <conditionalFormatting sqref="Q61">
    <cfRule type="expression" dxfId="176" priority="176" stopIfTrue="1">
      <formula>"esterreur(reference)"</formula>
    </cfRule>
  </conditionalFormatting>
  <conditionalFormatting sqref="Q63">
    <cfRule type="expression" dxfId="175" priority="175" stopIfTrue="1">
      <formula>"esterreur(reference)"</formula>
    </cfRule>
  </conditionalFormatting>
  <conditionalFormatting sqref="Q62">
    <cfRule type="expression" dxfId="174" priority="174" stopIfTrue="1">
      <formula>"esterreur(reference)"</formula>
    </cfRule>
  </conditionalFormatting>
  <conditionalFormatting sqref="Q64">
    <cfRule type="expression" dxfId="173" priority="173" stopIfTrue="1">
      <formula>"esterreur(reference)"</formula>
    </cfRule>
  </conditionalFormatting>
  <conditionalFormatting sqref="Q65">
    <cfRule type="expression" dxfId="172" priority="172" stopIfTrue="1">
      <formula>"esterreur(reference)"</formula>
    </cfRule>
  </conditionalFormatting>
  <conditionalFormatting sqref="Q66:Q69">
    <cfRule type="expression" dxfId="171" priority="171" stopIfTrue="1">
      <formula>"esterreur(reference)"</formula>
    </cfRule>
  </conditionalFormatting>
  <conditionalFormatting sqref="Q70">
    <cfRule type="expression" dxfId="170" priority="170" stopIfTrue="1">
      <formula>"esterreur(reference)"</formula>
    </cfRule>
  </conditionalFormatting>
  <conditionalFormatting sqref="Q75:Q82">
    <cfRule type="expression" dxfId="169" priority="169" stopIfTrue="1">
      <formula>"esterreur(reference)"</formula>
    </cfRule>
  </conditionalFormatting>
  <conditionalFormatting sqref="Q57">
    <cfRule type="expression" dxfId="168" priority="168" stopIfTrue="1">
      <formula>"esterreur(reference)"</formula>
    </cfRule>
  </conditionalFormatting>
  <conditionalFormatting sqref="Q5">
    <cfRule type="expression" dxfId="167" priority="166" stopIfTrue="1">
      <formula>"esterreur(reference)"</formula>
    </cfRule>
  </conditionalFormatting>
  <conditionalFormatting sqref="Q71">
    <cfRule type="expression" dxfId="166" priority="165" stopIfTrue="1">
      <formula>"esterreur(reference)"</formula>
    </cfRule>
  </conditionalFormatting>
  <conditionalFormatting sqref="Q60">
    <cfRule type="expression" dxfId="165" priority="163" stopIfTrue="1">
      <formula>"esterreur(reference)"</formula>
    </cfRule>
  </conditionalFormatting>
  <conditionalFormatting sqref="P98">
    <cfRule type="expression" dxfId="164" priority="162" stopIfTrue="1">
      <formula>"esterreur(reference)"</formula>
    </cfRule>
  </conditionalFormatting>
  <conditionalFormatting sqref="Q59">
    <cfRule type="expression" dxfId="163" priority="16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62" priority="158" stopIfTrue="1">
      <formula>"esterreur(reference)"</formula>
    </cfRule>
  </conditionalFormatting>
  <conditionalFormatting sqref="O141:P147">
    <cfRule type="expression" dxfId="161" priority="159" stopIfTrue="1">
      <formula>"esterreur(reference)"</formula>
    </cfRule>
  </conditionalFormatting>
  <conditionalFormatting sqref="O137:P139">
    <cfRule type="expression" dxfId="160" priority="160" stopIfTrue="1">
      <formula>"esterreur(reference)"</formula>
    </cfRule>
  </conditionalFormatting>
  <conditionalFormatting sqref="O140:P140">
    <cfRule type="expression" dxfId="159" priority="161" stopIfTrue="1">
      <formula>"esterreur(reference)"</formula>
    </cfRule>
  </conditionalFormatting>
  <conditionalFormatting sqref="Q94:Q95">
    <cfRule type="expression" dxfId="158" priority="157" stopIfTrue="1">
      <formula>"esterreur(reference)"</formula>
    </cfRule>
  </conditionalFormatting>
  <conditionalFormatting sqref="Q98">
    <cfRule type="expression" dxfId="157" priority="156" stopIfTrue="1">
      <formula>"esterreur(reference)"</formula>
    </cfRule>
  </conditionalFormatting>
  <conditionalFormatting sqref="Q99">
    <cfRule type="expression" dxfId="156" priority="155" stopIfTrue="1">
      <formula>"esterreur(reference)"</formula>
    </cfRule>
  </conditionalFormatting>
  <conditionalFormatting sqref="Q101">
    <cfRule type="expression" dxfId="155" priority="154" stopIfTrue="1">
      <formula>"esterreur(reference)"</formula>
    </cfRule>
  </conditionalFormatting>
  <conditionalFormatting sqref="Q102">
    <cfRule type="expression" dxfId="154" priority="153" stopIfTrue="1">
      <formula>"esterreur(reference)"</formula>
    </cfRule>
  </conditionalFormatting>
  <conditionalFormatting sqref="Q103">
    <cfRule type="expression" dxfId="153" priority="152" stopIfTrue="1">
      <formula>"esterreur(reference)"</formula>
    </cfRule>
  </conditionalFormatting>
  <conditionalFormatting sqref="Q111">
    <cfRule type="expression" dxfId="152" priority="151" stopIfTrue="1">
      <formula>"esterreur(reference)"</formula>
    </cfRule>
  </conditionalFormatting>
  <conditionalFormatting sqref="Q112">
    <cfRule type="expression" dxfId="151" priority="150" stopIfTrue="1">
      <formula>"esterreur(reference)"</formula>
    </cfRule>
  </conditionalFormatting>
  <conditionalFormatting sqref="Q114">
    <cfRule type="expression" dxfId="150" priority="149" stopIfTrue="1">
      <formula>"esterreur(reference)"</formula>
    </cfRule>
  </conditionalFormatting>
  <conditionalFormatting sqref="Q116:Q119">
    <cfRule type="expression" dxfId="149" priority="148" stopIfTrue="1">
      <formula>"esterreur(reference)"</formula>
    </cfRule>
  </conditionalFormatting>
  <conditionalFormatting sqref="Q120">
    <cfRule type="expression" dxfId="148" priority="147" stopIfTrue="1">
      <formula>"esterreur(reference)"</formula>
    </cfRule>
  </conditionalFormatting>
  <conditionalFormatting sqref="Q130">
    <cfRule type="expression" dxfId="147" priority="144" stopIfTrue="1">
      <formula>"esterreur(reference)"</formula>
    </cfRule>
  </conditionalFormatting>
  <conditionalFormatting sqref="Q124">
    <cfRule type="expression" dxfId="146" priority="146" stopIfTrue="1">
      <formula>"esterreur(reference)"</formula>
    </cfRule>
  </conditionalFormatting>
  <conditionalFormatting sqref="Q123">
    <cfRule type="expression" dxfId="145" priority="145" stopIfTrue="1">
      <formula>"esterreur(reference)"</formula>
    </cfRule>
  </conditionalFormatting>
  <conditionalFormatting sqref="Q139">
    <cfRule type="expression" dxfId="144" priority="137" stopIfTrue="1">
      <formula>"esterreur(reference)"</formula>
    </cfRule>
  </conditionalFormatting>
  <conditionalFormatting sqref="Q131">
    <cfRule type="expression" dxfId="143" priority="143" stopIfTrue="1">
      <formula>"esterreur(reference)"</formula>
    </cfRule>
  </conditionalFormatting>
  <conditionalFormatting sqref="Q132">
    <cfRule type="expression" dxfId="142" priority="142" stopIfTrue="1">
      <formula>"esterreur(reference)"</formula>
    </cfRule>
  </conditionalFormatting>
  <conditionalFormatting sqref="Q133">
    <cfRule type="expression" dxfId="141" priority="141" stopIfTrue="1">
      <formula>"esterreur(reference)"</formula>
    </cfRule>
  </conditionalFormatting>
  <conditionalFormatting sqref="Q141">
    <cfRule type="expression" dxfId="140" priority="135" stopIfTrue="1">
      <formula>"esterreur(reference)"</formula>
    </cfRule>
  </conditionalFormatting>
  <conditionalFormatting sqref="Q136">
    <cfRule type="expression" dxfId="139" priority="140" stopIfTrue="1">
      <formula>"esterreur(reference)"</formula>
    </cfRule>
  </conditionalFormatting>
  <conditionalFormatting sqref="Q137">
    <cfRule type="expression" dxfId="138" priority="139" stopIfTrue="1">
      <formula>"esterreur(reference)"</formula>
    </cfRule>
  </conditionalFormatting>
  <conditionalFormatting sqref="Q138">
    <cfRule type="expression" dxfId="137" priority="138" stopIfTrue="1">
      <formula>"esterreur(reference)"</formula>
    </cfRule>
  </conditionalFormatting>
  <conditionalFormatting sqref="Q143">
    <cfRule type="expression" dxfId="136" priority="133" stopIfTrue="1">
      <formula>"esterreur(reference)"</formula>
    </cfRule>
  </conditionalFormatting>
  <conditionalFormatting sqref="Q140">
    <cfRule type="expression" dxfId="135" priority="136" stopIfTrue="1">
      <formula>"esterreur(reference)"</formula>
    </cfRule>
  </conditionalFormatting>
  <conditionalFormatting sqref="Q142">
    <cfRule type="expression" dxfId="134" priority="134" stopIfTrue="1">
      <formula>"esterreur(reference)"</formula>
    </cfRule>
  </conditionalFormatting>
  <conditionalFormatting sqref="Q144">
    <cfRule type="expression" dxfId="133" priority="132" stopIfTrue="1">
      <formula>"esterreur(reference)"</formula>
    </cfRule>
  </conditionalFormatting>
  <conditionalFormatting sqref="Q145">
    <cfRule type="expression" dxfId="132" priority="131" stopIfTrue="1">
      <formula>"esterreur(reference)"</formula>
    </cfRule>
  </conditionalFormatting>
  <conditionalFormatting sqref="Q146">
    <cfRule type="expression" dxfId="131" priority="130" stopIfTrue="1">
      <formula>"esterreur(reference)"</formula>
    </cfRule>
  </conditionalFormatting>
  <conditionalFormatting sqref="Q147">
    <cfRule type="expression" dxfId="130" priority="129" stopIfTrue="1">
      <formula>"esterreur(reference)"</formula>
    </cfRule>
  </conditionalFormatting>
  <conditionalFormatting sqref="Q113">
    <cfRule type="expression" dxfId="129" priority="126" stopIfTrue="1">
      <formula>"esterreur(reference)"</formula>
    </cfRule>
  </conditionalFormatting>
  <conditionalFormatting sqref="Q155:Q161">
    <cfRule type="expression" dxfId="128" priority="128" stopIfTrue="1">
      <formula>"esterreur(reference)"</formula>
    </cfRule>
  </conditionalFormatting>
  <conditionalFormatting sqref="Q93">
    <cfRule type="expression" dxfId="127" priority="125" stopIfTrue="1">
      <formula>"esterreur(reference)"</formula>
    </cfRule>
  </conditionalFormatting>
  <conditionalFormatting sqref="Q115">
    <cfRule type="expression" dxfId="126" priority="127" stopIfTrue="1">
      <formula>"esterreur(reference)"</formula>
    </cfRule>
  </conditionalFormatting>
  <conditionalFormatting sqref="P93">
    <cfRule type="expression" dxfId="125" priority="124" stopIfTrue="1">
      <formula>"esterreur(reference)"</formula>
    </cfRule>
  </conditionalFormatting>
  <conditionalFormatting sqref="Q122">
    <cfRule type="expression" dxfId="124" priority="123" stopIfTrue="1">
      <formula>"esterreur(reference)"</formula>
    </cfRule>
  </conditionalFormatting>
  <conditionalFormatting sqref="Q135">
    <cfRule type="expression" dxfId="123" priority="12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22" priority="119" stopIfTrue="1">
      <formula>"esterreur(reference)"</formula>
    </cfRule>
  </conditionalFormatting>
  <conditionalFormatting sqref="O219:P224">
    <cfRule type="expression" dxfId="121" priority="120" stopIfTrue="1">
      <formula>"esterreur(reference)"</formula>
    </cfRule>
  </conditionalFormatting>
  <conditionalFormatting sqref="O196:Q196">
    <cfRule type="expression" dxfId="120" priority="121" stopIfTrue="1">
      <formula>"esterreur(reference)"</formula>
    </cfRule>
  </conditionalFormatting>
  <conditionalFormatting sqref="Q207">
    <cfRule type="expression" dxfId="119" priority="105" stopIfTrue="1">
      <formula>"esterreur(reference)"</formula>
    </cfRule>
  </conditionalFormatting>
  <conditionalFormatting sqref="Q227">
    <cfRule type="expression" dxfId="118" priority="101" stopIfTrue="1">
      <formula>"esterreur(reference)"</formula>
    </cfRule>
  </conditionalFormatting>
  <conditionalFormatting sqref="Q171">
    <cfRule type="expression" dxfId="117" priority="118" stopIfTrue="1">
      <formula>"esterreur(reference)"</formula>
    </cfRule>
  </conditionalFormatting>
  <conditionalFormatting sqref="Q174">
    <cfRule type="expression" dxfId="116" priority="117" stopIfTrue="1">
      <formula>"esterreur(reference)"</formula>
    </cfRule>
  </conditionalFormatting>
  <conditionalFormatting sqref="Q177">
    <cfRule type="expression" dxfId="115" priority="116" stopIfTrue="1">
      <formula>"esterreur(reference)"</formula>
    </cfRule>
  </conditionalFormatting>
  <conditionalFormatting sqref="Q183">
    <cfRule type="expression" dxfId="114" priority="115" stopIfTrue="1">
      <formula>"esterreur(reference)"</formula>
    </cfRule>
  </conditionalFormatting>
  <conditionalFormatting sqref="Q187">
    <cfRule type="expression" dxfId="113" priority="114" stopIfTrue="1">
      <formula>"esterreur(reference)"</formula>
    </cfRule>
  </conditionalFormatting>
  <conditionalFormatting sqref="Q197">
    <cfRule type="expression" dxfId="112" priority="113" stopIfTrue="1">
      <formula>"esterreur(reference)"</formula>
    </cfRule>
  </conditionalFormatting>
  <conditionalFormatting sqref="Q199">
    <cfRule type="expression" dxfId="111" priority="112" stopIfTrue="1">
      <formula>"esterreur(reference)"</formula>
    </cfRule>
  </conditionalFormatting>
  <conditionalFormatting sqref="Q198">
    <cfRule type="expression" dxfId="110" priority="111" stopIfTrue="1">
      <formula>"esterreur(reference)"</formula>
    </cfRule>
  </conditionalFormatting>
  <conditionalFormatting sqref="Q200">
    <cfRule type="expression" dxfId="109" priority="110" stopIfTrue="1">
      <formula>"esterreur(reference)"</formula>
    </cfRule>
  </conditionalFormatting>
  <conditionalFormatting sqref="Q201">
    <cfRule type="expression" dxfId="108" priority="109" stopIfTrue="1">
      <formula>"esterreur(reference)"</formula>
    </cfRule>
  </conditionalFormatting>
  <conditionalFormatting sqref="Q202:Q204">
    <cfRule type="expression" dxfId="107" priority="108" stopIfTrue="1">
      <formula>"esterreur(reference)"</formula>
    </cfRule>
  </conditionalFormatting>
  <conditionalFormatting sqref="Q206">
    <cfRule type="expression" dxfId="106" priority="106" stopIfTrue="1">
      <formula>"esterreur(reference)"</formula>
    </cfRule>
  </conditionalFormatting>
  <conditionalFormatting sqref="Q205">
    <cfRule type="expression" dxfId="105" priority="107" stopIfTrue="1">
      <formula>"esterreur(reference)"</formula>
    </cfRule>
  </conditionalFormatting>
  <conditionalFormatting sqref="Q208">
    <cfRule type="expression" dxfId="104" priority="104" stopIfTrue="1">
      <formula>"esterreur(reference)"</formula>
    </cfRule>
  </conditionalFormatting>
  <conditionalFormatting sqref="Q211:Q224">
    <cfRule type="expression" dxfId="103" priority="103" stopIfTrue="1">
      <formula>"esterreur(reference)"</formula>
    </cfRule>
  </conditionalFormatting>
  <conditionalFormatting sqref="Q225:Q226">
    <cfRule type="expression" dxfId="102" priority="102" stopIfTrue="1">
      <formula>"esterreur(reference)"</formula>
    </cfRule>
  </conditionalFormatting>
  <conditionalFormatting sqref="Q180">
    <cfRule type="expression" dxfId="101" priority="100" stopIfTrue="1">
      <formula>"esterreur(reference)"</formula>
    </cfRule>
  </conditionalFormatting>
  <conditionalFormatting sqref="P182">
    <cfRule type="expression" dxfId="100" priority="99" stopIfTrue="1">
      <formula>"esterreur(reference)"</formula>
    </cfRule>
  </conditionalFormatting>
  <conditionalFormatting sqref="P171">
    <cfRule type="expression" dxfId="99" priority="98" stopIfTrue="1">
      <formula>"esterreur(reference)"</formula>
    </cfRule>
  </conditionalFormatting>
  <conditionalFormatting sqref="P174">
    <cfRule type="expression" dxfId="98" priority="97" stopIfTrue="1">
      <formula>"esterreur(reference)"</formula>
    </cfRule>
  </conditionalFormatting>
  <conditionalFormatting sqref="P177">
    <cfRule type="expression" dxfId="97" priority="96" stopIfTrue="1">
      <formula>"esterreur(reference)"</formula>
    </cfRule>
  </conditionalFormatting>
  <conditionalFormatting sqref="P180">
    <cfRule type="expression" dxfId="96" priority="95" stopIfTrue="1">
      <formula>"esterreur(reference)"</formula>
    </cfRule>
  </conditionalFormatting>
  <conditionalFormatting sqref="P187">
    <cfRule type="expression" dxfId="95" priority="94" stopIfTrue="1">
      <formula>"esterreur(reference)"</formula>
    </cfRule>
  </conditionalFormatting>
  <conditionalFormatting sqref="P190">
    <cfRule type="expression" dxfId="94" priority="93" stopIfTrue="1">
      <formula>"esterreur(reference)"</formula>
    </cfRule>
  </conditionalFormatting>
  <conditionalFormatting sqref="Q210">
    <cfRule type="expression" dxfId="93" priority="92" stopIfTrue="1">
      <formula>"esterreur(reference)"</formula>
    </cfRule>
  </conditionalFormatting>
  <conditionalFormatting sqref="O287:Q287 O288:P288 O242:Q242 O251:Q252 O284:Q284 Q275:Q283 O253:P274">
    <cfRule type="expression" dxfId="92" priority="89" stopIfTrue="1">
      <formula>"esterreur(reference)"</formula>
    </cfRule>
  </conditionalFormatting>
  <conditionalFormatting sqref="O275:P280">
    <cfRule type="expression" dxfId="91" priority="90" stopIfTrue="1">
      <formula>"esterreur(reference)"</formula>
    </cfRule>
  </conditionalFormatting>
  <conditionalFormatting sqref="O281:P283">
    <cfRule type="expression" dxfId="90" priority="91" stopIfTrue="1">
      <formula>"esterreur(reference)"</formula>
    </cfRule>
  </conditionalFormatting>
  <conditionalFormatting sqref="Q271">
    <cfRule type="expression" dxfId="89" priority="71" stopIfTrue="1">
      <formula>"esterreur(reference)"</formula>
    </cfRule>
  </conditionalFormatting>
  <conditionalFormatting sqref="Q274">
    <cfRule type="expression" dxfId="88" priority="69" stopIfTrue="1">
      <formula>"esterreur(reference)"</formula>
    </cfRule>
  </conditionalFormatting>
  <conditionalFormatting sqref="Q243">
    <cfRule type="expression" dxfId="87" priority="88" stopIfTrue="1">
      <formula>"esterreur(reference)"</formula>
    </cfRule>
  </conditionalFormatting>
  <conditionalFormatting sqref="Q246">
    <cfRule type="expression" dxfId="86" priority="87" stopIfTrue="1">
      <formula>"esterreur(reference)"</formula>
    </cfRule>
  </conditionalFormatting>
  <conditionalFormatting sqref="Q253">
    <cfRule type="expression" dxfId="85" priority="86" stopIfTrue="1">
      <formula>"esterreur(reference)"</formula>
    </cfRule>
  </conditionalFormatting>
  <conditionalFormatting sqref="Q254">
    <cfRule type="expression" dxfId="84" priority="85" stopIfTrue="1">
      <formula>"esterreur(reference)"</formula>
    </cfRule>
  </conditionalFormatting>
  <conditionalFormatting sqref="Q255">
    <cfRule type="expression" dxfId="83" priority="84" stopIfTrue="1">
      <formula>"esterreur(reference)"</formula>
    </cfRule>
  </conditionalFormatting>
  <conditionalFormatting sqref="Q256">
    <cfRule type="expression" dxfId="82" priority="83" stopIfTrue="1">
      <formula>"esterreur(reference)"</formula>
    </cfRule>
  </conditionalFormatting>
  <conditionalFormatting sqref="Q257">
    <cfRule type="expression" dxfId="81" priority="82" stopIfTrue="1">
      <formula>"esterreur(reference)"</formula>
    </cfRule>
  </conditionalFormatting>
  <conditionalFormatting sqref="Q258">
    <cfRule type="expression" dxfId="80" priority="81" stopIfTrue="1">
      <formula>"esterreur(reference)"</formula>
    </cfRule>
  </conditionalFormatting>
  <conditionalFormatting sqref="Q259">
    <cfRule type="expression" dxfId="79" priority="80" stopIfTrue="1">
      <formula>"esterreur(reference)"</formula>
    </cfRule>
  </conditionalFormatting>
  <conditionalFormatting sqref="Q260">
    <cfRule type="expression" dxfId="78" priority="79" stopIfTrue="1">
      <formula>"esterreur(reference)"</formula>
    </cfRule>
  </conditionalFormatting>
  <conditionalFormatting sqref="Q261">
    <cfRule type="expression" dxfId="77" priority="78" stopIfTrue="1">
      <formula>"esterreur(reference)"</formula>
    </cfRule>
  </conditionalFormatting>
  <conditionalFormatting sqref="Q262">
    <cfRule type="expression" dxfId="76" priority="77" stopIfTrue="1">
      <formula>"esterreur(reference)"</formula>
    </cfRule>
  </conditionalFormatting>
  <conditionalFormatting sqref="Q263:Q264">
    <cfRule type="expression" dxfId="75" priority="76" stopIfTrue="1">
      <formula>"esterreur(reference)"</formula>
    </cfRule>
  </conditionalFormatting>
  <conditionalFormatting sqref="Q268">
    <cfRule type="expression" dxfId="74" priority="74" stopIfTrue="1">
      <formula>"esterreur(reference)"</formula>
    </cfRule>
  </conditionalFormatting>
  <conditionalFormatting sqref="Q267">
    <cfRule type="expression" dxfId="73" priority="75" stopIfTrue="1">
      <formula>"esterreur(reference)"</formula>
    </cfRule>
  </conditionalFormatting>
  <conditionalFormatting sqref="Q269">
    <cfRule type="expression" dxfId="72" priority="73" stopIfTrue="1">
      <formula>"esterreur(reference)"</formula>
    </cfRule>
  </conditionalFormatting>
  <conditionalFormatting sqref="Q270">
    <cfRule type="expression" dxfId="71" priority="72" stopIfTrue="1">
      <formula>"esterreur(reference)"</formula>
    </cfRule>
  </conditionalFormatting>
  <conditionalFormatting sqref="Q272:Q273">
    <cfRule type="expression" dxfId="70" priority="70" stopIfTrue="1">
      <formula>"esterreur(reference)"</formula>
    </cfRule>
  </conditionalFormatting>
  <conditionalFormatting sqref="P240">
    <cfRule type="expression" dxfId="69" priority="68" stopIfTrue="1">
      <formula>"esterreur(reference)"</formula>
    </cfRule>
  </conditionalFormatting>
  <conditionalFormatting sqref="P243">
    <cfRule type="expression" dxfId="68" priority="67" stopIfTrue="1">
      <formula>"esterreur(reference)"</formula>
    </cfRule>
  </conditionalFormatting>
  <conditionalFormatting sqref="P246">
    <cfRule type="expression" dxfId="67" priority="66" stopIfTrue="1">
      <formula>"esterreur(reference)"</formula>
    </cfRule>
  </conditionalFormatting>
  <conditionalFormatting sqref="Q240">
    <cfRule type="expression" dxfId="66" priority="65" stopIfTrue="1">
      <formula>"esterreur(reference)"</formula>
    </cfRule>
  </conditionalFormatting>
  <conditionalFormatting sqref="P286">
    <cfRule type="expression" dxfId="65" priority="64" stopIfTrue="1">
      <formula>"esterreur(reference)"</formula>
    </cfRule>
  </conditionalFormatting>
  <conditionalFormatting sqref="Q266">
    <cfRule type="expression" dxfId="64" priority="63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63" priority="61" stopIfTrue="1">
      <formula>"esterreur(reference)"</formula>
    </cfRule>
  </conditionalFormatting>
  <conditionalFormatting sqref="O316:Q316">
    <cfRule type="expression" dxfId="62" priority="62" stopIfTrue="1">
      <formula>"esterreur(reference)"</formula>
    </cfRule>
  </conditionalFormatting>
  <conditionalFormatting sqref="Q331:Q347">
    <cfRule type="expression" dxfId="61" priority="48" stopIfTrue="1">
      <formula>"esterreur(reference)"</formula>
    </cfRule>
  </conditionalFormatting>
  <conditionalFormatting sqref="Q325">
    <cfRule type="expression" dxfId="60" priority="52" stopIfTrue="1">
      <formula>"esterreur(reference)"</formula>
    </cfRule>
  </conditionalFormatting>
  <conditionalFormatting sqref="Q326">
    <cfRule type="expression" dxfId="59" priority="51" stopIfTrue="1">
      <formula>"esterreur(reference)"</formula>
    </cfRule>
  </conditionalFormatting>
  <conditionalFormatting sqref="Q327">
    <cfRule type="expression" dxfId="58" priority="50" stopIfTrue="1">
      <formula>"esterreur(reference)"</formula>
    </cfRule>
  </conditionalFormatting>
  <conditionalFormatting sqref="Q328">
    <cfRule type="expression" dxfId="57" priority="49" stopIfTrue="1">
      <formula>"esterreur(reference)"</formula>
    </cfRule>
  </conditionalFormatting>
  <conditionalFormatting sqref="Q294:Q300">
    <cfRule type="expression" dxfId="56" priority="60" stopIfTrue="1">
      <formula>"esterreur(reference)"</formula>
    </cfRule>
  </conditionalFormatting>
  <conditionalFormatting sqref="Q301">
    <cfRule type="expression" dxfId="55" priority="59" stopIfTrue="1">
      <formula>"esterreur(reference)"</formula>
    </cfRule>
  </conditionalFormatting>
  <conditionalFormatting sqref="Q302">
    <cfRule type="expression" dxfId="54" priority="58" stopIfTrue="1">
      <formula>"esterreur(reference)"</formula>
    </cfRule>
  </conditionalFormatting>
  <conditionalFormatting sqref="Q306">
    <cfRule type="expression" dxfId="53" priority="57" stopIfTrue="1">
      <formula>"esterreur(reference)"</formula>
    </cfRule>
  </conditionalFormatting>
  <conditionalFormatting sqref="Q307">
    <cfRule type="expression" dxfId="52" priority="56" stopIfTrue="1">
      <formula>"esterreur(reference)"</formula>
    </cfRule>
  </conditionalFormatting>
  <conditionalFormatting sqref="Q311">
    <cfRule type="expression" dxfId="51" priority="55" stopIfTrue="1">
      <formula>"esterreur(reference)"</formula>
    </cfRule>
  </conditionalFormatting>
  <conditionalFormatting sqref="Q317">
    <cfRule type="expression" dxfId="50" priority="54" stopIfTrue="1">
      <formula>"esterreur(reference)"</formula>
    </cfRule>
  </conditionalFormatting>
  <conditionalFormatting sqref="Q318">
    <cfRule type="expression" dxfId="49" priority="53" stopIfTrue="1">
      <formula>"esterreur(reference)"</formula>
    </cfRule>
  </conditionalFormatting>
  <conditionalFormatting sqref="O306:O307">
    <cfRule type="expression" dxfId="48" priority="47" stopIfTrue="1">
      <formula>"esterreur(reference)"</formula>
    </cfRule>
  </conditionalFormatting>
  <conditionalFormatting sqref="O311">
    <cfRule type="expression" dxfId="47" priority="46" stopIfTrue="1">
      <formula>"esterreur(reference)"</formula>
    </cfRule>
  </conditionalFormatting>
  <conditionalFormatting sqref="Q330">
    <cfRule type="expression" dxfId="46" priority="45" stopIfTrue="1">
      <formula>"esterreur(reference)"</formula>
    </cfRule>
  </conditionalFormatting>
  <conditionalFormatting sqref="O363:Q363 O364:P375">
    <cfRule type="expression" dxfId="45" priority="39" stopIfTrue="1">
      <formula>"esterreur(reference)"</formula>
    </cfRule>
  </conditionalFormatting>
  <conditionalFormatting sqref="O358:Q358">
    <cfRule type="expression" dxfId="44" priority="40" stopIfTrue="1">
      <formula>"esterreur(reference)"</formula>
    </cfRule>
  </conditionalFormatting>
  <conditionalFormatting sqref="O376:Q376 O377:P392">
    <cfRule type="expression" dxfId="43" priority="41" stopIfTrue="1">
      <formula>"esterreur(reference)"</formula>
    </cfRule>
  </conditionalFormatting>
  <conditionalFormatting sqref="O395:Q398 O393:P393">
    <cfRule type="expression" dxfId="42" priority="42" stopIfTrue="1">
      <formula>"esterreur(reference)"</formula>
    </cfRule>
  </conditionalFormatting>
  <conditionalFormatting sqref="O360:Q362 P359">
    <cfRule type="expression" dxfId="41" priority="43" stopIfTrue="1">
      <formula>"esterreur(reference)"</formula>
    </cfRule>
  </conditionalFormatting>
  <conditionalFormatting sqref="P394">
    <cfRule type="expression" dxfId="40" priority="44" stopIfTrue="1">
      <formula>"esterreur(reference)"</formula>
    </cfRule>
  </conditionalFormatting>
  <conditionalFormatting sqref="Q364:Q375">
    <cfRule type="expression" dxfId="39" priority="38" stopIfTrue="1">
      <formula>"esterreur(reference)"</formula>
    </cfRule>
  </conditionalFormatting>
  <conditionalFormatting sqref="Q377:Q393">
    <cfRule type="expression" dxfId="38" priority="37" stopIfTrue="1">
      <formula>"esterreur(reference)"</formula>
    </cfRule>
  </conditionalFormatting>
  <conditionalFormatting sqref="O359">
    <cfRule type="expression" dxfId="37" priority="36" stopIfTrue="1">
      <formula>"esterreur(reference)"</formula>
    </cfRule>
  </conditionalFormatting>
  <conditionalFormatting sqref="Q359">
    <cfRule type="expression" dxfId="36" priority="35" stopIfTrue="1">
      <formula>"esterreur(reference)"</formula>
    </cfRule>
  </conditionalFormatting>
  <conditionalFormatting sqref="Q36:Q40">
    <cfRule type="expression" dxfId="35" priority="34" stopIfTrue="1">
      <formula>"esterreur(reference)"</formula>
    </cfRule>
  </conditionalFormatting>
  <conditionalFormatting sqref="L68">
    <cfRule type="expression" dxfId="34" priority="33" stopIfTrue="1">
      <formula>"esterreur(reference)"</formula>
    </cfRule>
  </conditionalFormatting>
  <conditionalFormatting sqref="Q149:Q151">
    <cfRule type="expression" dxfId="33" priority="25" stopIfTrue="1">
      <formula>"esterreur(reference)"</formula>
    </cfRule>
  </conditionalFormatting>
  <conditionalFormatting sqref="H148 J148:K148">
    <cfRule type="expression" dxfId="32" priority="32" stopIfTrue="1">
      <formula>"esterreur(reference)"</formula>
    </cfRule>
  </conditionalFormatting>
  <conditionalFormatting sqref="L148">
    <cfRule type="expression" dxfId="31" priority="31" stopIfTrue="1">
      <formula>"esterreur(reference)"</formula>
    </cfRule>
  </conditionalFormatting>
  <conditionalFormatting sqref="O148:P148">
    <cfRule type="expression" dxfId="30" priority="30" stopIfTrue="1">
      <formula>"esterreur(reference)"</formula>
    </cfRule>
  </conditionalFormatting>
  <conditionalFormatting sqref="Q148">
    <cfRule type="expression" dxfId="29" priority="29" stopIfTrue="1">
      <formula>"esterreur(reference)"</formula>
    </cfRule>
  </conditionalFormatting>
  <conditionalFormatting sqref="H149:H151 J149:K151">
    <cfRule type="expression" dxfId="28" priority="28" stopIfTrue="1">
      <formula>"esterreur(reference)"</formula>
    </cfRule>
  </conditionalFormatting>
  <conditionalFormatting sqref="L149:L151">
    <cfRule type="expression" dxfId="27" priority="27" stopIfTrue="1">
      <formula>"esterreur(reference)"</formula>
    </cfRule>
  </conditionalFormatting>
  <conditionalFormatting sqref="O149:P151">
    <cfRule type="expression" dxfId="26" priority="26" stopIfTrue="1">
      <formula>"esterreur(reference)"</formula>
    </cfRule>
  </conditionalFormatting>
  <conditionalFormatting sqref="L158:L161">
    <cfRule type="expression" dxfId="25" priority="24" stopIfTrue="1">
      <formula>"esterreur(reference)"</formula>
    </cfRule>
  </conditionalFormatting>
  <conditionalFormatting sqref="AG414:AI417">
    <cfRule type="cellIs" dxfId="24" priority="23" operator="greaterThan">
      <formula>0</formula>
    </cfRule>
  </conditionalFormatting>
  <conditionalFormatting sqref="AO414:AO417">
    <cfRule type="cellIs" dxfId="23" priority="22" operator="greaterThan">
      <formula>0</formula>
    </cfRule>
  </conditionalFormatting>
  <conditionalFormatting sqref="G111:G112">
    <cfRule type="expression" dxfId="22" priority="21" stopIfTrue="1">
      <formula>"esterreur(reference)"</formula>
    </cfRule>
  </conditionalFormatting>
  <conditionalFormatting sqref="AH424:AH426">
    <cfRule type="cellIs" dxfId="21" priority="20" operator="greaterThan">
      <formula>0</formula>
    </cfRule>
  </conditionalFormatting>
  <conditionalFormatting sqref="AI431">
    <cfRule type="cellIs" dxfId="20" priority="19" operator="greaterThan">
      <formula>0</formula>
    </cfRule>
  </conditionalFormatting>
  <conditionalFormatting sqref="AH431">
    <cfRule type="cellIs" dxfId="19" priority="18" operator="greaterThan">
      <formula>0</formula>
    </cfRule>
  </conditionalFormatting>
  <conditionalFormatting sqref="AI448:AI450">
    <cfRule type="cellIs" dxfId="18" priority="17" operator="greaterThan">
      <formula>0</formula>
    </cfRule>
  </conditionalFormatting>
  <conditionalFormatting sqref="AH448:AH450">
    <cfRule type="cellIs" dxfId="17" priority="16" operator="greaterThan">
      <formula>0</formula>
    </cfRule>
  </conditionalFormatting>
  <conditionalFormatting sqref="AI462:AI464">
    <cfRule type="cellIs" dxfId="16" priority="15" operator="greaterThan">
      <formula>0</formula>
    </cfRule>
  </conditionalFormatting>
  <conditionalFormatting sqref="AH462:AH464">
    <cfRule type="cellIs" dxfId="15" priority="14" operator="greaterThan">
      <formula>0</formula>
    </cfRule>
  </conditionalFormatting>
  <conditionalFormatting sqref="AI476:AI478">
    <cfRule type="cellIs" dxfId="14" priority="13" operator="greaterThan">
      <formula>0</formula>
    </cfRule>
  </conditionalFormatting>
  <conditionalFormatting sqref="AH476:AH478">
    <cfRule type="cellIs" dxfId="13" priority="12" operator="greaterThan">
      <formula>0</formula>
    </cfRule>
  </conditionalFormatting>
  <conditionalFormatting sqref="AI494:AI496">
    <cfRule type="cellIs" dxfId="12" priority="11" operator="greaterThan">
      <formula>0</formula>
    </cfRule>
  </conditionalFormatting>
  <conditionalFormatting sqref="AH494:AH496">
    <cfRule type="cellIs" dxfId="11" priority="10" operator="greaterThan">
      <formula>0</formula>
    </cfRule>
  </conditionalFormatting>
  <conditionalFormatting sqref="H83:H85 H72 H25:H54">
    <cfRule type="expression" dxfId="10" priority="5" stopIfTrue="1">
      <formula>"esterreur(reference)"</formula>
    </cfRule>
  </conditionalFormatting>
  <conditionalFormatting sqref="H55:H56 H71">
    <cfRule type="expression" dxfId="9" priority="6" stopIfTrue="1">
      <formula>"esterreur(reference)"</formula>
    </cfRule>
  </conditionalFormatting>
  <conditionalFormatting sqref="H61:H70">
    <cfRule type="expression" dxfId="8" priority="7" stopIfTrue="1">
      <formula>"esterreur(reference)"</formula>
    </cfRule>
  </conditionalFormatting>
  <conditionalFormatting sqref="H57:H59">
    <cfRule type="expression" dxfId="7" priority="8" stopIfTrue="1">
      <formula>"esterreur(reference)"</formula>
    </cfRule>
  </conditionalFormatting>
  <conditionalFormatting sqref="H60">
    <cfRule type="expression" dxfId="6" priority="9" stopIfTrue="1">
      <formula>"esterreur(reference)"</formula>
    </cfRule>
  </conditionalFormatting>
  <conditionalFormatting sqref="G31:G32">
    <cfRule type="expression" dxfId="5" priority="4" stopIfTrue="1">
      <formula>"esterreur(reference)"</formula>
    </cfRule>
  </conditionalFormatting>
  <conditionalFormatting sqref="I83:I85 I13:I14 I24:I30 I20 I16:I18">
    <cfRule type="expression" dxfId="4" priority="3" stopIfTrue="1">
      <formula>"esterreur(reference)"</formula>
    </cfRule>
  </conditionalFormatting>
  <conditionalFormatting sqref="F83:F85">
    <cfRule type="expression" dxfId="3" priority="2" stopIfTrue="1">
      <formula>"esterreur(reference)"</formula>
    </cfRule>
  </conditionalFormatting>
  <conditionalFormatting sqref="F5">
    <cfRule type="expression" dxfId="2" priority="1" stopIfTrue="1">
      <formula>"esterreur(reference)"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5" max="16383" man="1"/>
    <brk id="233" max="16383" man="1"/>
    <brk id="289" min="2" max="19" man="1"/>
    <brk id="353" max="16383" man="1"/>
    <brk id="498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VW 4</vt:lpstr>
      <vt:lpstr>VW 5</vt:lpstr>
      <vt:lpstr>VW 6</vt:lpstr>
      <vt:lpstr>END</vt:lpstr>
      <vt:lpstr>Conso!Zone_d_impression</vt:lpstr>
      <vt:lpstr>'VW 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2021-07-13T20:48:44Z</dcterms:modified>
</cp:coreProperties>
</file>