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D5E73D59-F7D9-498C-944A-A6F5AECA24A8}" xr6:coauthVersionLast="47" xr6:coauthVersionMax="47" xr10:uidLastSave="{00000000-0000-0000-0000-000000000000}"/>
  <bookViews>
    <workbookView xWindow="-108" yWindow="-108"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3" i="15" l="1"/>
  <c r="AK3" i="15"/>
  <c r="AL3" i="15"/>
  <c r="AJ4" i="15"/>
  <c r="AK4" i="15"/>
  <c r="AL4" i="15"/>
  <c r="AJ5" i="15"/>
  <c r="AK5" i="15"/>
  <c r="AL5" i="15"/>
  <c r="AJ6" i="15"/>
  <c r="AK6" i="15"/>
  <c r="AL6" i="15"/>
  <c r="AJ7" i="15"/>
  <c r="AK7" i="15"/>
  <c r="AL7" i="15"/>
  <c r="AJ8" i="15"/>
  <c r="AK8" i="15"/>
  <c r="AL8" i="15"/>
  <c r="AJ9" i="15"/>
  <c r="AK9" i="15"/>
  <c r="AL9" i="15"/>
  <c r="AJ10" i="15"/>
  <c r="AK10" i="15"/>
  <c r="AL10" i="15"/>
  <c r="AJ11" i="15"/>
  <c r="AK11" i="15"/>
  <c r="AL11" i="15"/>
  <c r="AJ12" i="15"/>
  <c r="AK12" i="15"/>
  <c r="AL12" i="15"/>
  <c r="AJ13" i="15"/>
  <c r="AK13" i="15"/>
  <c r="AL13" i="15"/>
  <c r="AJ14" i="15"/>
  <c r="AK14" i="15"/>
  <c r="AL14" i="15"/>
  <c r="AJ15" i="15"/>
  <c r="AK15" i="15"/>
  <c r="AL15" i="15"/>
  <c r="AJ16" i="15"/>
  <c r="AK16" i="15"/>
  <c r="AL16" i="15"/>
  <c r="AJ17" i="15"/>
  <c r="AK17" i="15"/>
  <c r="AL17" i="15"/>
  <c r="AJ18" i="15"/>
  <c r="AK18" i="15"/>
  <c r="AL18" i="15"/>
  <c r="AJ19" i="15"/>
  <c r="AK19" i="15"/>
  <c r="AL19" i="15"/>
  <c r="AJ20" i="15"/>
  <c r="AK20" i="15"/>
  <c r="AL20" i="15"/>
  <c r="AJ21" i="15"/>
  <c r="AK21" i="15"/>
  <c r="AL21" i="15"/>
  <c r="AJ22" i="15"/>
  <c r="AK22" i="15"/>
  <c r="AL22" i="15"/>
  <c r="AJ23" i="15"/>
  <c r="AK23" i="15"/>
  <c r="AL23" i="15"/>
  <c r="AJ24" i="15"/>
  <c r="AK24" i="15"/>
  <c r="AL24" i="15"/>
  <c r="AJ25" i="15"/>
  <c r="AK25" i="15"/>
  <c r="AL25" i="15"/>
  <c r="AJ26" i="15"/>
  <c r="AK26" i="15"/>
  <c r="AL26" i="15"/>
  <c r="AJ27" i="15"/>
  <c r="AK27" i="15"/>
  <c r="AL27" i="15"/>
  <c r="AJ28" i="15"/>
  <c r="AK28" i="15"/>
  <c r="AL28" i="15"/>
  <c r="AJ29" i="15"/>
  <c r="AK29" i="15"/>
  <c r="AL29" i="15"/>
  <c r="AJ30" i="15"/>
  <c r="AK30" i="15"/>
  <c r="AL30" i="15"/>
  <c r="AJ31" i="15"/>
  <c r="AK31" i="15"/>
  <c r="AL31" i="15"/>
  <c r="AJ32" i="15"/>
  <c r="AK32" i="15"/>
  <c r="AL32" i="15"/>
  <c r="AJ33" i="15"/>
  <c r="AK33" i="15"/>
  <c r="AL33" i="15"/>
  <c r="AJ34" i="15"/>
  <c r="AK34" i="15"/>
  <c r="AL34" i="15"/>
  <c r="AJ35" i="15"/>
  <c r="AK35" i="15"/>
  <c r="AL35" i="15"/>
  <c r="AJ36" i="15"/>
  <c r="AK36" i="15"/>
  <c r="AL36" i="15"/>
  <c r="AJ37" i="15"/>
  <c r="AK37" i="15"/>
  <c r="AL37" i="15"/>
  <c r="AJ38" i="15"/>
  <c r="AK38" i="15"/>
  <c r="AL38" i="15"/>
  <c r="AJ39" i="15"/>
  <c r="AK39" i="15"/>
  <c r="AL39" i="15"/>
  <c r="AJ40" i="15"/>
  <c r="AK40" i="15"/>
  <c r="AL40" i="15"/>
  <c r="AJ41" i="15"/>
  <c r="AK41" i="15"/>
  <c r="AL41" i="15"/>
  <c r="AJ42" i="15"/>
  <c r="AK42" i="15"/>
  <c r="AL42" i="15"/>
  <c r="AJ43" i="15"/>
  <c r="AK43" i="15"/>
  <c r="AL43" i="15"/>
  <c r="AJ44" i="15"/>
  <c r="AK44" i="15"/>
  <c r="AL44" i="15"/>
  <c r="AJ45" i="15"/>
  <c r="AK45" i="15"/>
  <c r="AL45" i="15"/>
  <c r="AJ46" i="15"/>
  <c r="AK46" i="15"/>
  <c r="AL46" i="15"/>
  <c r="AJ47" i="15"/>
  <c r="AK47" i="15"/>
  <c r="AL47" i="15"/>
  <c r="AJ48" i="15"/>
  <c r="AK48" i="15"/>
  <c r="AL48" i="15"/>
  <c r="AJ49" i="15"/>
  <c r="AK49" i="15"/>
  <c r="AL49" i="15"/>
  <c r="AJ50" i="15"/>
  <c r="AK50" i="15"/>
  <c r="AL50" i="15"/>
  <c r="AJ51" i="15"/>
  <c r="AK51" i="15"/>
  <c r="AL51" i="15"/>
  <c r="AJ52" i="15"/>
  <c r="AK52" i="15"/>
  <c r="AL52" i="15"/>
  <c r="AJ53" i="15"/>
  <c r="AK53" i="15"/>
  <c r="AL53" i="15"/>
  <c r="AJ54" i="15"/>
  <c r="AK54" i="15"/>
  <c r="AL54" i="15"/>
  <c r="AJ55" i="15"/>
  <c r="AK55" i="15"/>
  <c r="AL55" i="15"/>
  <c r="AJ56" i="15"/>
  <c r="AK56" i="15"/>
  <c r="AL56" i="15"/>
  <c r="AJ57" i="15"/>
  <c r="AK57" i="15"/>
  <c r="AL57" i="15"/>
  <c r="AJ58" i="15"/>
  <c r="AK58" i="15"/>
  <c r="AL58" i="15"/>
  <c r="AJ59" i="15"/>
  <c r="AK59" i="15"/>
  <c r="AL59" i="15"/>
  <c r="AJ60" i="15"/>
  <c r="AK60" i="15"/>
  <c r="AL60" i="15"/>
  <c r="AJ61" i="15"/>
  <c r="AK61" i="15"/>
  <c r="AL61" i="15"/>
  <c r="AJ62" i="15"/>
  <c r="AK62" i="15"/>
  <c r="AL62" i="15"/>
  <c r="AJ63" i="15"/>
  <c r="AK63" i="15"/>
  <c r="AL63" i="15"/>
  <c r="AJ64" i="15"/>
  <c r="AK64" i="15"/>
  <c r="AL64" i="15"/>
  <c r="AJ65" i="15"/>
  <c r="AK65" i="15"/>
  <c r="AL65" i="15"/>
  <c r="AJ66" i="15"/>
  <c r="AK66" i="15"/>
  <c r="AL66" i="15"/>
  <c r="AJ67" i="15"/>
  <c r="AK67" i="15"/>
  <c r="AL67" i="15"/>
  <c r="AJ68" i="15"/>
  <c r="AK68" i="15"/>
  <c r="AL68" i="15"/>
  <c r="AJ69" i="15"/>
  <c r="AK69" i="15"/>
  <c r="AL69" i="15"/>
  <c r="AJ70" i="15"/>
  <c r="AK70" i="15"/>
  <c r="AL70" i="15"/>
  <c r="AJ71" i="15"/>
  <c r="AK71" i="15"/>
  <c r="AL71" i="15"/>
  <c r="AJ72" i="15"/>
  <c r="AK72" i="15"/>
  <c r="AL72" i="15"/>
  <c r="AJ73" i="15"/>
  <c r="AK73" i="15"/>
  <c r="AL73" i="15"/>
  <c r="AJ74" i="15"/>
  <c r="AK74" i="15"/>
  <c r="AL74" i="15"/>
  <c r="AJ75" i="15"/>
  <c r="AK75" i="15"/>
  <c r="AL75" i="15"/>
  <c r="AJ76" i="15"/>
  <c r="AK76" i="15"/>
  <c r="AL76" i="15"/>
  <c r="AJ77" i="15"/>
  <c r="AK77" i="15"/>
  <c r="AL77" i="15"/>
  <c r="AJ78" i="15"/>
  <c r="AK78" i="15"/>
  <c r="AL78" i="15"/>
  <c r="AJ79" i="15"/>
  <c r="AK79" i="15"/>
  <c r="AL79" i="15"/>
  <c r="AJ80" i="15"/>
  <c r="AK80" i="15"/>
  <c r="AL80" i="15"/>
  <c r="AJ81" i="15"/>
  <c r="AK81" i="15"/>
  <c r="AL81" i="15"/>
  <c r="AJ82" i="15"/>
  <c r="AK82" i="15"/>
  <c r="AL82" i="15"/>
  <c r="AJ83" i="15"/>
  <c r="AK83" i="15"/>
  <c r="AL83" i="15"/>
  <c r="AJ84" i="15"/>
  <c r="AK84" i="15"/>
  <c r="AL84" i="15"/>
  <c r="AJ85" i="15"/>
  <c r="AK85" i="15"/>
  <c r="AL85" i="15"/>
  <c r="AJ86" i="15"/>
  <c r="AK86" i="15"/>
  <c r="AL86" i="15"/>
  <c r="AJ87" i="15"/>
  <c r="AK87" i="15"/>
  <c r="AL87" i="15"/>
  <c r="AJ88" i="15"/>
  <c r="AK88" i="15"/>
  <c r="AL88" i="15"/>
  <c r="AJ89" i="15"/>
  <c r="AK89" i="15"/>
  <c r="AL89" i="15"/>
  <c r="AJ90" i="15"/>
  <c r="AK90" i="15"/>
  <c r="AL90" i="15"/>
  <c r="AJ91" i="15"/>
  <c r="AK91" i="15"/>
  <c r="AL91" i="15"/>
  <c r="AJ92" i="15"/>
  <c r="AK92" i="15"/>
  <c r="AL92" i="15"/>
  <c r="AJ93" i="15"/>
  <c r="AK93" i="15"/>
  <c r="AL93" i="15"/>
  <c r="AJ94" i="15"/>
  <c r="AK94" i="15"/>
  <c r="AL94" i="15"/>
  <c r="AJ95" i="15"/>
  <c r="AK95" i="15"/>
  <c r="AL95" i="15"/>
  <c r="AJ96" i="15"/>
  <c r="AK96" i="15"/>
  <c r="AL96" i="15"/>
  <c r="AJ97" i="15"/>
  <c r="AK97" i="15"/>
  <c r="AL97" i="15"/>
  <c r="AJ98" i="15"/>
  <c r="AK98" i="15"/>
  <c r="AL98" i="15"/>
  <c r="AJ99" i="15"/>
  <c r="AK99" i="15"/>
  <c r="AL99" i="15"/>
  <c r="AJ100" i="15"/>
  <c r="AK100" i="15"/>
  <c r="AL100" i="15"/>
  <c r="AJ101" i="15"/>
  <c r="AK101" i="15"/>
  <c r="AL101" i="15"/>
  <c r="AJ102" i="15"/>
  <c r="AK102" i="15"/>
  <c r="AL102" i="15"/>
  <c r="AJ103" i="15"/>
  <c r="AK103" i="15"/>
  <c r="AL103" i="15"/>
  <c r="AJ104" i="15"/>
  <c r="AK104" i="15"/>
  <c r="AL104" i="15"/>
  <c r="AJ105" i="15"/>
  <c r="AK105" i="15"/>
  <c r="AL105" i="15"/>
  <c r="AJ106" i="15"/>
  <c r="AK106" i="15"/>
  <c r="AL106" i="15"/>
  <c r="AJ107" i="15"/>
  <c r="AK107" i="15"/>
  <c r="AL107" i="15"/>
  <c r="AJ108" i="15"/>
  <c r="AK108" i="15"/>
  <c r="AL108" i="15"/>
  <c r="AJ109" i="15"/>
  <c r="AK109" i="15"/>
  <c r="AL109" i="15"/>
  <c r="AJ110" i="15"/>
  <c r="AK110" i="15"/>
  <c r="AL110" i="15"/>
  <c r="AJ111" i="15"/>
  <c r="AK111" i="15"/>
  <c r="AL111" i="15"/>
  <c r="AJ112" i="15"/>
  <c r="AK112" i="15"/>
  <c r="AL112" i="15"/>
  <c r="AJ113" i="15"/>
  <c r="AK113" i="15"/>
  <c r="AL113" i="15"/>
  <c r="AJ114" i="15"/>
  <c r="AK114" i="15"/>
  <c r="AL114" i="15"/>
  <c r="AJ115" i="15"/>
  <c r="AK115" i="15"/>
  <c r="AL115" i="15"/>
  <c r="AJ116" i="15"/>
  <c r="AK116" i="15"/>
  <c r="AL116" i="15"/>
  <c r="AJ117" i="15"/>
  <c r="AK117" i="15"/>
  <c r="AL117" i="15"/>
  <c r="AJ118" i="15"/>
  <c r="AK118" i="15"/>
  <c r="AL118" i="15"/>
  <c r="AJ119" i="15"/>
  <c r="AK119" i="15"/>
  <c r="AL119" i="15"/>
  <c r="AJ120" i="15"/>
  <c r="AK120" i="15"/>
  <c r="AL120" i="15"/>
  <c r="AJ121" i="15"/>
  <c r="AK121" i="15"/>
  <c r="AL121" i="15"/>
  <c r="AJ122" i="15"/>
  <c r="AK122" i="15"/>
  <c r="AL122" i="15"/>
  <c r="AJ123" i="15"/>
  <c r="AK123" i="15"/>
  <c r="AL123" i="15"/>
  <c r="AJ124" i="15"/>
  <c r="AK124" i="15"/>
  <c r="AL124" i="15"/>
  <c r="AJ125" i="15"/>
  <c r="AK125" i="15"/>
  <c r="AL125" i="15"/>
  <c r="AJ126" i="15"/>
  <c r="AK126" i="15"/>
  <c r="AL126" i="15"/>
  <c r="AJ127" i="15"/>
  <c r="AK127" i="15"/>
  <c r="AL127" i="15"/>
  <c r="AJ128" i="15"/>
  <c r="AK128" i="15"/>
  <c r="AL128" i="15"/>
  <c r="AJ129" i="15"/>
  <c r="AK129" i="15"/>
  <c r="AL129" i="15"/>
  <c r="AJ130" i="15"/>
  <c r="AK130" i="15"/>
  <c r="AL130" i="15"/>
  <c r="AJ131" i="15"/>
  <c r="AK131" i="15"/>
  <c r="AL131" i="15"/>
  <c r="AJ132" i="15"/>
  <c r="AK132" i="15"/>
  <c r="AL132" i="15"/>
  <c r="AJ133" i="15"/>
  <c r="AK133" i="15"/>
  <c r="AL133" i="15"/>
  <c r="AJ134" i="15"/>
  <c r="AK134" i="15"/>
  <c r="AL134" i="15"/>
  <c r="AJ135" i="15"/>
  <c r="AK135" i="15"/>
  <c r="AL135" i="15"/>
  <c r="AJ136" i="15"/>
  <c r="AK136" i="15"/>
  <c r="AL136" i="15"/>
  <c r="AJ137" i="15"/>
  <c r="AK137" i="15"/>
  <c r="AL137" i="15"/>
  <c r="AJ138" i="15"/>
  <c r="AK138" i="15"/>
  <c r="AL138" i="15"/>
  <c r="AJ139" i="15"/>
  <c r="AK139" i="15"/>
  <c r="AL139" i="15"/>
  <c r="AJ140" i="15"/>
  <c r="AK140" i="15"/>
  <c r="AL140" i="15"/>
  <c r="AJ141" i="15"/>
  <c r="AK141" i="15"/>
  <c r="AL141" i="15"/>
  <c r="AJ142" i="15"/>
  <c r="AK142" i="15"/>
  <c r="AL142" i="15"/>
  <c r="AJ143" i="15"/>
  <c r="AK143" i="15"/>
  <c r="AL143" i="15"/>
  <c r="AJ144" i="15"/>
  <c r="AK144" i="15"/>
  <c r="AL144" i="15"/>
  <c r="AJ145" i="15"/>
  <c r="AK145" i="15"/>
  <c r="AL145" i="15"/>
  <c r="AJ146" i="15"/>
  <c r="AK146" i="15"/>
  <c r="AL146" i="15"/>
  <c r="AJ147" i="15"/>
  <c r="AK147" i="15"/>
  <c r="AL147" i="15"/>
  <c r="AJ148" i="15"/>
  <c r="AK148" i="15"/>
  <c r="AL148" i="15"/>
  <c r="AJ149" i="15"/>
  <c r="AK149" i="15"/>
  <c r="AL149" i="15"/>
  <c r="AJ150" i="15"/>
  <c r="AK150" i="15"/>
  <c r="AL150" i="15"/>
  <c r="AJ151" i="15"/>
  <c r="AK151" i="15"/>
  <c r="AL151" i="15"/>
  <c r="AJ152" i="15"/>
  <c r="AK152" i="15"/>
  <c r="AL152" i="15"/>
  <c r="AJ153" i="15"/>
  <c r="AK153" i="15"/>
  <c r="AL153" i="15"/>
  <c r="AJ154" i="15"/>
  <c r="AK154" i="15"/>
  <c r="AL154" i="15"/>
  <c r="AJ155" i="15"/>
  <c r="AK155" i="15"/>
  <c r="AL155" i="15"/>
  <c r="AJ156" i="15"/>
  <c r="AK156" i="15"/>
  <c r="AL156" i="15"/>
  <c r="AJ157" i="15"/>
  <c r="AK157" i="15"/>
  <c r="AL157" i="15"/>
  <c r="AJ158" i="15"/>
  <c r="AK158" i="15"/>
  <c r="AL158" i="15"/>
  <c r="AJ159" i="15"/>
  <c r="AK159" i="15"/>
  <c r="AL159" i="15"/>
  <c r="AJ160" i="15"/>
  <c r="AK160" i="15"/>
  <c r="AL160" i="15"/>
  <c r="AJ161" i="15"/>
  <c r="AK161" i="15"/>
  <c r="AL161" i="15"/>
  <c r="AJ162" i="15"/>
  <c r="AK162" i="15"/>
  <c r="AL162" i="15"/>
  <c r="AJ163" i="15"/>
  <c r="AK163" i="15"/>
  <c r="AL163" i="15"/>
  <c r="AJ164" i="15"/>
  <c r="AK164" i="15"/>
  <c r="AL164" i="15"/>
  <c r="AJ165" i="15"/>
  <c r="AK165" i="15"/>
  <c r="AL165" i="15"/>
  <c r="AJ166" i="15"/>
  <c r="AK166" i="15"/>
  <c r="AL166" i="15"/>
  <c r="AJ167" i="15"/>
  <c r="AK167" i="15"/>
  <c r="AL167" i="15"/>
  <c r="AJ168" i="15"/>
  <c r="AK168" i="15"/>
  <c r="AL168" i="15"/>
  <c r="AJ169" i="15"/>
  <c r="AK169" i="15"/>
  <c r="AL169" i="15"/>
  <c r="AJ170" i="15"/>
  <c r="AK170" i="15"/>
  <c r="AL170" i="15"/>
  <c r="AJ171" i="15"/>
  <c r="AK171" i="15"/>
  <c r="AL171" i="15"/>
  <c r="AJ172" i="15"/>
  <c r="AK172" i="15"/>
  <c r="AL172" i="15"/>
  <c r="AJ173" i="15"/>
  <c r="AK173" i="15"/>
  <c r="AL173" i="15"/>
  <c r="AJ174" i="15"/>
  <c r="AK174" i="15"/>
  <c r="AL174" i="15"/>
  <c r="AJ175" i="15"/>
  <c r="AK175" i="15"/>
  <c r="AL175" i="15"/>
  <c r="AJ176" i="15"/>
  <c r="AK176" i="15"/>
  <c r="AL176" i="15"/>
  <c r="AJ177" i="15"/>
  <c r="AK177" i="15"/>
  <c r="AL177" i="15"/>
  <c r="AJ178" i="15"/>
  <c r="AK178" i="15"/>
  <c r="AL178" i="15"/>
  <c r="AJ179" i="15"/>
  <c r="AK179" i="15"/>
  <c r="AL179" i="15"/>
  <c r="AJ180" i="15"/>
  <c r="AK180" i="15"/>
  <c r="AL180" i="15"/>
  <c r="AJ181" i="15"/>
  <c r="AK181" i="15"/>
  <c r="AL181" i="15"/>
  <c r="AJ182" i="15"/>
  <c r="AK182" i="15"/>
  <c r="AL182" i="15"/>
  <c r="AJ183" i="15"/>
  <c r="AK183" i="15"/>
  <c r="AL183" i="15"/>
  <c r="AJ184" i="15"/>
  <c r="AK184" i="15"/>
  <c r="AL184" i="15"/>
  <c r="AJ185" i="15"/>
  <c r="AK185" i="15"/>
  <c r="AL185" i="15"/>
  <c r="AJ186" i="15"/>
  <c r="AK186" i="15"/>
  <c r="AL186" i="15"/>
  <c r="AJ187" i="15"/>
  <c r="AK187" i="15"/>
  <c r="AL187" i="15"/>
  <c r="AJ188" i="15"/>
  <c r="AK188" i="15"/>
  <c r="AL188" i="15"/>
  <c r="AJ189" i="15"/>
  <c r="AK189" i="15"/>
  <c r="AL189" i="15"/>
  <c r="AJ190" i="15"/>
  <c r="AK190" i="15"/>
  <c r="AL190" i="15"/>
  <c r="AJ191" i="15"/>
  <c r="AK191" i="15"/>
  <c r="AL191" i="15"/>
  <c r="AJ192" i="15"/>
  <c r="AK192" i="15"/>
  <c r="AL192" i="15"/>
  <c r="AJ193" i="15"/>
  <c r="AK193" i="15"/>
  <c r="AL193" i="15"/>
  <c r="AJ194" i="15"/>
  <c r="AK194" i="15"/>
  <c r="AL194" i="15"/>
  <c r="AJ195" i="15"/>
  <c r="AK195" i="15"/>
  <c r="AL195" i="15"/>
  <c r="AJ196" i="15"/>
  <c r="AK196" i="15"/>
  <c r="AL196" i="15"/>
  <c r="AJ197" i="15"/>
  <c r="AK197" i="15"/>
  <c r="AL197" i="15"/>
  <c r="AJ198" i="15"/>
  <c r="AK198" i="15"/>
  <c r="AL198" i="15"/>
  <c r="AJ199" i="15"/>
  <c r="AK199" i="15"/>
  <c r="AL199" i="15"/>
  <c r="AJ200" i="15"/>
  <c r="AK200" i="15"/>
  <c r="AL200" i="15"/>
  <c r="AJ201" i="15"/>
  <c r="AK201" i="15"/>
  <c r="AL201" i="15"/>
  <c r="AJ202" i="15"/>
  <c r="AK202" i="15"/>
  <c r="AL202" i="15"/>
  <c r="AJ203" i="15"/>
  <c r="AK203" i="15"/>
  <c r="AL203" i="15"/>
  <c r="AJ204" i="15"/>
  <c r="AK204" i="15"/>
  <c r="AL204" i="15"/>
  <c r="AJ205" i="15"/>
  <c r="AK205" i="15"/>
  <c r="AL205" i="15"/>
  <c r="AJ206" i="15"/>
  <c r="AK206" i="15"/>
  <c r="AL206" i="15"/>
  <c r="AJ207" i="15"/>
  <c r="AK207" i="15"/>
  <c r="AL207" i="15"/>
  <c r="AJ208" i="15"/>
  <c r="AK208" i="15"/>
  <c r="AL208" i="15"/>
  <c r="AJ209" i="15"/>
  <c r="AK209" i="15"/>
  <c r="AL209" i="15"/>
  <c r="AJ210" i="15"/>
  <c r="AK210" i="15"/>
  <c r="AL210" i="15"/>
  <c r="AJ211" i="15"/>
  <c r="AK211" i="15"/>
  <c r="AL211" i="15"/>
  <c r="AJ212" i="15"/>
  <c r="AK212" i="15"/>
  <c r="AL212" i="15"/>
  <c r="AJ213" i="15"/>
  <c r="AK213" i="15"/>
  <c r="AL213" i="15"/>
  <c r="AJ214" i="15"/>
  <c r="AK214" i="15"/>
  <c r="AL214" i="15"/>
  <c r="AJ215" i="15"/>
  <c r="AK215" i="15"/>
  <c r="AL215" i="15"/>
  <c r="AJ216" i="15"/>
  <c r="AK216" i="15"/>
  <c r="AL216" i="15"/>
  <c r="AJ217" i="15"/>
  <c r="AK217" i="15"/>
  <c r="AL217" i="15"/>
  <c r="AJ218" i="15"/>
  <c r="AK218" i="15"/>
  <c r="AL218" i="15"/>
  <c r="AJ219" i="15"/>
  <c r="AK219" i="15"/>
  <c r="AL219" i="15"/>
  <c r="AJ220" i="15"/>
  <c r="AK220" i="15"/>
  <c r="AL220" i="15"/>
  <c r="AJ221" i="15"/>
  <c r="AK221" i="15"/>
  <c r="AL221" i="15"/>
  <c r="AJ222" i="15"/>
  <c r="AK222" i="15"/>
  <c r="AL222" i="15"/>
  <c r="AJ223" i="15"/>
  <c r="AK223" i="15"/>
  <c r="AL223" i="15"/>
  <c r="AJ224" i="15"/>
  <c r="AK224" i="15"/>
  <c r="AL224" i="15"/>
  <c r="AJ225" i="15"/>
  <c r="AK225" i="15"/>
  <c r="AL225" i="15"/>
  <c r="AJ226" i="15"/>
  <c r="AK226" i="15"/>
  <c r="AL226" i="15"/>
  <c r="AJ227" i="15"/>
  <c r="AK227" i="15"/>
  <c r="AL227" i="15"/>
  <c r="AJ228" i="15"/>
  <c r="AK228" i="15"/>
  <c r="AL228" i="15"/>
  <c r="AJ229" i="15"/>
  <c r="AK229" i="15"/>
  <c r="AL229" i="15"/>
  <c r="AJ230" i="15"/>
  <c r="AK230" i="15"/>
  <c r="AL230" i="15"/>
  <c r="AJ231" i="15"/>
  <c r="AK231" i="15"/>
  <c r="AL231" i="15"/>
  <c r="AJ232" i="15"/>
  <c r="AK232" i="15"/>
  <c r="AL232" i="15"/>
  <c r="AJ233" i="15"/>
  <c r="AK233" i="15"/>
  <c r="AL233" i="15"/>
  <c r="AJ234" i="15"/>
  <c r="AK234" i="15"/>
  <c r="AL234" i="15"/>
  <c r="AJ235" i="15"/>
  <c r="AK235" i="15"/>
  <c r="AL235" i="15"/>
  <c r="AJ236" i="15"/>
  <c r="AK236" i="15"/>
  <c r="AL236" i="15"/>
  <c r="AJ237" i="15"/>
  <c r="AK237" i="15"/>
  <c r="AL237" i="15"/>
  <c r="AJ238" i="15"/>
  <c r="AK238" i="15"/>
  <c r="AL238" i="15"/>
  <c r="AJ239" i="15"/>
  <c r="AK239" i="15"/>
  <c r="AL239" i="15"/>
  <c r="AJ240" i="15"/>
  <c r="AK240" i="15"/>
  <c r="AL240" i="15"/>
  <c r="AJ241" i="15"/>
  <c r="AK241" i="15"/>
  <c r="AL241" i="15"/>
  <c r="AJ242" i="15"/>
  <c r="AK242" i="15"/>
  <c r="AL242" i="15"/>
  <c r="AJ243" i="15"/>
  <c r="AK243" i="15"/>
  <c r="AL243" i="15"/>
  <c r="AJ244" i="15"/>
  <c r="AK244" i="15"/>
  <c r="AL244" i="15"/>
  <c r="AJ245" i="15"/>
  <c r="AK245" i="15"/>
  <c r="AL245" i="15"/>
  <c r="AJ246" i="15"/>
  <c r="AK246" i="15"/>
  <c r="AL246" i="15"/>
  <c r="AJ247" i="15"/>
  <c r="AK247" i="15"/>
  <c r="AL247" i="15"/>
  <c r="AJ248" i="15"/>
  <c r="AK248" i="15"/>
  <c r="AL248" i="15"/>
  <c r="AJ249" i="15"/>
  <c r="AK249" i="15"/>
  <c r="AL249" i="15"/>
  <c r="AJ250" i="15"/>
  <c r="AK250" i="15"/>
  <c r="AL250" i="15"/>
  <c r="AJ251" i="15"/>
  <c r="AK251" i="15"/>
  <c r="AL251" i="15"/>
  <c r="AJ252" i="15"/>
  <c r="AK252" i="15"/>
  <c r="AL252" i="15"/>
  <c r="AJ253" i="15"/>
  <c r="AK253" i="15"/>
  <c r="AL253" i="15"/>
  <c r="AJ254" i="15"/>
  <c r="AK254" i="15"/>
  <c r="AL254" i="15"/>
  <c r="AJ255" i="15"/>
  <c r="AK255" i="15"/>
  <c r="AL255" i="15"/>
  <c r="AJ256" i="15"/>
  <c r="AK256" i="15"/>
  <c r="AL256" i="15"/>
  <c r="AJ257" i="15"/>
  <c r="AK257" i="15"/>
  <c r="AL257" i="15"/>
  <c r="AJ258" i="15"/>
  <c r="AK258" i="15"/>
  <c r="AL258" i="15"/>
  <c r="AJ259" i="15"/>
  <c r="AK259" i="15"/>
  <c r="AL259" i="15"/>
  <c r="AJ260" i="15"/>
  <c r="AK260" i="15"/>
  <c r="AL260" i="15"/>
  <c r="AJ261" i="15"/>
  <c r="AK261" i="15"/>
  <c r="AL261" i="15"/>
  <c r="AJ262" i="15"/>
  <c r="AK262" i="15"/>
  <c r="AL262" i="15"/>
  <c r="AJ263" i="15"/>
  <c r="AK263" i="15"/>
  <c r="AL263" i="15"/>
  <c r="AJ264" i="15"/>
  <c r="AK264" i="15"/>
  <c r="AL264" i="15"/>
  <c r="AJ265" i="15"/>
  <c r="AK265" i="15"/>
  <c r="AL265" i="15"/>
  <c r="AJ266" i="15"/>
  <c r="AK266" i="15"/>
  <c r="AL266" i="15"/>
  <c r="AJ267" i="15"/>
  <c r="AK267" i="15"/>
  <c r="AL267" i="15"/>
  <c r="AJ268" i="15"/>
  <c r="AK268" i="15"/>
  <c r="AL268" i="15"/>
  <c r="AJ269" i="15"/>
  <c r="AK269" i="15"/>
  <c r="AL269" i="15"/>
  <c r="AJ270" i="15"/>
  <c r="AK270" i="15"/>
  <c r="AL270" i="15"/>
  <c r="AJ271" i="15"/>
  <c r="AK271" i="15"/>
  <c r="AL271" i="15"/>
  <c r="AJ272" i="15"/>
  <c r="AK272" i="15"/>
  <c r="AL272" i="15"/>
  <c r="AJ273" i="15"/>
  <c r="AK273" i="15"/>
  <c r="AL273" i="15"/>
  <c r="AJ274" i="15"/>
  <c r="AK274" i="15"/>
  <c r="AL274" i="15"/>
  <c r="AJ275" i="15"/>
  <c r="AK275" i="15"/>
  <c r="AL275" i="15"/>
  <c r="AJ276" i="15"/>
  <c r="AK276" i="15"/>
  <c r="AL276" i="15"/>
  <c r="AJ277" i="15"/>
  <c r="AK277" i="15"/>
  <c r="AL277" i="15"/>
  <c r="AJ278" i="15"/>
  <c r="AK278" i="15"/>
  <c r="AL278" i="15"/>
  <c r="AJ279" i="15"/>
  <c r="AK279" i="15"/>
  <c r="AL279" i="15"/>
  <c r="AJ280" i="15"/>
  <c r="AK280" i="15"/>
  <c r="AL280" i="15"/>
  <c r="AJ281" i="15"/>
  <c r="AK281" i="15"/>
  <c r="AL281" i="15"/>
  <c r="AJ282" i="15"/>
  <c r="AK282" i="15"/>
  <c r="AL282" i="15"/>
  <c r="AJ283" i="15"/>
  <c r="AK283" i="15"/>
  <c r="AL283" i="15"/>
  <c r="AJ284" i="15"/>
  <c r="AK284" i="15"/>
  <c r="AL284" i="15"/>
  <c r="AJ285" i="15"/>
  <c r="AK285" i="15"/>
  <c r="AL285" i="15"/>
  <c r="AJ286" i="15"/>
  <c r="AK286" i="15"/>
  <c r="AL286" i="15"/>
  <c r="AJ287" i="15"/>
  <c r="AK287" i="15"/>
  <c r="AL287" i="15"/>
  <c r="AJ288" i="15"/>
  <c r="AK288" i="15"/>
  <c r="AL288" i="15"/>
  <c r="AJ289" i="15"/>
  <c r="AK289" i="15"/>
  <c r="AL289" i="15"/>
  <c r="AJ290" i="15"/>
  <c r="AK290" i="15"/>
  <c r="AL290" i="15"/>
  <c r="AJ291" i="15"/>
  <c r="AK291" i="15"/>
  <c r="AL291" i="15"/>
  <c r="AJ292" i="15"/>
  <c r="AK292" i="15"/>
  <c r="AL292" i="15"/>
  <c r="AJ293" i="15"/>
  <c r="AK293" i="15"/>
  <c r="AL293" i="15"/>
  <c r="AJ294" i="15"/>
  <c r="AK294" i="15"/>
  <c r="AL294" i="15"/>
  <c r="AJ295" i="15"/>
  <c r="AK295" i="15"/>
  <c r="AL295" i="15"/>
  <c r="AJ296" i="15"/>
  <c r="AK296" i="15"/>
  <c r="AL296" i="15"/>
  <c r="AJ297" i="15"/>
  <c r="AK297" i="15"/>
  <c r="AL297" i="15"/>
  <c r="AJ298" i="15"/>
  <c r="AK298" i="15"/>
  <c r="AL298" i="15"/>
  <c r="AJ299" i="15"/>
  <c r="AK299" i="15"/>
  <c r="AL299" i="15"/>
  <c r="AJ300" i="15"/>
  <c r="AK300" i="15"/>
  <c r="AL300" i="15"/>
  <c r="AJ301" i="15"/>
  <c r="AK301" i="15"/>
  <c r="AL301" i="15"/>
  <c r="AJ302" i="15"/>
  <c r="AK302" i="15"/>
  <c r="AL302" i="15"/>
  <c r="AJ303" i="15"/>
  <c r="AK303" i="15"/>
  <c r="AL303" i="15"/>
  <c r="AJ304" i="15"/>
  <c r="AK304" i="15"/>
  <c r="AL304" i="15"/>
  <c r="AJ305" i="15"/>
  <c r="AK305" i="15"/>
  <c r="AL305" i="15"/>
  <c r="AJ306" i="15"/>
  <c r="AK306" i="15"/>
  <c r="AL306" i="15"/>
  <c r="AJ307" i="15"/>
  <c r="AK307" i="15"/>
  <c r="AL307" i="15"/>
  <c r="AJ308" i="15"/>
  <c r="AK308" i="15"/>
  <c r="AL308" i="15"/>
  <c r="AJ309" i="15"/>
  <c r="AK309" i="15"/>
  <c r="AL309" i="15"/>
  <c r="AJ310" i="15"/>
  <c r="AK310" i="15"/>
  <c r="AL310" i="15"/>
  <c r="AJ311" i="15"/>
  <c r="AK311" i="15"/>
  <c r="AL311" i="15"/>
  <c r="AJ312" i="15"/>
  <c r="AK312" i="15"/>
  <c r="AL312" i="15"/>
  <c r="AJ313" i="15"/>
  <c r="AK313" i="15"/>
  <c r="AL313" i="15"/>
  <c r="AJ314" i="15"/>
  <c r="AK314" i="15"/>
  <c r="AL314" i="15"/>
  <c r="AJ315" i="15"/>
  <c r="AK315" i="15"/>
  <c r="AL315" i="15"/>
  <c r="AJ316" i="15"/>
  <c r="AK316" i="15"/>
  <c r="AL316" i="15"/>
  <c r="AJ317" i="15"/>
  <c r="AK317" i="15"/>
  <c r="AL317" i="15"/>
  <c r="AJ318" i="15"/>
  <c r="AK318" i="15"/>
  <c r="AL318" i="15"/>
  <c r="AJ319" i="15"/>
  <c r="AK319" i="15"/>
  <c r="AL319" i="15"/>
  <c r="AJ320" i="15"/>
  <c r="AK320" i="15"/>
  <c r="AL320" i="15"/>
  <c r="AJ321" i="15"/>
  <c r="AK321" i="15"/>
  <c r="AL321" i="15"/>
  <c r="AJ322" i="15"/>
  <c r="AK322" i="15"/>
  <c r="AL322" i="15"/>
  <c r="AJ323" i="15"/>
  <c r="AK323" i="15"/>
  <c r="AL323" i="15"/>
  <c r="AJ324" i="15"/>
  <c r="AK324" i="15"/>
  <c r="AL324" i="15"/>
  <c r="AJ325" i="15"/>
  <c r="AK325" i="15"/>
  <c r="AL325" i="15"/>
  <c r="AJ326" i="15"/>
  <c r="AK326" i="15"/>
  <c r="AL326" i="15"/>
  <c r="AJ327" i="15"/>
  <c r="AK327" i="15"/>
  <c r="AL327" i="15"/>
  <c r="AJ328" i="15"/>
  <c r="AK328" i="15"/>
  <c r="AL328" i="15"/>
  <c r="AJ329" i="15"/>
  <c r="AK329" i="15"/>
  <c r="AL329" i="15"/>
  <c r="AJ330" i="15"/>
  <c r="AK330" i="15"/>
  <c r="AL330" i="15"/>
  <c r="AJ331" i="15"/>
  <c r="AK331" i="15"/>
  <c r="AL331" i="15"/>
  <c r="AJ332" i="15"/>
  <c r="AK332" i="15"/>
  <c r="AL332" i="15"/>
  <c r="AJ333" i="15"/>
  <c r="AK333" i="15"/>
  <c r="AL333" i="15"/>
  <c r="AJ334" i="15"/>
  <c r="AK334" i="15"/>
  <c r="AL334" i="15"/>
  <c r="AJ335" i="15"/>
  <c r="AK335" i="15"/>
  <c r="AL335" i="15"/>
  <c r="AJ336" i="15"/>
  <c r="AK336" i="15"/>
  <c r="AL336" i="15"/>
  <c r="AJ337" i="15"/>
  <c r="AK337" i="15"/>
  <c r="AL337" i="15"/>
  <c r="AJ338" i="15"/>
  <c r="AK338" i="15"/>
  <c r="AL338" i="15"/>
  <c r="AJ339" i="15"/>
  <c r="AK339" i="15"/>
  <c r="AL339" i="15"/>
  <c r="AJ340" i="15"/>
  <c r="AK340" i="15"/>
  <c r="AL340" i="15"/>
  <c r="AJ341" i="15"/>
  <c r="AK341" i="15"/>
  <c r="AL341" i="15"/>
  <c r="AJ342" i="15"/>
  <c r="AK342" i="15"/>
  <c r="AL342" i="15"/>
  <c r="AJ343" i="15"/>
  <c r="AK343" i="15"/>
  <c r="AL343" i="15"/>
  <c r="AJ344" i="15"/>
  <c r="AK344" i="15"/>
  <c r="AL344" i="15"/>
  <c r="AJ345" i="15"/>
  <c r="AK345" i="15"/>
  <c r="AL345" i="15"/>
  <c r="AJ346" i="15"/>
  <c r="AK346" i="15"/>
  <c r="AL346" i="15"/>
  <c r="AJ347" i="15"/>
  <c r="AK347" i="15"/>
  <c r="AL347" i="15"/>
  <c r="AJ348" i="15"/>
  <c r="AK348" i="15"/>
  <c r="AL348" i="15"/>
  <c r="AJ349" i="15"/>
  <c r="AK349" i="15"/>
  <c r="AL349" i="15"/>
  <c r="AJ350" i="15"/>
  <c r="AK350" i="15"/>
  <c r="AL350" i="15"/>
  <c r="AJ351" i="15"/>
  <c r="AK351" i="15"/>
  <c r="AL351" i="15"/>
  <c r="AJ352" i="15"/>
  <c r="AK352" i="15"/>
  <c r="AL352" i="15"/>
  <c r="AJ353" i="15"/>
  <c r="AK353" i="15"/>
  <c r="AL353" i="15"/>
  <c r="AJ354" i="15"/>
  <c r="AK354" i="15"/>
  <c r="AL354" i="15"/>
  <c r="AJ355" i="15"/>
  <c r="AK355" i="15"/>
  <c r="AL355" i="15"/>
  <c r="AJ356" i="15"/>
  <c r="AK356" i="15"/>
  <c r="AL356" i="15"/>
  <c r="AJ357" i="15"/>
  <c r="AK357" i="15"/>
  <c r="AL357" i="15"/>
  <c r="AJ358" i="15"/>
  <c r="AK358" i="15"/>
  <c r="AL358" i="15"/>
  <c r="AJ359" i="15"/>
  <c r="AK359" i="15"/>
  <c r="AL359" i="15"/>
  <c r="AJ360" i="15"/>
  <c r="AK360" i="15"/>
  <c r="AL360" i="15"/>
  <c r="AJ361" i="15"/>
  <c r="AK361" i="15"/>
  <c r="AL361" i="15"/>
  <c r="AJ362" i="15"/>
  <c r="AK362" i="15"/>
  <c r="AL362" i="15"/>
  <c r="AJ363" i="15"/>
  <c r="AK363" i="15"/>
  <c r="AL363" i="15"/>
  <c r="AJ364" i="15"/>
  <c r="AK364" i="15"/>
  <c r="AL364" i="15"/>
  <c r="AJ365" i="15"/>
  <c r="AK365" i="15"/>
  <c r="AL365" i="15"/>
  <c r="AJ366" i="15"/>
  <c r="AK366" i="15"/>
  <c r="AL366" i="15"/>
  <c r="AJ367" i="15"/>
  <c r="AK367" i="15"/>
  <c r="AL367" i="15"/>
  <c r="AJ368" i="15"/>
  <c r="AK368" i="15"/>
  <c r="AL368" i="15"/>
  <c r="AJ369" i="15"/>
  <c r="AK369" i="15"/>
  <c r="AL369" i="15"/>
  <c r="AJ370" i="15"/>
  <c r="AK370" i="15"/>
  <c r="AL370" i="15"/>
  <c r="AJ371" i="15"/>
  <c r="AK371" i="15"/>
  <c r="AL371" i="15"/>
  <c r="AJ372" i="15"/>
  <c r="AK372" i="15"/>
  <c r="AL372" i="15"/>
  <c r="AJ373" i="15"/>
  <c r="AK373" i="15"/>
  <c r="AL373" i="15"/>
  <c r="AJ374" i="15"/>
  <c r="AK374" i="15"/>
  <c r="AL374" i="15"/>
  <c r="AJ375" i="15"/>
  <c r="AK375" i="15"/>
  <c r="AL375" i="15"/>
  <c r="AJ376" i="15"/>
  <c r="AK376" i="15"/>
  <c r="AL376" i="15"/>
  <c r="AJ377" i="15"/>
  <c r="AK377" i="15"/>
  <c r="AL377" i="15"/>
  <c r="AJ378" i="15"/>
  <c r="AK378" i="15"/>
  <c r="AL378" i="15"/>
  <c r="AJ379" i="15"/>
  <c r="AK379" i="15"/>
  <c r="AL379" i="15"/>
  <c r="AJ380" i="15"/>
  <c r="AK380" i="15"/>
  <c r="AL380" i="15"/>
  <c r="AJ381" i="15"/>
  <c r="AK381" i="15"/>
  <c r="AL381" i="15"/>
  <c r="AJ382" i="15"/>
  <c r="AK382" i="15"/>
  <c r="AL382" i="15"/>
  <c r="AJ383" i="15"/>
  <c r="AK383" i="15"/>
  <c r="AL383" i="15"/>
  <c r="AJ384" i="15"/>
  <c r="AK384" i="15"/>
  <c r="AL384" i="15"/>
  <c r="AJ385" i="15"/>
  <c r="AK385" i="15"/>
  <c r="AL385" i="15"/>
  <c r="AJ386" i="15"/>
  <c r="AK386" i="15"/>
  <c r="AL386" i="15"/>
  <c r="AJ387" i="15"/>
  <c r="AK387" i="15"/>
  <c r="AL387" i="15"/>
  <c r="AJ388" i="15"/>
  <c r="AK388" i="15"/>
  <c r="AL388" i="15"/>
  <c r="AJ389" i="15"/>
  <c r="AK389" i="15"/>
  <c r="AL389" i="15"/>
  <c r="AJ390" i="15"/>
  <c r="AK390" i="15"/>
  <c r="AL390" i="15"/>
  <c r="AJ391" i="15"/>
  <c r="AK391" i="15"/>
  <c r="AL391" i="15"/>
  <c r="AJ392" i="15"/>
  <c r="AK392" i="15"/>
  <c r="AL392" i="15"/>
  <c r="AJ393" i="15"/>
  <c r="AK393" i="15"/>
  <c r="AL393" i="15"/>
  <c r="AJ394" i="15"/>
  <c r="AK394" i="15"/>
  <c r="AL394" i="15"/>
  <c r="AJ395" i="15"/>
  <c r="AK395" i="15"/>
  <c r="AL395" i="15"/>
  <c r="AJ396" i="15"/>
  <c r="AK396" i="15"/>
  <c r="AL396" i="15"/>
  <c r="AJ397" i="15"/>
  <c r="AK397" i="15"/>
  <c r="AL397" i="15"/>
  <c r="AJ398" i="15"/>
  <c r="AK398" i="15"/>
  <c r="AL398" i="15"/>
  <c r="AJ399" i="15"/>
  <c r="AK399" i="15"/>
  <c r="AL399" i="15"/>
  <c r="AJ400" i="15"/>
  <c r="AK400" i="15"/>
  <c r="AL400" i="15"/>
  <c r="AJ401" i="15"/>
  <c r="AK401" i="15"/>
  <c r="AL401" i="15"/>
  <c r="AJ402" i="15"/>
  <c r="AK402" i="15"/>
  <c r="AL402" i="15"/>
  <c r="AJ403" i="15"/>
  <c r="AK403" i="15"/>
  <c r="AL403" i="15"/>
  <c r="AJ404" i="15"/>
  <c r="AK404" i="15"/>
  <c r="AL404" i="15"/>
  <c r="AJ405" i="15"/>
  <c r="AK405" i="15"/>
  <c r="AL405" i="15"/>
  <c r="AJ406" i="15"/>
  <c r="AK406" i="15"/>
  <c r="AL406" i="15"/>
  <c r="AJ407" i="15"/>
  <c r="AK407" i="15"/>
  <c r="AL407" i="15"/>
  <c r="AJ408" i="15"/>
  <c r="AK408" i="15"/>
  <c r="AL408" i="15"/>
  <c r="AJ409" i="15"/>
  <c r="AK409" i="15"/>
  <c r="AL409" i="15"/>
  <c r="AJ410" i="15"/>
  <c r="AK410" i="15"/>
  <c r="AL410" i="15"/>
  <c r="AJ411" i="15"/>
  <c r="AK411" i="15"/>
  <c r="AL411" i="15"/>
  <c r="AJ412" i="15"/>
  <c r="AK412" i="15"/>
  <c r="AL412" i="15"/>
  <c r="AJ413" i="15"/>
  <c r="AK413" i="15"/>
  <c r="AL413" i="15"/>
  <c r="AJ414" i="15"/>
  <c r="AK414" i="15"/>
  <c r="AL414" i="15"/>
  <c r="AJ415" i="15"/>
  <c r="AK415" i="15"/>
  <c r="AL415" i="15"/>
  <c r="AJ416" i="15"/>
  <c r="AK416" i="15"/>
  <c r="AL416" i="15"/>
  <c r="AJ417" i="15"/>
  <c r="AK417" i="15"/>
  <c r="AL417" i="15"/>
  <c r="AJ418" i="15"/>
  <c r="AK418" i="15"/>
  <c r="AL418" i="15"/>
  <c r="AJ419" i="15"/>
  <c r="AK419" i="15"/>
  <c r="AL419" i="15"/>
  <c r="AJ420" i="15"/>
  <c r="AK420" i="15"/>
  <c r="AL420" i="15"/>
  <c r="AJ421" i="15"/>
  <c r="AK421" i="15"/>
  <c r="AL421" i="15"/>
  <c r="AJ422" i="15"/>
  <c r="AK422" i="15"/>
  <c r="AL422" i="15"/>
  <c r="AJ423" i="15"/>
  <c r="AK423" i="15"/>
  <c r="AL423" i="15"/>
  <c r="AJ424" i="15"/>
  <c r="AK424" i="15"/>
  <c r="AL424" i="15"/>
  <c r="AJ425" i="15"/>
  <c r="AK425" i="15"/>
  <c r="AL425" i="15"/>
  <c r="AJ426" i="15"/>
  <c r="AK426" i="15"/>
  <c r="AL426" i="15"/>
  <c r="AJ427" i="15"/>
  <c r="AK427" i="15"/>
  <c r="AL427" i="15"/>
  <c r="AJ428" i="15"/>
  <c r="AK428" i="15"/>
  <c r="AL428" i="15"/>
  <c r="AJ429" i="15"/>
  <c r="AK429" i="15"/>
  <c r="AL429" i="15"/>
  <c r="AJ430" i="15"/>
  <c r="AK430" i="15"/>
  <c r="AL430" i="15"/>
  <c r="AJ431" i="15"/>
  <c r="AK431" i="15"/>
  <c r="AL431" i="15"/>
  <c r="AJ432" i="15"/>
  <c r="AK432" i="15"/>
  <c r="AL432" i="15"/>
  <c r="AJ433" i="15"/>
  <c r="AK433" i="15"/>
  <c r="AL433" i="15"/>
  <c r="AJ434" i="15"/>
  <c r="AK434" i="15"/>
  <c r="AL434" i="15"/>
  <c r="AJ435" i="15"/>
  <c r="AK435" i="15"/>
  <c r="AL435" i="15"/>
  <c r="AJ436" i="15"/>
  <c r="AK436" i="15"/>
  <c r="AL436" i="15"/>
  <c r="AJ437" i="15"/>
  <c r="AK437" i="15"/>
  <c r="AL437" i="15"/>
  <c r="AJ438" i="15"/>
  <c r="AK438" i="15"/>
  <c r="AL438" i="15"/>
  <c r="AJ439" i="15"/>
  <c r="AK439" i="15"/>
  <c r="AL439" i="15"/>
  <c r="AJ440" i="15"/>
  <c r="AK440" i="15"/>
  <c r="AL440" i="15"/>
  <c r="AJ441" i="15"/>
  <c r="AK441" i="15"/>
  <c r="AL441" i="15"/>
  <c r="AJ442" i="15"/>
  <c r="AK442" i="15"/>
  <c r="AL442" i="15"/>
  <c r="AJ443" i="15"/>
  <c r="AK443" i="15"/>
  <c r="AL443" i="15"/>
  <c r="AJ444" i="15"/>
  <c r="AK444" i="15"/>
  <c r="AL444" i="15"/>
  <c r="AJ445" i="15"/>
  <c r="AK445" i="15"/>
  <c r="AL445" i="15"/>
  <c r="AJ446" i="15"/>
  <c r="AK446" i="15"/>
  <c r="AL446" i="15"/>
  <c r="AJ447" i="15"/>
  <c r="AK447" i="15"/>
  <c r="AL447" i="15"/>
  <c r="AJ448" i="15"/>
  <c r="AK448" i="15"/>
  <c r="AL448" i="15"/>
  <c r="AJ449" i="15"/>
  <c r="AK449" i="15"/>
  <c r="AL449" i="15"/>
  <c r="AJ450" i="15"/>
  <c r="AK450" i="15"/>
  <c r="AL450" i="15"/>
  <c r="AJ451" i="15"/>
  <c r="AK451" i="15"/>
  <c r="AL451" i="15"/>
  <c r="AJ452" i="15"/>
  <c r="AK452" i="15"/>
  <c r="AL452" i="15"/>
  <c r="AJ453" i="15"/>
  <c r="AK453" i="15"/>
  <c r="AL453" i="15"/>
  <c r="AJ454" i="15"/>
  <c r="AK454" i="15"/>
  <c r="AL454" i="15"/>
  <c r="AJ455" i="15"/>
  <c r="AK455" i="15"/>
  <c r="AL455" i="15"/>
  <c r="AJ456" i="15"/>
  <c r="AK456" i="15"/>
  <c r="AL456" i="15"/>
  <c r="AJ457" i="15"/>
  <c r="AK457" i="15"/>
  <c r="AL457" i="15"/>
  <c r="AJ458" i="15"/>
  <c r="AK458" i="15"/>
  <c r="AL458" i="15"/>
  <c r="AJ459" i="15"/>
  <c r="AK459" i="15"/>
  <c r="AL459" i="15"/>
  <c r="AJ460" i="15"/>
  <c r="AK460" i="15"/>
  <c r="AL460" i="15"/>
  <c r="AJ461" i="15"/>
  <c r="AK461" i="15"/>
  <c r="AL461" i="15"/>
  <c r="AJ462" i="15"/>
  <c r="AK462" i="15"/>
  <c r="AL462" i="15"/>
  <c r="AJ463" i="15"/>
  <c r="AK463" i="15"/>
  <c r="AL463" i="15"/>
  <c r="AJ464" i="15"/>
  <c r="AK464" i="15"/>
  <c r="AL464" i="15"/>
  <c r="AJ465" i="15"/>
  <c r="AK465" i="15"/>
  <c r="AL465" i="15"/>
  <c r="AJ466" i="15"/>
  <c r="AK466" i="15"/>
  <c r="AL466" i="15"/>
  <c r="AJ467" i="15"/>
  <c r="AK467" i="15"/>
  <c r="AL467" i="15"/>
  <c r="AJ468" i="15"/>
  <c r="AK468" i="15"/>
  <c r="AL468" i="15"/>
  <c r="AJ469" i="15"/>
  <c r="AK469" i="15"/>
  <c r="AL469" i="15"/>
  <c r="AJ470" i="15"/>
  <c r="AK470" i="15"/>
  <c r="AL470" i="15"/>
  <c r="AJ471" i="15"/>
  <c r="AK471" i="15"/>
  <c r="AL471" i="15"/>
  <c r="AJ472" i="15"/>
  <c r="AK472" i="15"/>
  <c r="AL472" i="15"/>
  <c r="AJ473" i="15"/>
  <c r="AK473" i="15"/>
  <c r="AL473" i="15"/>
  <c r="AJ474" i="15"/>
  <c r="AK474" i="15"/>
  <c r="AL474" i="15"/>
  <c r="AJ475" i="15"/>
  <c r="AK475" i="15"/>
  <c r="AL475" i="15"/>
  <c r="AJ476" i="15"/>
  <c r="AK476" i="15"/>
  <c r="AL476" i="15"/>
  <c r="AJ477" i="15"/>
  <c r="AK477" i="15"/>
  <c r="AL477" i="15"/>
  <c r="AJ478" i="15"/>
  <c r="AK478" i="15"/>
  <c r="AL478" i="15"/>
  <c r="AJ479" i="15"/>
  <c r="AK479" i="15"/>
  <c r="AL479" i="15"/>
  <c r="AJ480" i="15"/>
  <c r="AK480" i="15"/>
  <c r="AL480" i="15"/>
  <c r="AJ481" i="15"/>
  <c r="AK481" i="15"/>
  <c r="AL481" i="15"/>
  <c r="AJ482" i="15"/>
  <c r="AK482" i="15"/>
  <c r="AL482" i="15"/>
  <c r="AJ483" i="15"/>
  <c r="AK483" i="15"/>
  <c r="AL483" i="15"/>
  <c r="AJ484" i="15"/>
  <c r="AK484" i="15"/>
  <c r="AL484" i="15"/>
  <c r="AJ485" i="15"/>
  <c r="AK485" i="15"/>
  <c r="AL485" i="15"/>
  <c r="AJ486" i="15"/>
  <c r="AK486" i="15"/>
  <c r="AL486" i="15"/>
  <c r="AJ487" i="15"/>
  <c r="AK487" i="15"/>
  <c r="AL487" i="15"/>
  <c r="AJ488" i="15"/>
  <c r="AK488" i="15"/>
  <c r="AL488" i="15"/>
  <c r="AJ489" i="15"/>
  <c r="AK489" i="15"/>
  <c r="AL489" i="15"/>
  <c r="AJ490" i="15"/>
  <c r="AK490" i="15"/>
  <c r="AL490" i="15"/>
  <c r="AJ491" i="15"/>
  <c r="AK491" i="15"/>
  <c r="AL491" i="15"/>
  <c r="AJ492" i="15"/>
  <c r="AK492" i="15"/>
  <c r="AL492" i="15"/>
  <c r="AJ493" i="15"/>
  <c r="AK493" i="15"/>
  <c r="AL493" i="15"/>
  <c r="AJ494" i="15"/>
  <c r="AK494" i="15"/>
  <c r="AL494" i="15"/>
  <c r="AJ495" i="15"/>
  <c r="AK495" i="15"/>
  <c r="AL495" i="15"/>
  <c r="AJ496" i="15"/>
  <c r="AK496" i="15"/>
  <c r="AL496" i="15"/>
  <c r="AJ497" i="15"/>
  <c r="AK497" i="15"/>
  <c r="AL497" i="15"/>
  <c r="AJ498" i="15"/>
  <c r="AK498" i="15"/>
  <c r="AL498" i="15"/>
  <c r="AJ499" i="15"/>
  <c r="AK499" i="15"/>
  <c r="AL499" i="15"/>
  <c r="AJ500" i="15"/>
  <c r="AK500" i="15"/>
  <c r="AL500" i="15"/>
  <c r="AJ501" i="15"/>
  <c r="AK501" i="15"/>
  <c r="AL501" i="15"/>
  <c r="AJ502" i="15"/>
  <c r="AK502" i="15"/>
  <c r="AL502" i="15"/>
  <c r="AJ503" i="15"/>
  <c r="AK503" i="15"/>
  <c r="AL503" i="15"/>
  <c r="AJ504" i="15"/>
  <c r="AK504" i="15"/>
  <c r="AL504" i="15"/>
  <c r="AJ505" i="15"/>
  <c r="AK505" i="15"/>
  <c r="AL505" i="15"/>
  <c r="AJ506" i="15"/>
  <c r="AK506" i="15"/>
  <c r="AL506" i="15"/>
  <c r="AJ507" i="15"/>
  <c r="AK507" i="15"/>
  <c r="AL507" i="15"/>
  <c r="AJ508" i="15"/>
  <c r="AK508" i="15"/>
  <c r="AL508" i="15"/>
  <c r="AJ509" i="15"/>
  <c r="AK509" i="15"/>
  <c r="AL509" i="15"/>
  <c r="AJ510" i="15"/>
  <c r="AK510" i="15"/>
  <c r="AL510" i="15"/>
  <c r="AJ511" i="15"/>
  <c r="AK511" i="15"/>
  <c r="AL511" i="15"/>
  <c r="AJ512" i="15"/>
  <c r="AK512" i="15"/>
  <c r="AL512" i="15"/>
  <c r="AJ513" i="15"/>
  <c r="AK513" i="15"/>
  <c r="AL513" i="15"/>
  <c r="AJ514" i="15"/>
  <c r="AK514" i="15"/>
  <c r="AL514" i="15"/>
  <c r="AJ515" i="15"/>
  <c r="AK515" i="15"/>
  <c r="AL515" i="15"/>
  <c r="AJ516" i="15"/>
  <c r="AK516" i="15"/>
  <c r="AL516" i="15"/>
  <c r="AJ517" i="15"/>
  <c r="AK517" i="15"/>
  <c r="AL517" i="15"/>
  <c r="AJ518" i="15"/>
  <c r="AK518" i="15"/>
  <c r="AL518" i="15"/>
  <c r="AJ519" i="15"/>
  <c r="AK519" i="15"/>
  <c r="AL519" i="15"/>
  <c r="AJ520" i="15"/>
  <c r="AK520" i="15"/>
  <c r="AL520" i="15"/>
  <c r="AJ521" i="15"/>
  <c r="AK521" i="15"/>
  <c r="AL521" i="15"/>
  <c r="AJ522" i="15"/>
  <c r="AK522" i="15"/>
  <c r="AL522" i="15"/>
  <c r="AJ523" i="15"/>
  <c r="AK523" i="15"/>
  <c r="AL523" i="15"/>
  <c r="AJ524" i="15"/>
  <c r="AK524" i="15"/>
  <c r="AL524" i="15"/>
  <c r="AJ525" i="15"/>
  <c r="AK525" i="15"/>
  <c r="AL525" i="15"/>
  <c r="AJ526" i="15"/>
  <c r="AK526" i="15"/>
  <c r="AL526" i="15"/>
  <c r="AJ527" i="15"/>
  <c r="AK527" i="15"/>
  <c r="AL527" i="15"/>
  <c r="AJ528" i="15"/>
  <c r="AK528" i="15"/>
  <c r="AL528" i="15"/>
  <c r="AJ529" i="15"/>
  <c r="AK529" i="15"/>
  <c r="AL529" i="15"/>
  <c r="AJ530" i="15"/>
  <c r="AK530" i="15"/>
  <c r="AL530" i="15"/>
  <c r="AJ531" i="15"/>
  <c r="AK531" i="15"/>
  <c r="AL531" i="15"/>
  <c r="AJ532" i="15"/>
  <c r="AK532" i="15"/>
  <c r="AL532" i="15"/>
  <c r="AJ533" i="15"/>
  <c r="AK533" i="15"/>
  <c r="AL533" i="15"/>
  <c r="AJ534" i="15"/>
  <c r="AK534" i="15"/>
  <c r="AL534" i="15"/>
  <c r="AJ535" i="15"/>
  <c r="AK535" i="15"/>
  <c r="AL535" i="15"/>
  <c r="AJ536" i="15"/>
  <c r="AK536" i="15"/>
  <c r="AL536" i="15"/>
  <c r="AJ537" i="15"/>
  <c r="AK537" i="15"/>
  <c r="AL537" i="15"/>
  <c r="AJ538" i="15"/>
  <c r="AK538" i="15"/>
  <c r="AL538" i="15"/>
  <c r="AJ539" i="15"/>
  <c r="AK539" i="15"/>
  <c r="AL539" i="15"/>
  <c r="AJ540" i="15"/>
  <c r="AK540" i="15"/>
  <c r="AL540" i="15"/>
  <c r="AJ541" i="15"/>
  <c r="AK541" i="15"/>
  <c r="AL541" i="15"/>
  <c r="AJ542" i="15"/>
  <c r="AK542" i="15"/>
  <c r="AL542" i="15"/>
  <c r="AJ543" i="15"/>
  <c r="AK543" i="15"/>
  <c r="AL543" i="15"/>
  <c r="AJ544" i="15"/>
  <c r="AK544" i="15"/>
  <c r="AL544" i="15"/>
  <c r="AJ545" i="15"/>
  <c r="AK545" i="15"/>
  <c r="AL545" i="15"/>
  <c r="AJ546" i="15"/>
  <c r="AK546" i="15"/>
  <c r="AL546" i="15"/>
  <c r="AJ547" i="15"/>
  <c r="AK547" i="15"/>
  <c r="AL547" i="15"/>
  <c r="AJ548" i="15"/>
  <c r="AK548" i="15"/>
  <c r="AL548" i="15"/>
  <c r="AJ549" i="15"/>
  <c r="AK549" i="15"/>
  <c r="AL549" i="15"/>
  <c r="AJ550" i="15"/>
  <c r="AK550" i="15"/>
  <c r="AL550" i="15"/>
  <c r="AJ551" i="15"/>
  <c r="AK551" i="15"/>
  <c r="AL551" i="15"/>
  <c r="AJ552" i="15"/>
  <c r="AK552" i="15"/>
  <c r="AL552" i="15"/>
  <c r="AJ553" i="15"/>
  <c r="AK553" i="15"/>
  <c r="AL553" i="15"/>
  <c r="AJ554" i="15"/>
  <c r="AK554" i="15"/>
  <c r="AL554" i="15"/>
  <c r="AJ555" i="15"/>
  <c r="AK555" i="15"/>
  <c r="AL555" i="15"/>
  <c r="AJ556" i="15"/>
  <c r="AK556" i="15"/>
  <c r="AL556" i="15"/>
  <c r="AJ557" i="15"/>
  <c r="AK557" i="15"/>
  <c r="AL557" i="15"/>
  <c r="AJ558" i="15"/>
  <c r="AK558" i="15"/>
  <c r="AL558" i="15"/>
  <c r="AJ559" i="15"/>
  <c r="AK559" i="15"/>
  <c r="AL559" i="15"/>
  <c r="AJ560" i="15"/>
  <c r="AK560" i="15"/>
  <c r="AL560" i="15"/>
  <c r="AJ561" i="15"/>
  <c r="AK561" i="15"/>
  <c r="AL561" i="15"/>
  <c r="AJ562" i="15"/>
  <c r="AK562" i="15"/>
  <c r="AL562" i="15"/>
  <c r="AJ563" i="15"/>
  <c r="AK563" i="15"/>
  <c r="AL563" i="15"/>
  <c r="AJ564" i="15"/>
  <c r="AK564" i="15"/>
  <c r="AL564" i="15"/>
  <c r="AJ565" i="15"/>
  <c r="AK565" i="15"/>
  <c r="AL565" i="15"/>
  <c r="AJ566" i="15"/>
  <c r="AK566" i="15"/>
  <c r="AL566" i="15"/>
  <c r="AJ567" i="15"/>
  <c r="AK567" i="15"/>
  <c r="AL567" i="15"/>
  <c r="AJ568" i="15"/>
  <c r="AK568" i="15"/>
  <c r="AL568" i="15"/>
  <c r="AJ569" i="15"/>
  <c r="AK569" i="15"/>
  <c r="AL569" i="15"/>
  <c r="AJ570" i="15"/>
  <c r="AK570" i="15"/>
  <c r="AL570" i="15"/>
  <c r="AJ571" i="15"/>
  <c r="AK571" i="15"/>
  <c r="AL571" i="15"/>
  <c r="AJ572" i="15"/>
  <c r="AK572" i="15"/>
  <c r="AL572" i="15"/>
  <c r="AJ573" i="15"/>
  <c r="AK573" i="15"/>
  <c r="AL573" i="15"/>
  <c r="AJ574" i="15"/>
  <c r="AK574" i="15"/>
  <c r="AL574" i="15"/>
  <c r="AJ575" i="15"/>
  <c r="AK575" i="15"/>
  <c r="AL575" i="15"/>
  <c r="AJ576" i="15"/>
  <c r="AK576" i="15"/>
  <c r="AL576" i="15"/>
  <c r="AJ577" i="15"/>
  <c r="AK577" i="15"/>
  <c r="AL577" i="15"/>
  <c r="AJ578" i="15"/>
  <c r="AK578" i="15"/>
  <c r="AL578" i="15"/>
  <c r="AJ579" i="15"/>
  <c r="AK579" i="15"/>
  <c r="AL579" i="15"/>
  <c r="AJ580" i="15"/>
  <c r="AK580" i="15"/>
  <c r="AL580" i="15"/>
  <c r="AJ581" i="15"/>
  <c r="AK581" i="15"/>
  <c r="AL581" i="15"/>
  <c r="AJ582" i="15"/>
  <c r="AK582" i="15"/>
  <c r="AL582" i="15"/>
  <c r="AJ583" i="15"/>
  <c r="AK583" i="15"/>
  <c r="AL583" i="15"/>
  <c r="AJ584" i="15"/>
  <c r="AK584" i="15"/>
  <c r="AL584" i="15"/>
  <c r="AJ585" i="15"/>
  <c r="AK585" i="15"/>
  <c r="AL585" i="15"/>
  <c r="AJ586" i="15"/>
  <c r="AK586" i="15"/>
  <c r="AL586" i="15"/>
  <c r="AJ587" i="15"/>
  <c r="AK587" i="15"/>
  <c r="AL587" i="15"/>
  <c r="AJ588" i="15"/>
  <c r="AK588" i="15"/>
  <c r="AL588" i="15"/>
  <c r="AJ589" i="15"/>
  <c r="AK589" i="15"/>
  <c r="AL589" i="15"/>
  <c r="AJ590" i="15"/>
  <c r="AK590" i="15"/>
  <c r="AL590" i="15"/>
  <c r="AJ591" i="15"/>
  <c r="AK591" i="15"/>
  <c r="AL591" i="15"/>
  <c r="AJ592" i="15"/>
  <c r="AK592" i="15"/>
  <c r="AL592" i="15"/>
  <c r="AJ593" i="15"/>
  <c r="AK593" i="15"/>
  <c r="AL593" i="15"/>
  <c r="AJ594" i="15"/>
  <c r="AK594" i="15"/>
  <c r="AL594" i="15"/>
  <c r="AJ595" i="15"/>
  <c r="AK595" i="15"/>
  <c r="AL595" i="15"/>
  <c r="AJ596" i="15"/>
  <c r="AK596" i="15"/>
  <c r="AL596" i="15"/>
  <c r="AJ597" i="15"/>
  <c r="AK597" i="15"/>
  <c r="AL597" i="15"/>
  <c r="AJ598" i="15"/>
  <c r="AK598" i="15"/>
  <c r="AL598" i="15"/>
  <c r="AJ599" i="15"/>
  <c r="AK599" i="15"/>
  <c r="AL599" i="15"/>
  <c r="AJ600" i="15"/>
  <c r="AK600" i="15"/>
  <c r="AL600" i="15"/>
  <c r="AJ601" i="15"/>
  <c r="AK601" i="15"/>
  <c r="AL601" i="15"/>
  <c r="AJ602" i="15"/>
  <c r="AK602" i="15"/>
  <c r="AL602" i="15"/>
  <c r="AJ603" i="15"/>
  <c r="AK603" i="15"/>
  <c r="AL603" i="15"/>
  <c r="AJ604" i="15"/>
  <c r="AK604" i="15"/>
  <c r="AL604" i="15"/>
  <c r="AJ605" i="15"/>
  <c r="AK605" i="15"/>
  <c r="AL605" i="15"/>
  <c r="AJ606" i="15"/>
  <c r="AK606" i="15"/>
  <c r="AL606" i="15"/>
  <c r="AJ607" i="15"/>
  <c r="AK607" i="15"/>
  <c r="AL607" i="15"/>
  <c r="AJ608" i="15"/>
  <c r="AK608" i="15"/>
  <c r="AL608" i="15"/>
  <c r="AJ609" i="15"/>
  <c r="AK609" i="15"/>
  <c r="AL609" i="15"/>
  <c r="AJ610" i="15"/>
  <c r="AK610" i="15"/>
  <c r="AL610" i="15"/>
  <c r="AJ611" i="15"/>
  <c r="AK611" i="15"/>
  <c r="AL611" i="15"/>
  <c r="AJ612" i="15"/>
  <c r="AK612" i="15"/>
  <c r="AL612" i="15"/>
  <c r="AJ613" i="15"/>
  <c r="AK613" i="15"/>
  <c r="AL613" i="15"/>
  <c r="AJ614" i="15"/>
  <c r="AK614" i="15"/>
  <c r="AL614" i="15"/>
  <c r="AJ615" i="15"/>
  <c r="AK615" i="15"/>
  <c r="AL615" i="15"/>
  <c r="AJ616" i="15"/>
  <c r="AK616" i="15"/>
  <c r="AL616" i="15"/>
  <c r="AJ617" i="15"/>
  <c r="AK617" i="15"/>
  <c r="AL617" i="15"/>
  <c r="AJ618" i="15"/>
  <c r="AK618" i="15"/>
  <c r="AL618" i="15"/>
  <c r="AJ619" i="15"/>
  <c r="AK619" i="15"/>
  <c r="AL619" i="15"/>
  <c r="AJ620" i="15"/>
  <c r="AK620" i="15"/>
  <c r="AL620" i="15"/>
  <c r="AJ621" i="15"/>
  <c r="AK621" i="15"/>
  <c r="AL621" i="15"/>
  <c r="AJ622" i="15"/>
  <c r="AK622" i="15"/>
  <c r="AL622" i="15"/>
  <c r="AJ623" i="15"/>
  <c r="AK623" i="15"/>
  <c r="AL623" i="15"/>
  <c r="AJ624" i="15"/>
  <c r="AK624" i="15"/>
  <c r="AL624" i="15"/>
  <c r="AJ625" i="15"/>
  <c r="AK625" i="15"/>
  <c r="AL625" i="15"/>
  <c r="AJ626" i="15"/>
  <c r="AK626" i="15"/>
  <c r="AL626" i="15"/>
  <c r="AJ627" i="15"/>
  <c r="AK627" i="15"/>
  <c r="AL627" i="15"/>
  <c r="AJ628" i="15"/>
  <c r="AK628" i="15"/>
  <c r="AL628" i="15"/>
  <c r="AJ629" i="15"/>
  <c r="AK629" i="15"/>
  <c r="AL629" i="15"/>
  <c r="AJ630" i="15"/>
  <c r="AK630" i="15"/>
  <c r="AL630" i="15"/>
  <c r="AJ631" i="15"/>
  <c r="AK631" i="15"/>
  <c r="AL631" i="15"/>
  <c r="AJ632" i="15"/>
  <c r="AK632" i="15"/>
  <c r="AL632" i="15"/>
  <c r="AJ633" i="15"/>
  <c r="AK633" i="15"/>
  <c r="AL633" i="15"/>
  <c r="AJ634" i="15"/>
  <c r="AK634" i="15"/>
  <c r="AL634" i="15"/>
  <c r="AJ635" i="15"/>
  <c r="AK635" i="15"/>
  <c r="AL635" i="15"/>
  <c r="AJ636" i="15"/>
  <c r="AK636" i="15"/>
  <c r="AL636" i="15"/>
  <c r="AJ637" i="15"/>
  <c r="AK637" i="15"/>
  <c r="AL637" i="15"/>
  <c r="AJ638" i="15"/>
  <c r="AK638" i="15"/>
  <c r="AL638" i="15"/>
  <c r="AJ639" i="15"/>
  <c r="AK639" i="15"/>
  <c r="AL639" i="15"/>
  <c r="AJ640" i="15"/>
  <c r="AK640" i="15"/>
  <c r="AL640" i="15"/>
  <c r="AJ641" i="15"/>
  <c r="AK641" i="15"/>
  <c r="AL641" i="15"/>
  <c r="AJ642" i="15"/>
  <c r="AK642" i="15"/>
  <c r="AL642" i="15"/>
  <c r="AJ643" i="15"/>
  <c r="AK643" i="15"/>
  <c r="AL643" i="15"/>
  <c r="AJ644" i="15"/>
  <c r="AK644" i="15"/>
  <c r="AL644" i="15"/>
  <c r="AJ645" i="15"/>
  <c r="AK645" i="15"/>
  <c r="AL645" i="15"/>
  <c r="AJ646" i="15"/>
  <c r="AK646" i="15"/>
  <c r="AL646" i="15"/>
  <c r="AJ647" i="15"/>
  <c r="AK647" i="15"/>
  <c r="AL647" i="15"/>
  <c r="AJ648" i="15"/>
  <c r="AK648" i="15"/>
  <c r="AL648" i="15"/>
  <c r="AJ649" i="15"/>
  <c r="AK649" i="15"/>
  <c r="AL649" i="15"/>
  <c r="AJ650" i="15"/>
  <c r="AK650" i="15"/>
  <c r="AL650" i="15"/>
  <c r="AJ651" i="15"/>
  <c r="AK651" i="15"/>
  <c r="AL651" i="15"/>
  <c r="AJ652" i="15"/>
  <c r="AK652" i="15"/>
  <c r="AL652" i="15"/>
  <c r="AJ653" i="15"/>
  <c r="AK653" i="15"/>
  <c r="AL653" i="15"/>
  <c r="AJ654" i="15"/>
  <c r="AK654" i="15"/>
  <c r="AL654" i="15"/>
  <c r="AJ655" i="15"/>
  <c r="AK655" i="15"/>
  <c r="AL655" i="15"/>
  <c r="AJ656" i="15"/>
  <c r="AK656" i="15"/>
  <c r="AL656" i="15"/>
  <c r="AJ657" i="15"/>
  <c r="AK657" i="15"/>
  <c r="AL657" i="15"/>
  <c r="AJ658" i="15"/>
  <c r="AK658" i="15"/>
  <c r="AL658" i="15"/>
  <c r="AJ659" i="15"/>
  <c r="AK659" i="15"/>
  <c r="AL659" i="15"/>
  <c r="AJ660" i="15"/>
  <c r="AK660" i="15"/>
  <c r="AL660" i="15"/>
  <c r="AJ661" i="15"/>
  <c r="AK661" i="15"/>
  <c r="AL661" i="15"/>
  <c r="AJ662" i="15"/>
  <c r="AK662" i="15"/>
  <c r="AL662" i="15"/>
  <c r="AJ663" i="15"/>
  <c r="AK663" i="15"/>
  <c r="AL663" i="15"/>
  <c r="AJ664" i="15"/>
  <c r="AK664" i="15"/>
  <c r="AL664" i="15"/>
  <c r="AJ665" i="15"/>
  <c r="AK665" i="15"/>
  <c r="AL665" i="15"/>
  <c r="AJ666" i="15"/>
  <c r="AK666" i="15"/>
  <c r="AL666" i="15"/>
  <c r="AJ667" i="15"/>
  <c r="AK667" i="15"/>
  <c r="AL667" i="15"/>
  <c r="AJ668" i="15"/>
  <c r="AK668" i="15"/>
  <c r="AL668" i="15"/>
  <c r="AJ669" i="15"/>
  <c r="AK669" i="15"/>
  <c r="AL669" i="15"/>
  <c r="AJ670" i="15"/>
  <c r="AK670" i="15"/>
  <c r="AL670" i="15"/>
  <c r="AJ671" i="15"/>
  <c r="AK671" i="15"/>
  <c r="AL671" i="15"/>
  <c r="AJ672" i="15"/>
  <c r="AK672" i="15"/>
  <c r="AL672" i="15"/>
  <c r="AJ673" i="15"/>
  <c r="AK673" i="15"/>
  <c r="AL673" i="15"/>
  <c r="AJ674" i="15"/>
  <c r="AK674" i="15"/>
  <c r="AL674" i="15"/>
  <c r="AJ675" i="15"/>
  <c r="AK675" i="15"/>
  <c r="AL675" i="15"/>
  <c r="AJ676" i="15"/>
  <c r="AK676" i="15"/>
  <c r="AL676" i="15"/>
  <c r="AJ677" i="15"/>
  <c r="AK677" i="15"/>
  <c r="AL677" i="15"/>
  <c r="AJ678" i="15"/>
  <c r="AK678" i="15"/>
  <c r="AL678" i="15"/>
  <c r="AJ679" i="15"/>
  <c r="AK679" i="15"/>
  <c r="AL679" i="15"/>
  <c r="AJ680" i="15"/>
  <c r="AK680" i="15"/>
  <c r="AL680" i="15"/>
  <c r="AJ681" i="15"/>
  <c r="AK681" i="15"/>
  <c r="AL681" i="15"/>
  <c r="AJ682" i="15"/>
  <c r="AK682" i="15"/>
  <c r="AL682" i="15"/>
  <c r="AJ683" i="15"/>
  <c r="AK683" i="15"/>
  <c r="AL683" i="15"/>
  <c r="AJ684" i="15"/>
  <c r="AK684" i="15"/>
  <c r="AL684" i="15"/>
  <c r="AJ685" i="15"/>
  <c r="AK685" i="15"/>
  <c r="AL685" i="15"/>
  <c r="AJ686" i="15"/>
  <c r="AK686" i="15"/>
  <c r="AL686" i="15"/>
  <c r="AJ687" i="15"/>
  <c r="AK687" i="15"/>
  <c r="AL687" i="15"/>
  <c r="AJ688" i="15"/>
  <c r="AK688" i="15"/>
  <c r="AL688" i="15"/>
  <c r="AJ689" i="15"/>
  <c r="AK689" i="15"/>
  <c r="AL689" i="15"/>
  <c r="AJ690" i="15"/>
  <c r="AK690" i="15"/>
  <c r="AL690" i="15"/>
  <c r="AJ691" i="15"/>
  <c r="AK691" i="15"/>
  <c r="AL691" i="15"/>
  <c r="AJ692" i="15"/>
  <c r="AK692" i="15"/>
  <c r="AL692" i="15"/>
  <c r="AJ693" i="15"/>
  <c r="AK693" i="15"/>
  <c r="AL693" i="15"/>
  <c r="AJ694" i="15"/>
  <c r="AK694" i="15"/>
  <c r="AL694" i="15"/>
  <c r="AJ695" i="15"/>
  <c r="AK695" i="15"/>
  <c r="AL695" i="15"/>
  <c r="AJ696" i="15"/>
  <c r="AK696" i="15"/>
  <c r="AL696" i="15"/>
  <c r="AJ697" i="15"/>
  <c r="AK697" i="15"/>
  <c r="AL697" i="15"/>
  <c r="AJ698" i="15"/>
  <c r="AK698" i="15"/>
  <c r="AL698" i="15"/>
  <c r="AJ699" i="15"/>
  <c r="AK699" i="15"/>
  <c r="AL699" i="15"/>
  <c r="AJ700" i="15"/>
  <c r="AK700" i="15"/>
  <c r="AL700" i="15"/>
  <c r="AJ701" i="15"/>
  <c r="AK701" i="15"/>
  <c r="AL701" i="15"/>
  <c r="AJ702" i="15"/>
  <c r="AK702" i="15"/>
  <c r="AL702" i="15"/>
  <c r="AJ703" i="15"/>
  <c r="AK703" i="15"/>
  <c r="AL703" i="15"/>
  <c r="AJ704" i="15"/>
  <c r="AK704" i="15"/>
  <c r="AL704" i="15"/>
  <c r="AJ705" i="15"/>
  <c r="AK705" i="15"/>
  <c r="AL705" i="15"/>
  <c r="AJ706" i="15"/>
  <c r="AK706" i="15"/>
  <c r="AL706" i="15"/>
  <c r="AJ707" i="15"/>
  <c r="AK707" i="15"/>
  <c r="AL707" i="15"/>
  <c r="AJ708" i="15"/>
  <c r="AK708" i="15"/>
  <c r="AL708" i="15"/>
  <c r="AJ709" i="15"/>
  <c r="AK709" i="15"/>
  <c r="AL709" i="15"/>
  <c r="AJ710" i="15"/>
  <c r="AK710" i="15"/>
  <c r="AL710" i="15"/>
  <c r="AJ711" i="15"/>
  <c r="AK711" i="15"/>
  <c r="AL711" i="15"/>
  <c r="AJ712" i="15"/>
  <c r="AK712" i="15"/>
  <c r="AL712" i="15"/>
  <c r="AJ713" i="15"/>
  <c r="AK713" i="15"/>
  <c r="AL713" i="15"/>
  <c r="AJ714" i="15"/>
  <c r="AK714" i="15"/>
  <c r="AL714" i="15"/>
  <c r="AJ715" i="15"/>
  <c r="AK715" i="15"/>
  <c r="AL715" i="15"/>
  <c r="AJ716" i="15"/>
  <c r="AK716" i="15"/>
  <c r="AL716" i="15"/>
  <c r="AJ717" i="15"/>
  <c r="AK717" i="15"/>
  <c r="AL717" i="15"/>
  <c r="AJ718" i="15"/>
  <c r="AK718" i="15"/>
  <c r="AL718" i="15"/>
  <c r="AJ719" i="15"/>
  <c r="AK719" i="15"/>
  <c r="AL719" i="15"/>
  <c r="AJ720" i="15"/>
  <c r="AK720" i="15"/>
  <c r="AL720" i="15"/>
  <c r="AJ721" i="15"/>
  <c r="AK721" i="15"/>
  <c r="AL721" i="15"/>
  <c r="AJ722" i="15"/>
  <c r="AK722" i="15"/>
  <c r="AL722" i="15"/>
  <c r="AJ723" i="15"/>
  <c r="AK723" i="15"/>
  <c r="AL723" i="15"/>
  <c r="AJ724" i="15"/>
  <c r="AK724" i="15"/>
  <c r="AL724" i="15"/>
  <c r="AJ725" i="15"/>
  <c r="AK725" i="15"/>
  <c r="AL725" i="15"/>
  <c r="AJ726" i="15"/>
  <c r="AK726" i="15"/>
  <c r="AL726" i="15"/>
  <c r="AJ727" i="15"/>
  <c r="AK727" i="15"/>
  <c r="AL727" i="15"/>
  <c r="AJ728" i="15"/>
  <c r="AK728" i="15"/>
  <c r="AL728" i="15"/>
  <c r="AJ729" i="15"/>
  <c r="AK729" i="15"/>
  <c r="AL729" i="15"/>
  <c r="AJ730" i="15"/>
  <c r="AK730" i="15"/>
  <c r="AL730" i="15"/>
  <c r="AJ731" i="15"/>
  <c r="AK731" i="15"/>
  <c r="AL731" i="15"/>
  <c r="AJ732" i="15"/>
  <c r="AK732" i="15"/>
  <c r="AL732" i="15"/>
  <c r="AJ733" i="15"/>
  <c r="AK733" i="15"/>
  <c r="AL733" i="15"/>
  <c r="AJ734" i="15"/>
  <c r="AK734" i="15"/>
  <c r="AL734" i="15"/>
  <c r="AJ735" i="15"/>
  <c r="AK735" i="15"/>
  <c r="AL735" i="15"/>
  <c r="AJ736" i="15"/>
  <c r="AK736" i="15"/>
  <c r="AL736" i="15"/>
  <c r="AJ737" i="15"/>
  <c r="AK737" i="15"/>
  <c r="AL737" i="15"/>
  <c r="AJ738" i="15"/>
  <c r="AK738" i="15"/>
  <c r="AL738" i="15"/>
  <c r="AJ739" i="15"/>
  <c r="AK739" i="15"/>
  <c r="AL739" i="15"/>
  <c r="AJ740" i="15"/>
  <c r="AK740" i="15"/>
  <c r="AL740" i="15"/>
  <c r="AJ741" i="15"/>
  <c r="AK741" i="15"/>
  <c r="AL741" i="15"/>
  <c r="AJ742" i="15"/>
  <c r="AK742" i="15"/>
  <c r="AL742" i="15"/>
  <c r="AJ743" i="15"/>
  <c r="AK743" i="15"/>
  <c r="AL743" i="15"/>
  <c r="AJ744" i="15"/>
  <c r="AK744" i="15"/>
  <c r="AL744" i="15"/>
  <c r="AJ745" i="15"/>
  <c r="AK745" i="15"/>
  <c r="AL745" i="15"/>
  <c r="AJ746" i="15"/>
  <c r="AK746" i="15"/>
  <c r="AL746" i="15"/>
  <c r="AJ747" i="15"/>
  <c r="AK747" i="15"/>
  <c r="AL747" i="15"/>
  <c r="AJ748" i="15"/>
  <c r="AK748" i="15"/>
  <c r="AL748" i="15"/>
  <c r="AJ749" i="15"/>
  <c r="AK749" i="15"/>
  <c r="AL749" i="15"/>
  <c r="AJ750" i="15"/>
  <c r="AK750" i="15"/>
  <c r="AL750" i="15"/>
  <c r="AJ751" i="15"/>
  <c r="AK751" i="15"/>
  <c r="AL751" i="15"/>
  <c r="AJ752" i="15"/>
  <c r="AK752" i="15"/>
  <c r="AL752" i="15"/>
  <c r="AJ753" i="15"/>
  <c r="AK753" i="15"/>
  <c r="AL753" i="15"/>
  <c r="AJ754" i="15"/>
  <c r="AK754" i="15"/>
  <c r="AL754" i="15"/>
  <c r="AJ755" i="15"/>
  <c r="AK755" i="15"/>
  <c r="AL755" i="15"/>
  <c r="AJ756" i="15"/>
  <c r="AK756" i="15"/>
  <c r="AL756" i="15"/>
  <c r="AJ757" i="15"/>
  <c r="AK757" i="15"/>
  <c r="AL757" i="15"/>
  <c r="AJ758" i="15"/>
  <c r="AK758" i="15"/>
  <c r="AL758" i="15"/>
  <c r="AJ759" i="15"/>
  <c r="AK759" i="15"/>
  <c r="AL759" i="15"/>
  <c r="AJ760" i="15"/>
  <c r="AK760" i="15"/>
  <c r="AL760" i="15"/>
  <c r="AJ761" i="15"/>
  <c r="AK761" i="15"/>
  <c r="AL761" i="15"/>
  <c r="AJ762" i="15"/>
  <c r="AK762" i="15"/>
  <c r="AL762" i="15"/>
  <c r="AJ763" i="15"/>
  <c r="AK763" i="15"/>
  <c r="AL763" i="15"/>
  <c r="AJ764" i="15"/>
  <c r="AK764" i="15"/>
  <c r="AL764" i="15"/>
  <c r="AJ765" i="15"/>
  <c r="AK765" i="15"/>
  <c r="AL765" i="15"/>
  <c r="AJ766" i="15"/>
  <c r="AK766" i="15"/>
  <c r="AL766" i="15"/>
  <c r="AJ767" i="15"/>
  <c r="AK767" i="15"/>
  <c r="AL767" i="15"/>
  <c r="AJ768" i="15"/>
  <c r="AK768" i="15"/>
  <c r="AL768" i="15"/>
  <c r="AJ769" i="15"/>
  <c r="AK769" i="15"/>
  <c r="AL769" i="15"/>
  <c r="AJ770" i="15"/>
  <c r="AK770" i="15"/>
  <c r="AL770" i="15"/>
  <c r="AJ771" i="15"/>
  <c r="AK771" i="15"/>
  <c r="AL771" i="15"/>
  <c r="AJ772" i="15"/>
  <c r="AK772" i="15"/>
  <c r="AL772" i="15"/>
  <c r="AJ773" i="15"/>
  <c r="AK773" i="15"/>
  <c r="AL773" i="15"/>
  <c r="AJ774" i="15"/>
  <c r="AK774" i="15"/>
  <c r="AL774" i="15"/>
  <c r="AJ775" i="15"/>
  <c r="AK775" i="15"/>
  <c r="AL775" i="15"/>
  <c r="AJ776" i="15"/>
  <c r="AK776" i="15"/>
  <c r="AL776" i="15"/>
  <c r="AJ777" i="15"/>
  <c r="AK777" i="15"/>
  <c r="AL777" i="15"/>
  <c r="AJ778" i="15"/>
  <c r="AK778" i="15"/>
  <c r="AL778" i="15"/>
  <c r="AJ779" i="15"/>
  <c r="AK779" i="15"/>
  <c r="AL779" i="15"/>
  <c r="AJ780" i="15"/>
  <c r="AK780" i="15"/>
  <c r="AL780" i="15"/>
  <c r="AJ781" i="15"/>
  <c r="AK781" i="15"/>
  <c r="AL781" i="15"/>
  <c r="AJ782" i="15"/>
  <c r="AK782" i="15"/>
  <c r="AL782" i="15"/>
  <c r="AJ783" i="15"/>
  <c r="AK783" i="15"/>
  <c r="AL783" i="15"/>
  <c r="AJ784" i="15"/>
  <c r="AK784" i="15"/>
  <c r="AL784" i="15"/>
  <c r="AJ785" i="15"/>
  <c r="AK785" i="15"/>
  <c r="AL785" i="15"/>
  <c r="AJ786" i="15"/>
  <c r="AK786" i="15"/>
  <c r="AL786" i="15"/>
  <c r="AJ787" i="15"/>
  <c r="AK787" i="15"/>
  <c r="AL787" i="15"/>
  <c r="AJ788" i="15"/>
  <c r="AK788" i="15"/>
  <c r="AL788" i="15"/>
  <c r="AJ789" i="15"/>
  <c r="AK789" i="15"/>
  <c r="AL789" i="15"/>
  <c r="AJ790" i="15"/>
  <c r="AK790" i="15"/>
  <c r="AL790" i="15"/>
  <c r="AJ791" i="15"/>
  <c r="AK791" i="15"/>
  <c r="AL791" i="15"/>
  <c r="AJ792" i="15"/>
  <c r="AK792" i="15"/>
  <c r="AL792" i="15"/>
  <c r="AJ793" i="15"/>
  <c r="AK793" i="15"/>
  <c r="AL793" i="15"/>
  <c r="AJ794" i="15"/>
  <c r="AK794" i="15"/>
  <c r="AL794" i="15"/>
  <c r="AJ795" i="15"/>
  <c r="AK795" i="15"/>
  <c r="AL795" i="15"/>
  <c r="AJ796" i="15"/>
  <c r="AK796" i="15"/>
  <c r="AL796" i="15"/>
  <c r="AJ797" i="15"/>
  <c r="AK797" i="15"/>
  <c r="AL797" i="15"/>
  <c r="AJ798" i="15"/>
  <c r="AK798" i="15"/>
  <c r="AL798" i="15"/>
  <c r="AJ799" i="15"/>
  <c r="AK799" i="15"/>
  <c r="AL799" i="15"/>
  <c r="AJ800" i="15"/>
  <c r="AK800" i="15"/>
  <c r="AL800" i="15"/>
  <c r="AJ801" i="15"/>
  <c r="AK801" i="15"/>
  <c r="AL801" i="15"/>
  <c r="AJ802" i="15"/>
  <c r="AK802" i="15"/>
  <c r="AL802" i="15"/>
  <c r="AJ803" i="15"/>
  <c r="AK803" i="15"/>
  <c r="AL803" i="15"/>
  <c r="AJ804" i="15"/>
  <c r="AK804" i="15"/>
  <c r="AL804" i="15"/>
  <c r="AJ805" i="15"/>
  <c r="AK805" i="15"/>
  <c r="AL805" i="15"/>
  <c r="AJ806" i="15"/>
  <c r="AK806" i="15"/>
  <c r="AL806" i="15"/>
  <c r="AJ807" i="15"/>
  <c r="AK807" i="15"/>
  <c r="AL807" i="15"/>
  <c r="AJ808" i="15"/>
  <c r="AK808" i="15"/>
  <c r="AL808" i="15"/>
  <c r="AJ809" i="15"/>
  <c r="AK809" i="15"/>
  <c r="AL809" i="15"/>
  <c r="AJ810" i="15"/>
  <c r="AK810" i="15"/>
  <c r="AL810" i="15"/>
  <c r="AJ811" i="15"/>
  <c r="AK811" i="15"/>
  <c r="AL811" i="15"/>
  <c r="AJ812" i="15"/>
  <c r="AK812" i="15"/>
  <c r="AL812" i="15"/>
  <c r="AJ813" i="15"/>
  <c r="AK813" i="15"/>
  <c r="AL813" i="15"/>
  <c r="AJ814" i="15"/>
  <c r="AK814" i="15"/>
  <c r="AL814" i="15"/>
  <c r="AJ815" i="15"/>
  <c r="AK815" i="15"/>
  <c r="AL815" i="15"/>
  <c r="AJ816" i="15"/>
  <c r="AK816" i="15"/>
  <c r="AL816" i="15"/>
  <c r="AJ817" i="15"/>
  <c r="AK817" i="15"/>
  <c r="AL817" i="15"/>
  <c r="AJ818" i="15"/>
  <c r="AK818" i="15"/>
  <c r="AL818" i="15"/>
  <c r="AJ819" i="15"/>
  <c r="AK819" i="15"/>
  <c r="AL819" i="15"/>
  <c r="AJ820" i="15"/>
  <c r="AK820" i="15"/>
  <c r="AL820" i="15"/>
  <c r="AJ821" i="15"/>
  <c r="AK821" i="15"/>
  <c r="AL821" i="15"/>
  <c r="AJ822" i="15"/>
  <c r="AK822" i="15"/>
  <c r="AL822" i="15"/>
  <c r="AJ823" i="15"/>
  <c r="AK823" i="15"/>
  <c r="AL823" i="15"/>
  <c r="AJ824" i="15"/>
  <c r="AK824" i="15"/>
  <c r="AL824" i="15"/>
  <c r="AJ825" i="15"/>
  <c r="AK825" i="15"/>
  <c r="AL825" i="15"/>
  <c r="AJ826" i="15"/>
  <c r="AK826" i="15"/>
  <c r="AL826" i="15"/>
  <c r="AJ827" i="15"/>
  <c r="AK827" i="15"/>
  <c r="AL827" i="15"/>
  <c r="AJ828" i="15"/>
  <c r="AK828" i="15"/>
  <c r="AL828" i="15"/>
  <c r="AJ829" i="15"/>
  <c r="AK829" i="15"/>
  <c r="AL829" i="15"/>
  <c r="AJ830" i="15"/>
  <c r="AK830" i="15"/>
  <c r="AL830" i="15"/>
  <c r="AJ831" i="15"/>
  <c r="AK831" i="15"/>
  <c r="AL831" i="15"/>
  <c r="AJ832" i="15"/>
  <c r="AK832" i="15"/>
  <c r="AL832" i="15"/>
  <c r="AJ833" i="15"/>
  <c r="AK833" i="15"/>
  <c r="AL833" i="15"/>
  <c r="AJ834" i="15"/>
  <c r="AK834" i="15"/>
  <c r="AL834" i="15"/>
  <c r="AJ835" i="15"/>
  <c r="AK835" i="15"/>
  <c r="AL835" i="15"/>
  <c r="AJ836" i="15"/>
  <c r="AK836" i="15"/>
  <c r="AL836" i="15"/>
  <c r="AJ837" i="15"/>
  <c r="AK837" i="15"/>
  <c r="AL837" i="15"/>
  <c r="AJ838" i="15"/>
  <c r="AK838" i="15"/>
  <c r="AL838" i="15"/>
  <c r="AJ839" i="15"/>
  <c r="AK839" i="15"/>
  <c r="AL839" i="15"/>
  <c r="AJ840" i="15"/>
  <c r="AK840" i="15"/>
  <c r="AL840" i="15"/>
  <c r="AJ841" i="15"/>
  <c r="AK841" i="15"/>
  <c r="AL841" i="15"/>
  <c r="AJ842" i="15"/>
  <c r="AK842" i="15"/>
  <c r="AL842" i="15"/>
  <c r="AJ843" i="15"/>
  <c r="AK843" i="15"/>
  <c r="AL843" i="15"/>
  <c r="AJ844" i="15"/>
  <c r="AK844" i="15"/>
  <c r="AL844" i="15"/>
  <c r="AJ845" i="15"/>
  <c r="AK845" i="15"/>
  <c r="AL845" i="15"/>
  <c r="AJ846" i="15"/>
  <c r="AK846" i="15"/>
  <c r="AL846" i="15"/>
  <c r="AJ847" i="15"/>
  <c r="AK847" i="15"/>
  <c r="AL847" i="15"/>
  <c r="AJ848" i="15"/>
  <c r="AK848" i="15"/>
  <c r="AL848" i="15"/>
  <c r="AJ849" i="15"/>
  <c r="AK849" i="15"/>
  <c r="AL849" i="15"/>
  <c r="AJ850" i="15"/>
  <c r="AK850" i="15"/>
  <c r="AL850" i="15"/>
  <c r="AJ851" i="15"/>
  <c r="AK851" i="15"/>
  <c r="AL851" i="15"/>
  <c r="AJ852" i="15"/>
  <c r="AK852" i="15"/>
  <c r="AL852" i="15"/>
  <c r="AJ853" i="15"/>
  <c r="AK853" i="15"/>
  <c r="AL853" i="15"/>
  <c r="AJ854" i="15"/>
  <c r="AK854" i="15"/>
  <c r="AL854" i="15"/>
  <c r="AJ855" i="15"/>
  <c r="AK855" i="15"/>
  <c r="AL855" i="15"/>
  <c r="AJ856" i="15"/>
  <c r="AK856" i="15"/>
  <c r="AL856" i="15"/>
  <c r="AJ857" i="15"/>
  <c r="AK857" i="15"/>
  <c r="AL857" i="15"/>
  <c r="AJ858" i="15"/>
  <c r="AK858" i="15"/>
  <c r="AL858" i="15"/>
  <c r="AJ859" i="15"/>
  <c r="AK859" i="15"/>
  <c r="AL859" i="15"/>
  <c r="AJ860" i="15"/>
  <c r="AK860" i="15"/>
  <c r="AL860" i="15"/>
  <c r="AJ861" i="15"/>
  <c r="AK861" i="15"/>
  <c r="AL861" i="15"/>
  <c r="AJ862" i="15"/>
  <c r="AK862" i="15"/>
  <c r="AL862" i="15"/>
  <c r="AJ863" i="15"/>
  <c r="AK863" i="15"/>
  <c r="AL863" i="15"/>
  <c r="AJ864" i="15"/>
  <c r="AK864" i="15"/>
  <c r="AL864" i="15"/>
  <c r="AJ865" i="15"/>
  <c r="AK865" i="15"/>
  <c r="AL865" i="15"/>
  <c r="AJ866" i="15"/>
  <c r="AK866" i="15"/>
  <c r="AL866" i="15"/>
  <c r="AJ867" i="15"/>
  <c r="AK867" i="15"/>
  <c r="AL867" i="15"/>
  <c r="AJ868" i="15"/>
  <c r="AK868" i="15"/>
  <c r="AL868" i="15"/>
  <c r="AJ869" i="15"/>
  <c r="AK869" i="15"/>
  <c r="AL869" i="15"/>
  <c r="AJ870" i="15"/>
  <c r="AK870" i="15"/>
  <c r="AL870" i="15"/>
  <c r="AJ871" i="15"/>
  <c r="AK871" i="15"/>
  <c r="AL871" i="15"/>
  <c r="AJ872" i="15"/>
  <c r="AK872" i="15"/>
  <c r="AL872" i="15"/>
  <c r="AJ873" i="15"/>
  <c r="AK873" i="15"/>
  <c r="AL873" i="15"/>
  <c r="AJ874" i="15"/>
  <c r="AK874" i="15"/>
  <c r="AL874" i="15"/>
  <c r="AJ875" i="15"/>
  <c r="AK875" i="15"/>
  <c r="AL875" i="15"/>
  <c r="AJ876" i="15"/>
  <c r="AK876" i="15"/>
  <c r="AL876" i="15"/>
  <c r="AJ877" i="15"/>
  <c r="AK877" i="15"/>
  <c r="AL877" i="15"/>
  <c r="AJ878" i="15"/>
  <c r="AK878" i="15"/>
  <c r="AL878" i="15"/>
  <c r="AJ879" i="15"/>
  <c r="AK879" i="15"/>
  <c r="AL879" i="15"/>
  <c r="AJ880" i="15"/>
  <c r="AK880" i="15"/>
  <c r="AL880" i="15"/>
  <c r="AJ881" i="15"/>
  <c r="AK881" i="15"/>
  <c r="AL881" i="15"/>
  <c r="AJ882" i="15"/>
  <c r="AK882" i="15"/>
  <c r="AL882" i="15"/>
  <c r="AJ883" i="15"/>
  <c r="AK883" i="15"/>
  <c r="AL883" i="15"/>
  <c r="AJ884" i="15"/>
  <c r="AK884" i="15"/>
  <c r="AL884" i="15"/>
  <c r="AJ885" i="15"/>
  <c r="AK885" i="15"/>
  <c r="AL885" i="15"/>
  <c r="AJ886" i="15"/>
  <c r="AK886" i="15"/>
  <c r="AL886" i="15"/>
  <c r="AJ887" i="15"/>
  <c r="AK887" i="15"/>
  <c r="AL887" i="15"/>
  <c r="AJ888" i="15"/>
  <c r="AK888" i="15"/>
  <c r="AL888" i="15"/>
  <c r="AJ889" i="15"/>
  <c r="AK889" i="15"/>
  <c r="AL889" i="15"/>
  <c r="AJ890" i="15"/>
  <c r="AK890" i="15"/>
  <c r="AL890" i="15"/>
  <c r="AJ891" i="15"/>
  <c r="AK891" i="15"/>
  <c r="AL891" i="15"/>
  <c r="AJ892" i="15"/>
  <c r="AK892" i="15"/>
  <c r="AL892" i="15"/>
  <c r="AJ893" i="15"/>
  <c r="AK893" i="15"/>
  <c r="AL893" i="15"/>
  <c r="AJ894" i="15"/>
  <c r="AK894" i="15"/>
  <c r="AL894" i="15"/>
  <c r="AJ895" i="15"/>
  <c r="AK895" i="15"/>
  <c r="AL895" i="15"/>
  <c r="AJ896" i="15"/>
  <c r="AK896" i="15"/>
  <c r="AL896" i="15"/>
  <c r="AJ897" i="15"/>
  <c r="AK897" i="15"/>
  <c r="AL897" i="15"/>
  <c r="AJ898" i="15"/>
  <c r="AK898" i="15"/>
  <c r="AL898" i="15"/>
  <c r="AJ899" i="15"/>
  <c r="AK899" i="15"/>
  <c r="AL899" i="15"/>
  <c r="AJ900" i="15"/>
  <c r="AK900" i="15"/>
  <c r="AL900" i="15"/>
  <c r="AJ901" i="15"/>
  <c r="AK901" i="15"/>
  <c r="AL901" i="15"/>
  <c r="AJ902" i="15"/>
  <c r="AK902" i="15"/>
  <c r="AL902" i="15"/>
  <c r="AJ903" i="15"/>
  <c r="AK903" i="15"/>
  <c r="AL903" i="15"/>
  <c r="AJ904" i="15"/>
  <c r="AK904" i="15"/>
  <c r="AL904" i="15"/>
  <c r="AJ905" i="15"/>
  <c r="AK905" i="15"/>
  <c r="AL905" i="15"/>
  <c r="AJ906" i="15"/>
  <c r="AK906" i="15"/>
  <c r="AL906" i="15"/>
  <c r="AJ907" i="15"/>
  <c r="AK907" i="15"/>
  <c r="AL907" i="15"/>
  <c r="AJ908" i="15"/>
  <c r="AK908" i="15"/>
  <c r="AL908" i="15"/>
  <c r="AJ909" i="15"/>
  <c r="AK909" i="15"/>
  <c r="AL909" i="15"/>
  <c r="AJ910" i="15"/>
  <c r="AK910" i="15"/>
  <c r="AL910" i="15"/>
  <c r="AJ911" i="15"/>
  <c r="AK911" i="15"/>
  <c r="AL911" i="15"/>
  <c r="AJ912" i="15"/>
  <c r="AK912" i="15"/>
  <c r="AL912" i="15"/>
  <c r="AJ913" i="15"/>
  <c r="AK913" i="15"/>
  <c r="AL913" i="15"/>
  <c r="AJ914" i="15"/>
  <c r="AK914" i="15"/>
  <c r="AL914" i="15"/>
  <c r="AJ915" i="15"/>
  <c r="AK915" i="15"/>
  <c r="AL915" i="15"/>
  <c r="AJ916" i="15"/>
  <c r="AK916" i="15"/>
  <c r="AL916" i="15"/>
  <c r="AJ917" i="15"/>
  <c r="AK917" i="15"/>
  <c r="AL917" i="15"/>
  <c r="AJ918" i="15"/>
  <c r="AK918" i="15"/>
  <c r="AL918" i="15"/>
  <c r="AJ919" i="15"/>
  <c r="AK919" i="15"/>
  <c r="AL919" i="15"/>
  <c r="AJ920" i="15"/>
  <c r="AK920" i="15"/>
  <c r="AL920" i="15"/>
  <c r="AJ921" i="15"/>
  <c r="AK921" i="15"/>
  <c r="AL921" i="15"/>
  <c r="AJ922" i="15"/>
  <c r="AK922" i="15"/>
  <c r="AL922" i="15"/>
  <c r="AJ923" i="15"/>
  <c r="AK923" i="15"/>
  <c r="AL923" i="15"/>
  <c r="AJ924" i="15"/>
  <c r="AK924" i="15"/>
  <c r="AL924" i="15"/>
  <c r="AJ925" i="15"/>
  <c r="AK925" i="15"/>
  <c r="AL925" i="15"/>
  <c r="AJ926" i="15"/>
  <c r="AK926" i="15"/>
  <c r="AL926" i="15"/>
  <c r="AJ927" i="15"/>
  <c r="AK927" i="15"/>
  <c r="AL927" i="15"/>
  <c r="AJ928" i="15"/>
  <c r="AK928" i="15"/>
  <c r="AL928" i="15"/>
  <c r="AJ929" i="15"/>
  <c r="AK929" i="15"/>
  <c r="AL929" i="15"/>
  <c r="AJ930" i="15"/>
  <c r="AK930" i="15"/>
  <c r="AL930" i="15"/>
  <c r="AJ931" i="15"/>
  <c r="AK931" i="15"/>
  <c r="AL931" i="15"/>
  <c r="AJ932" i="15"/>
  <c r="AK932" i="15"/>
  <c r="AL932" i="15"/>
  <c r="AJ933" i="15"/>
  <c r="AK933" i="15"/>
  <c r="AL933" i="15"/>
  <c r="AJ934" i="15"/>
  <c r="AK934" i="15"/>
  <c r="AL934" i="15"/>
  <c r="AJ935" i="15"/>
  <c r="AK935" i="15"/>
  <c r="AL935" i="15"/>
  <c r="AJ936" i="15"/>
  <c r="AK936" i="15"/>
  <c r="AL936" i="15"/>
  <c r="AJ937" i="15"/>
  <c r="AK937" i="15"/>
  <c r="AL937" i="15"/>
  <c r="AJ938" i="15"/>
  <c r="AK938" i="15"/>
  <c r="AL938" i="15"/>
  <c r="AJ939" i="15"/>
  <c r="AK939" i="15"/>
  <c r="AL939" i="15"/>
  <c r="AJ940" i="15"/>
  <c r="AK940" i="15"/>
  <c r="AL940" i="15"/>
  <c r="AJ941" i="15"/>
  <c r="AK941" i="15"/>
  <c r="AL941" i="15"/>
  <c r="AJ942" i="15"/>
  <c r="AK942" i="15"/>
  <c r="AL942" i="15"/>
  <c r="AJ943" i="15"/>
  <c r="AK943" i="15"/>
  <c r="AL943" i="15"/>
  <c r="AJ944" i="15"/>
  <c r="AK944" i="15"/>
  <c r="AL944" i="15"/>
  <c r="AJ945" i="15"/>
  <c r="AK945" i="15"/>
  <c r="AL945" i="15"/>
  <c r="AJ946" i="15"/>
  <c r="AK946" i="15"/>
  <c r="AL946" i="15"/>
  <c r="AJ947" i="15"/>
  <c r="AK947" i="15"/>
  <c r="AL947" i="15"/>
  <c r="AJ948" i="15"/>
  <c r="AK948" i="15"/>
  <c r="AL948" i="15"/>
  <c r="AJ949" i="15"/>
  <c r="AK949" i="15"/>
  <c r="AL949" i="15"/>
  <c r="AJ950" i="15"/>
  <c r="AK950" i="15"/>
  <c r="AL950" i="15"/>
  <c r="AJ951" i="15"/>
  <c r="AK951" i="15"/>
  <c r="AL951" i="15"/>
  <c r="AJ952" i="15"/>
  <c r="AK952" i="15"/>
  <c r="AL952" i="15"/>
  <c r="AJ953" i="15"/>
  <c r="AK953" i="15"/>
  <c r="AL953" i="15"/>
  <c r="AJ954" i="15"/>
  <c r="AK954" i="15"/>
  <c r="AL954" i="15"/>
  <c r="AJ955" i="15"/>
  <c r="AK955" i="15"/>
  <c r="AL955" i="15"/>
  <c r="AJ956" i="15"/>
  <c r="AK956" i="15"/>
  <c r="AL956" i="15"/>
  <c r="AJ957" i="15"/>
  <c r="AK957" i="15"/>
  <c r="AL957" i="15"/>
  <c r="AJ958" i="15"/>
  <c r="AK958" i="15"/>
  <c r="AL958" i="15"/>
  <c r="AJ959" i="15"/>
  <c r="AK959" i="15"/>
  <c r="AL959" i="15"/>
  <c r="AJ960" i="15"/>
  <c r="AK960" i="15"/>
  <c r="AL960" i="15"/>
  <c r="AJ961" i="15"/>
  <c r="AK961" i="15"/>
  <c r="AL961" i="15"/>
  <c r="AJ962" i="15"/>
  <c r="AK962" i="15"/>
  <c r="AL962" i="15"/>
  <c r="AJ963" i="15"/>
  <c r="AK963" i="15"/>
  <c r="AL963" i="15"/>
  <c r="AJ964" i="15"/>
  <c r="AK964" i="15"/>
  <c r="AL964" i="15"/>
  <c r="AJ965" i="15"/>
  <c r="AK965" i="15"/>
  <c r="AL965" i="15"/>
  <c r="AJ966" i="15"/>
  <c r="AK966" i="15"/>
  <c r="AL966" i="15"/>
  <c r="AJ967" i="15"/>
  <c r="AK967" i="15"/>
  <c r="AL967" i="15"/>
  <c r="AJ968" i="15"/>
  <c r="AK968" i="15"/>
  <c r="AL968" i="15"/>
  <c r="AJ969" i="15"/>
  <c r="AK969" i="15"/>
  <c r="AL969" i="15"/>
  <c r="AJ970" i="15"/>
  <c r="AK970" i="15"/>
  <c r="AL970" i="15"/>
  <c r="AJ971" i="15"/>
  <c r="AK971" i="15"/>
  <c r="AL971" i="15"/>
  <c r="AJ972" i="15"/>
  <c r="AK972" i="15"/>
  <c r="AL972" i="15"/>
  <c r="AJ973" i="15"/>
  <c r="AK973" i="15"/>
  <c r="AL973" i="15"/>
  <c r="AJ974" i="15"/>
  <c r="AK974" i="15"/>
  <c r="AL974" i="15"/>
  <c r="AJ975" i="15"/>
  <c r="AK975" i="15"/>
  <c r="AL975" i="15"/>
  <c r="AJ976" i="15"/>
  <c r="AK976" i="15"/>
  <c r="AL976" i="15"/>
  <c r="AJ977" i="15"/>
  <c r="AK977" i="15"/>
  <c r="AL977" i="15"/>
  <c r="AJ978" i="15"/>
  <c r="AK978" i="15"/>
  <c r="AL978" i="15"/>
  <c r="AJ979" i="15"/>
  <c r="AK979" i="15"/>
  <c r="AL979" i="15"/>
  <c r="AJ980" i="15"/>
  <c r="AK980" i="15"/>
  <c r="AL980" i="15"/>
  <c r="AJ981" i="15"/>
  <c r="AK981" i="15"/>
  <c r="AL981" i="15"/>
  <c r="AJ982" i="15"/>
  <c r="AK982" i="15"/>
  <c r="AL982" i="15"/>
  <c r="AJ983" i="15"/>
  <c r="AK983" i="15"/>
  <c r="AL983" i="15"/>
  <c r="AJ984" i="15"/>
  <c r="AK984" i="15"/>
  <c r="AL984" i="15"/>
  <c r="AJ985" i="15"/>
  <c r="AK985" i="15"/>
  <c r="AL985" i="15"/>
  <c r="AJ986" i="15"/>
  <c r="AK986" i="15"/>
  <c r="AL986" i="15"/>
  <c r="AJ987" i="15"/>
  <c r="AK987" i="15"/>
  <c r="AL987" i="15"/>
  <c r="AJ988" i="15"/>
  <c r="AK988" i="15"/>
  <c r="AL988" i="15"/>
  <c r="AJ989" i="15"/>
  <c r="AK989" i="15"/>
  <c r="AL989" i="15"/>
  <c r="AJ990" i="15"/>
  <c r="AK990" i="15"/>
  <c r="AL990" i="15"/>
  <c r="AJ991" i="15"/>
  <c r="AK991" i="15"/>
  <c r="AL991" i="15"/>
  <c r="AJ992" i="15"/>
  <c r="AK992" i="15"/>
  <c r="AL992" i="15"/>
  <c r="AJ993" i="15"/>
  <c r="AK993" i="15"/>
  <c r="AL993" i="15"/>
  <c r="AJ994" i="15"/>
  <c r="AK994" i="15"/>
  <c r="AL994" i="15"/>
  <c r="AJ995" i="15"/>
  <c r="AK995" i="15"/>
  <c r="AL995" i="15"/>
  <c r="AJ996" i="15"/>
  <c r="AK996" i="15"/>
  <c r="AL996" i="15"/>
  <c r="AJ997" i="15"/>
  <c r="AK997" i="15"/>
  <c r="AL997" i="15"/>
  <c r="AJ998" i="15"/>
  <c r="AK998" i="15"/>
  <c r="AL998" i="15"/>
  <c r="AJ999" i="15"/>
  <c r="AK999" i="15"/>
  <c r="AL999" i="15"/>
  <c r="AJ1000" i="15"/>
  <c r="AK1000" i="15"/>
  <c r="AL1000" i="15"/>
  <c r="AJ1001" i="15"/>
  <c r="AK1001" i="15"/>
  <c r="AL1001" i="15"/>
  <c r="AJ1002" i="15"/>
  <c r="AK1002" i="15"/>
  <c r="AL1002" i="15"/>
  <c r="AJ1003" i="15"/>
  <c r="AK1003" i="15"/>
  <c r="AL1003" i="15"/>
  <c r="AJ1004" i="15"/>
  <c r="AK1004" i="15"/>
  <c r="AL1004" i="15"/>
  <c r="AJ1005" i="15"/>
  <c r="AK1005" i="15"/>
  <c r="AL1005" i="15"/>
  <c r="AJ1006" i="15"/>
  <c r="AK1006" i="15"/>
  <c r="AL1006" i="15"/>
  <c r="AJ1007" i="15"/>
  <c r="AK1007" i="15"/>
  <c r="AL1007" i="15"/>
  <c r="AJ1008" i="15"/>
  <c r="AK1008" i="15"/>
  <c r="AL1008" i="15"/>
  <c r="AJ1009" i="15"/>
  <c r="AK1009" i="15"/>
  <c r="AL1009" i="15"/>
  <c r="AJ1010" i="15"/>
  <c r="AK1010" i="15"/>
  <c r="AL1010" i="15"/>
  <c r="AJ1011" i="15"/>
  <c r="AK1011" i="15"/>
  <c r="AL1011" i="15"/>
  <c r="AJ1012" i="15"/>
  <c r="AK1012" i="15"/>
  <c r="AL1012" i="15"/>
  <c r="AJ1013" i="15"/>
  <c r="AK1013" i="15"/>
  <c r="AL1013" i="15"/>
  <c r="AJ1014" i="15"/>
  <c r="AK1014" i="15"/>
  <c r="AL1014" i="15"/>
  <c r="AJ1015" i="15"/>
  <c r="AK1015" i="15"/>
  <c r="AL1015" i="15"/>
  <c r="AJ1016" i="15"/>
  <c r="AK1016" i="15"/>
  <c r="AL1016" i="15"/>
  <c r="AJ1017" i="15"/>
  <c r="AK1017" i="15"/>
  <c r="AL1017" i="15"/>
  <c r="AJ1018" i="15"/>
  <c r="AK1018" i="15"/>
  <c r="AL1018" i="15"/>
  <c r="AJ1019" i="15"/>
  <c r="AK1019" i="15"/>
  <c r="AL1019" i="15"/>
  <c r="AJ1020" i="15"/>
  <c r="AK1020" i="15"/>
  <c r="AL1020" i="15"/>
  <c r="AJ1021" i="15"/>
  <c r="AK1021" i="15"/>
  <c r="AL1021" i="15"/>
  <c r="AJ1022" i="15"/>
  <c r="AK1022" i="15"/>
  <c r="AL1022" i="15"/>
  <c r="AJ1023" i="15"/>
  <c r="AK1023" i="15"/>
  <c r="AL1023" i="15"/>
  <c r="AJ1024" i="15"/>
  <c r="AK1024" i="15"/>
  <c r="AL1024" i="15"/>
  <c r="AJ1025" i="15"/>
  <c r="AK1025" i="15"/>
  <c r="AL1025" i="15"/>
  <c r="AJ1026" i="15"/>
  <c r="AK1026" i="15"/>
  <c r="AL1026" i="15"/>
  <c r="AJ1027" i="15"/>
  <c r="AK1027" i="15"/>
  <c r="AL1027" i="15"/>
  <c r="AJ1028" i="15"/>
  <c r="AK1028" i="15"/>
  <c r="AL1028" i="15"/>
  <c r="AJ1029" i="15"/>
  <c r="AK1029" i="15"/>
  <c r="AL1029" i="15"/>
  <c r="AJ1030" i="15"/>
  <c r="AK1030" i="15"/>
  <c r="AL1030" i="15"/>
  <c r="AJ1031" i="15"/>
  <c r="AK1031" i="15"/>
  <c r="AL1031" i="15"/>
  <c r="AJ1032" i="15"/>
  <c r="AK1032" i="15"/>
  <c r="AL1032" i="15"/>
  <c r="AJ1033" i="15"/>
  <c r="AK1033" i="15"/>
  <c r="AL1033" i="15"/>
  <c r="AJ1034" i="15"/>
  <c r="AK1034" i="15"/>
  <c r="AL1034" i="15"/>
  <c r="AJ1035" i="15"/>
  <c r="AK1035" i="15"/>
  <c r="AL1035" i="15"/>
  <c r="AJ1036" i="15"/>
  <c r="AK1036" i="15"/>
  <c r="AL1036" i="15"/>
  <c r="AJ1037" i="15"/>
  <c r="AK1037" i="15"/>
  <c r="AL1037" i="15"/>
  <c r="AJ1038" i="15"/>
  <c r="AK1038" i="15"/>
  <c r="AL1038" i="15"/>
  <c r="AJ1039" i="15"/>
  <c r="AK1039" i="15"/>
  <c r="AL1039" i="15"/>
  <c r="AJ1040" i="15"/>
  <c r="AK1040" i="15"/>
  <c r="AL1040" i="15"/>
  <c r="AJ1041" i="15"/>
  <c r="AK1041" i="15"/>
  <c r="AL1041" i="15"/>
  <c r="AJ1042" i="15"/>
  <c r="AK1042" i="15"/>
  <c r="AL1042" i="15"/>
  <c r="AJ1043" i="15"/>
  <c r="AK1043" i="15"/>
  <c r="AL1043" i="15"/>
  <c r="AJ1044" i="15"/>
  <c r="AK1044" i="15"/>
  <c r="AL1044" i="15"/>
  <c r="AJ1045" i="15"/>
  <c r="AK1045" i="15"/>
  <c r="AL1045" i="15"/>
  <c r="AJ1046" i="15"/>
  <c r="AK1046" i="15"/>
  <c r="AL1046" i="15"/>
  <c r="AJ1047" i="15"/>
  <c r="AK1047" i="15"/>
  <c r="AL1047" i="15"/>
  <c r="AJ1048" i="15"/>
  <c r="AK1048" i="15"/>
  <c r="AL1048" i="15"/>
  <c r="AJ1049" i="15"/>
  <c r="AK1049" i="15"/>
  <c r="AL1049" i="15"/>
  <c r="AJ1050" i="15"/>
  <c r="AK1050" i="15"/>
  <c r="AL1050" i="15"/>
  <c r="AJ1051" i="15"/>
  <c r="AK1051" i="15"/>
  <c r="AL1051" i="15"/>
  <c r="AJ1052" i="15"/>
  <c r="AK1052" i="15"/>
  <c r="AL1052" i="15"/>
  <c r="AJ1053" i="15"/>
  <c r="AK1053" i="15"/>
  <c r="AL1053" i="15"/>
  <c r="AJ1054" i="15"/>
  <c r="AK1054" i="15"/>
  <c r="AL1054" i="15"/>
  <c r="AJ1055" i="15"/>
  <c r="AK1055" i="15"/>
  <c r="AL1055" i="15"/>
  <c r="AJ1056" i="15"/>
  <c r="AK1056" i="15"/>
  <c r="AL1056" i="15"/>
  <c r="AJ1057" i="15"/>
  <c r="AK1057" i="15"/>
  <c r="AL1057" i="15"/>
  <c r="AJ1058" i="15"/>
  <c r="AK1058" i="15"/>
  <c r="AL1058" i="15"/>
  <c r="AJ1059" i="15"/>
  <c r="AK1059" i="15"/>
  <c r="AL1059" i="15"/>
  <c r="AJ1060" i="15"/>
  <c r="AK1060" i="15"/>
  <c r="AL1060" i="15"/>
  <c r="AJ1061" i="15"/>
  <c r="AK1061" i="15"/>
  <c r="AL1061" i="15"/>
  <c r="AJ1062" i="15"/>
  <c r="AK1062" i="15"/>
  <c r="AL1062" i="15"/>
  <c r="AJ1063" i="15"/>
  <c r="AK1063" i="15"/>
  <c r="AL1063" i="15"/>
  <c r="AJ1064" i="15"/>
  <c r="AK1064" i="15"/>
  <c r="AL1064" i="15"/>
  <c r="AJ1065" i="15"/>
  <c r="AK1065" i="15"/>
  <c r="AL1065" i="15"/>
  <c r="AJ1066" i="15"/>
  <c r="AK1066" i="15"/>
  <c r="AL1066" i="15"/>
  <c r="AJ1067" i="15"/>
  <c r="AK1067" i="15"/>
  <c r="AL1067" i="15"/>
  <c r="AJ1068" i="15"/>
  <c r="AK1068" i="15"/>
  <c r="AL1068" i="15"/>
  <c r="AJ1069" i="15"/>
  <c r="AK1069" i="15"/>
  <c r="AL1069" i="15"/>
  <c r="AJ1070" i="15"/>
  <c r="AK1070" i="15"/>
  <c r="AL1070" i="15"/>
  <c r="AJ1071" i="15"/>
  <c r="AK1071" i="15"/>
  <c r="AL1071" i="15"/>
  <c r="AJ1072" i="15"/>
  <c r="AK1072" i="15"/>
  <c r="AL1072" i="15"/>
  <c r="AJ1073" i="15"/>
  <c r="AK1073" i="15"/>
  <c r="AL1073" i="15"/>
  <c r="AJ1074" i="15"/>
  <c r="AK1074" i="15"/>
  <c r="AL1074" i="15"/>
  <c r="AJ1075" i="15"/>
  <c r="AK1075" i="15"/>
  <c r="AL1075" i="15"/>
  <c r="AJ1076" i="15"/>
  <c r="AK1076" i="15"/>
  <c r="AL1076" i="15"/>
  <c r="AJ1077" i="15"/>
  <c r="AK1077" i="15"/>
  <c r="AL1077" i="15"/>
  <c r="A358" i="12" l="1"/>
  <c r="F358" i="12" a="1"/>
  <c r="T33" i="9" l="1"/>
  <c r="U27" i="9" l="1"/>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N1013" i="15"/>
  <c r="AT1013" i="15"/>
  <c r="AU1013" i="15"/>
  <c r="AV1013" i="15"/>
  <c r="AX1013" i="15"/>
  <c r="AP1014" i="15"/>
  <c r="AN1014" i="15"/>
  <c r="AT1014" i="15"/>
  <c r="AU1014" i="15"/>
  <c r="AV1014" i="15"/>
  <c r="AX1014" i="15"/>
  <c r="AP1015" i="15"/>
  <c r="AN1015" i="15"/>
  <c r="AT1015" i="15"/>
  <c r="AU1015" i="15"/>
  <c r="AV1015" i="15"/>
  <c r="AX1015" i="15"/>
  <c r="AQ1016" i="15"/>
  <c r="AN1016" i="15"/>
  <c r="AT1016" i="15"/>
  <c r="AU1016" i="15"/>
  <c r="AV1016" i="15"/>
  <c r="AX1016" i="15"/>
  <c r="AZ1017" i="15"/>
  <c r="AN1017" i="15"/>
  <c r="AT1017" i="15"/>
  <c r="AU1017" i="15"/>
  <c r="AV1017" i="15"/>
  <c r="AX1017" i="15"/>
  <c r="AP1018" i="15"/>
  <c r="AN1018" i="15"/>
  <c r="AT1018" i="15"/>
  <c r="AU1018" i="15"/>
  <c r="AV1018" i="15"/>
  <c r="AX1018" i="15"/>
  <c r="AP1019" i="15"/>
  <c r="AN1019" i="15"/>
  <c r="AT1019" i="15"/>
  <c r="AU1019" i="15"/>
  <c r="AV1019" i="15"/>
  <c r="AX1019" i="15"/>
  <c r="AQ1020" i="15"/>
  <c r="AN1020" i="15"/>
  <c r="AT1020" i="15"/>
  <c r="AU1020" i="15"/>
  <c r="AV1020" i="15"/>
  <c r="AX1020" i="15"/>
  <c r="AZ1021" i="15"/>
  <c r="AN1021" i="15"/>
  <c r="AT1021" i="15"/>
  <c r="AU1021" i="15"/>
  <c r="AV1021" i="15"/>
  <c r="AX1021" i="15"/>
  <c r="AP1022" i="15"/>
  <c r="AN1022" i="15"/>
  <c r="AT1022" i="15"/>
  <c r="AU1022" i="15"/>
  <c r="AV1022" i="15"/>
  <c r="AX1022" i="15"/>
  <c r="AP1023" i="15"/>
  <c r="AN1023" i="15"/>
  <c r="AT1023" i="15"/>
  <c r="AU1023" i="15"/>
  <c r="AV1023" i="15"/>
  <c r="AX1023" i="15"/>
  <c r="AQ1024" i="15"/>
  <c r="AN1024" i="15"/>
  <c r="AT1024" i="15"/>
  <c r="AU1024" i="15"/>
  <c r="AV1024" i="15"/>
  <c r="AX1024" i="15"/>
  <c r="AO1025" i="15"/>
  <c r="AN1025" i="15"/>
  <c r="AT1025" i="15"/>
  <c r="AU1025" i="15"/>
  <c r="AV1025" i="15"/>
  <c r="AX1025" i="15"/>
  <c r="AP1026" i="15"/>
  <c r="AN1026" i="15"/>
  <c r="AT1026" i="15"/>
  <c r="AU1026" i="15"/>
  <c r="AV1026" i="15"/>
  <c r="AX1026" i="15"/>
  <c r="AP1027" i="15"/>
  <c r="AN1027" i="15"/>
  <c r="AT1027" i="15"/>
  <c r="AU1027" i="15"/>
  <c r="AV1027" i="15"/>
  <c r="AX1027" i="15"/>
  <c r="AQ1028" i="15"/>
  <c r="AN1028" i="15"/>
  <c r="AT1028" i="15"/>
  <c r="AU1028" i="15"/>
  <c r="AV1028" i="15"/>
  <c r="AX1028" i="15"/>
  <c r="AZ1029" i="15"/>
  <c r="AN1029" i="15"/>
  <c r="AT1029" i="15"/>
  <c r="AU1029" i="15"/>
  <c r="AV1029" i="15"/>
  <c r="AX1029" i="15"/>
  <c r="AP1030" i="15"/>
  <c r="AN1030" i="15"/>
  <c r="AT1030" i="15"/>
  <c r="AU1030" i="15"/>
  <c r="AV1030" i="15"/>
  <c r="AX1030" i="15"/>
  <c r="AP1031" i="15"/>
  <c r="AN1031" i="15"/>
  <c r="AT1031" i="15"/>
  <c r="AU1031" i="15"/>
  <c r="AV1031" i="15"/>
  <c r="AX1031" i="15"/>
  <c r="AQ1032" i="15"/>
  <c r="AN1032" i="15"/>
  <c r="AT1032" i="15"/>
  <c r="AU1032" i="15"/>
  <c r="AV1032" i="15"/>
  <c r="AX1032" i="15"/>
  <c r="AZ1033" i="15"/>
  <c r="AN1033" i="15"/>
  <c r="AT1033" i="15"/>
  <c r="AU1033" i="15"/>
  <c r="AV1033" i="15"/>
  <c r="AX1033" i="15"/>
  <c r="AP1034" i="15"/>
  <c r="AN1034" i="15"/>
  <c r="AT1034" i="15"/>
  <c r="AU1034" i="15"/>
  <c r="AV1034" i="15"/>
  <c r="AX1034" i="15"/>
  <c r="AP1035" i="15"/>
  <c r="AN1035" i="15"/>
  <c r="AT1035" i="15"/>
  <c r="AU1035" i="15"/>
  <c r="AV1035" i="15"/>
  <c r="AX1035" i="15"/>
  <c r="AQ1036" i="15"/>
  <c r="AN1036" i="15"/>
  <c r="AT1036" i="15"/>
  <c r="AU1036" i="15"/>
  <c r="AV1036" i="15"/>
  <c r="AX1036" i="15"/>
  <c r="AP1037" i="15"/>
  <c r="AN1037" i="15"/>
  <c r="AT1037" i="15"/>
  <c r="AU1037" i="15"/>
  <c r="AV1037" i="15"/>
  <c r="AX1037" i="15"/>
  <c r="AP1038" i="15"/>
  <c r="AN1038" i="15"/>
  <c r="AT1038" i="15"/>
  <c r="AU1038" i="15"/>
  <c r="AV1038" i="15"/>
  <c r="AX1038" i="15"/>
  <c r="AP1039" i="15"/>
  <c r="AN1039" i="15"/>
  <c r="AT1039" i="15"/>
  <c r="AU1039" i="15"/>
  <c r="AV1039" i="15"/>
  <c r="AX1039" i="15"/>
  <c r="AP1040" i="15"/>
  <c r="AN1040" i="15"/>
  <c r="AT1040" i="15"/>
  <c r="AU1040" i="15"/>
  <c r="AV1040" i="15"/>
  <c r="AX1040" i="15"/>
  <c r="AZ1041" i="15"/>
  <c r="AN1041" i="15"/>
  <c r="AT1041" i="15"/>
  <c r="AU1041" i="15"/>
  <c r="AV1041" i="15"/>
  <c r="AX1041" i="15"/>
  <c r="AP1042" i="15"/>
  <c r="AN1042" i="15"/>
  <c r="AT1042" i="15"/>
  <c r="AU1042" i="15"/>
  <c r="AV1042" i="15"/>
  <c r="AX1042" i="15"/>
  <c r="AP1043" i="15"/>
  <c r="AN1043" i="15"/>
  <c r="AT1043" i="15"/>
  <c r="AU1043" i="15"/>
  <c r="AV1043" i="15"/>
  <c r="AX1043" i="15"/>
  <c r="AQ1044" i="15"/>
  <c r="AN1044" i="15"/>
  <c r="AT1044" i="15"/>
  <c r="AU1044" i="15"/>
  <c r="AV1044" i="15"/>
  <c r="AX1044" i="15"/>
  <c r="AO1045" i="15"/>
  <c r="AN1045" i="15"/>
  <c r="AT1045" i="15"/>
  <c r="AU1045" i="15"/>
  <c r="AV1045" i="15"/>
  <c r="AX1045" i="15"/>
  <c r="AP1046" i="15"/>
  <c r="AN1046" i="15"/>
  <c r="AT1046" i="15"/>
  <c r="AU1046" i="15"/>
  <c r="AV1046" i="15"/>
  <c r="AX1046" i="15"/>
  <c r="AP1047" i="15"/>
  <c r="AN1047" i="15"/>
  <c r="AT1047" i="15"/>
  <c r="AU1047" i="15"/>
  <c r="AV1047" i="15"/>
  <c r="AX1047" i="15"/>
  <c r="AO1048" i="15"/>
  <c r="AN1048" i="15"/>
  <c r="AT1048" i="15"/>
  <c r="AU1048" i="15"/>
  <c r="AV1048" i="15"/>
  <c r="AX1048" i="15"/>
  <c r="AP1049" i="15"/>
  <c r="AN1049" i="15"/>
  <c r="AT1049" i="15"/>
  <c r="AU1049" i="15"/>
  <c r="AV1049" i="15"/>
  <c r="AX1049" i="15"/>
  <c r="AP1050" i="15"/>
  <c r="AN1050" i="15"/>
  <c r="AT1050" i="15"/>
  <c r="AU1050" i="15"/>
  <c r="AV1050" i="15"/>
  <c r="AX1050" i="15"/>
  <c r="AP1051" i="15"/>
  <c r="AN1051" i="15"/>
  <c r="AT1051" i="15"/>
  <c r="AU1051" i="15"/>
  <c r="AV1051" i="15"/>
  <c r="AX1051" i="15"/>
  <c r="AO1052" i="15"/>
  <c r="AN1052" i="15"/>
  <c r="AT1052" i="15"/>
  <c r="AU1052" i="15"/>
  <c r="AV1052" i="15"/>
  <c r="AX1052" i="15"/>
  <c r="AZ1053" i="15"/>
  <c r="AN1053" i="15"/>
  <c r="AT1053" i="15"/>
  <c r="AU1053" i="15"/>
  <c r="AV1053" i="15"/>
  <c r="AX1053" i="15"/>
  <c r="AP1054" i="15"/>
  <c r="AN1054" i="15"/>
  <c r="AT1054" i="15"/>
  <c r="AU1054" i="15"/>
  <c r="AV1054" i="15"/>
  <c r="AX1054" i="15"/>
  <c r="AP1055" i="15"/>
  <c r="AN1055" i="15"/>
  <c r="AT1055" i="15"/>
  <c r="AU1055" i="15"/>
  <c r="AV1055" i="15"/>
  <c r="AX1055" i="15"/>
  <c r="AP1056" i="15"/>
  <c r="AN1056" i="15"/>
  <c r="AT1056" i="15"/>
  <c r="AU1056" i="15"/>
  <c r="AV1056" i="15"/>
  <c r="AX1056" i="15"/>
  <c r="AZ1057" i="15"/>
  <c r="AN1057" i="15"/>
  <c r="AT1057" i="15"/>
  <c r="AU1057" i="15"/>
  <c r="AV1057" i="15"/>
  <c r="AX1057" i="15"/>
  <c r="AP1058" i="15"/>
  <c r="AN1058" i="15"/>
  <c r="AT1058" i="15"/>
  <c r="AU1058" i="15"/>
  <c r="AV1058" i="15"/>
  <c r="AX1058" i="15"/>
  <c r="AP1059" i="15"/>
  <c r="AN1059" i="15"/>
  <c r="AT1059" i="15"/>
  <c r="AU1059" i="15"/>
  <c r="AV1059" i="15"/>
  <c r="AX1059" i="15"/>
  <c r="AS1060" i="15"/>
  <c r="AN1060" i="15"/>
  <c r="AT1060" i="15"/>
  <c r="AU1060" i="15"/>
  <c r="AV1060" i="15"/>
  <c r="AX1060" i="15"/>
  <c r="AP1061" i="15"/>
  <c r="AN1061" i="15"/>
  <c r="AT1061" i="15"/>
  <c r="AU1061" i="15"/>
  <c r="AV1061" i="15"/>
  <c r="AX1061" i="15"/>
  <c r="AP1062" i="15"/>
  <c r="AN1062" i="15"/>
  <c r="AT1062" i="15"/>
  <c r="AU1062" i="15"/>
  <c r="AV1062" i="15"/>
  <c r="AX1062" i="15"/>
  <c r="AP1063" i="15"/>
  <c r="AN1063" i="15"/>
  <c r="AT1063" i="15"/>
  <c r="AU1063" i="15"/>
  <c r="AV1063" i="15"/>
  <c r="AX1063" i="15"/>
  <c r="AP1064" i="15"/>
  <c r="AN1064" i="15"/>
  <c r="AT1064" i="15"/>
  <c r="AU1064" i="15"/>
  <c r="AV1064" i="15"/>
  <c r="AX1064" i="15"/>
  <c r="AQ1065" i="15"/>
  <c r="AN1065" i="15"/>
  <c r="AT1065" i="15"/>
  <c r="AU1065" i="15"/>
  <c r="AV1065" i="15"/>
  <c r="AX1065" i="15"/>
  <c r="AP1066" i="15"/>
  <c r="AN1066" i="15"/>
  <c r="AT1066" i="15"/>
  <c r="AU1066" i="15"/>
  <c r="AV1066" i="15"/>
  <c r="AX1066" i="15"/>
  <c r="AP1067" i="15"/>
  <c r="AN1067" i="15"/>
  <c r="AT1067" i="15"/>
  <c r="AU1067" i="15"/>
  <c r="AV1067" i="15"/>
  <c r="AX1067" i="15"/>
  <c r="AQ1068" i="15"/>
  <c r="AN1068" i="15"/>
  <c r="AT1068" i="15"/>
  <c r="AU1068" i="15"/>
  <c r="AV1068" i="15"/>
  <c r="AX1068" i="15"/>
  <c r="AO1069" i="15"/>
  <c r="AN1069" i="15"/>
  <c r="AT1069" i="15"/>
  <c r="AU1069" i="15"/>
  <c r="AV1069" i="15"/>
  <c r="AX1069" i="15"/>
  <c r="AP1070" i="15"/>
  <c r="AN1070" i="15"/>
  <c r="AT1070" i="15"/>
  <c r="AU1070" i="15"/>
  <c r="AV1070" i="15"/>
  <c r="AX1070" i="15"/>
  <c r="AP1071" i="15"/>
  <c r="AN1071" i="15"/>
  <c r="AT1071" i="15"/>
  <c r="AU1071" i="15"/>
  <c r="AV1071" i="15"/>
  <c r="AX1071" i="15"/>
  <c r="AO1072" i="15"/>
  <c r="AN1072" i="15"/>
  <c r="AT1072" i="15"/>
  <c r="AU1072" i="15"/>
  <c r="AV1072" i="15"/>
  <c r="AX1072" i="15"/>
  <c r="AO1073" i="15"/>
  <c r="AN1073" i="15"/>
  <c r="AT1073" i="15"/>
  <c r="AU1073" i="15"/>
  <c r="AV1073" i="15"/>
  <c r="AX1073" i="15"/>
  <c r="AP1074" i="15"/>
  <c r="AN1074" i="15"/>
  <c r="AT1074" i="15"/>
  <c r="AU1074" i="15"/>
  <c r="AV1074" i="15"/>
  <c r="AX1074" i="15"/>
  <c r="AP1075" i="15"/>
  <c r="AN1075" i="15"/>
  <c r="AT1075" i="15"/>
  <c r="AU1075" i="15"/>
  <c r="AV1075" i="15"/>
  <c r="AX1075" i="15"/>
  <c r="AO1076" i="15"/>
  <c r="AN1076" i="15"/>
  <c r="AT1076" i="15"/>
  <c r="AU1076" i="15"/>
  <c r="AV1076" i="15"/>
  <c r="AX1076" i="15"/>
  <c r="AZ1077" i="15"/>
  <c r="AN1077" i="15"/>
  <c r="AT1077" i="15"/>
  <c r="AU1077" i="15"/>
  <c r="AV1077" i="15"/>
  <c r="AX1077" i="15"/>
  <c r="AQ990" i="15"/>
  <c r="AN990" i="15"/>
  <c r="AT990" i="15"/>
  <c r="AU990" i="15"/>
  <c r="AV990" i="15"/>
  <c r="AX990" i="15"/>
  <c r="AQ991" i="15"/>
  <c r="AN991" i="15"/>
  <c r="AT991" i="15"/>
  <c r="AU991" i="15"/>
  <c r="AV991" i="15"/>
  <c r="AX991" i="15"/>
  <c r="AP992" i="15"/>
  <c r="AN992" i="15"/>
  <c r="AT992" i="15"/>
  <c r="AU992" i="15"/>
  <c r="AV992" i="15"/>
  <c r="AX992" i="15"/>
  <c r="AO993" i="15"/>
  <c r="AN993" i="15"/>
  <c r="AT993" i="15"/>
  <c r="AU993" i="15"/>
  <c r="AV993" i="15"/>
  <c r="AX993" i="15"/>
  <c r="AO994" i="15"/>
  <c r="AN994" i="15"/>
  <c r="AT994" i="15"/>
  <c r="AU994" i="15"/>
  <c r="AV994" i="15"/>
  <c r="AX994" i="15"/>
  <c r="AS995" i="15"/>
  <c r="AN995" i="15"/>
  <c r="AT995" i="15"/>
  <c r="AU995" i="15"/>
  <c r="AV995" i="15"/>
  <c r="AX995" i="15"/>
  <c r="AP996" i="15"/>
  <c r="AN996" i="15"/>
  <c r="AT996" i="15"/>
  <c r="AU996" i="15"/>
  <c r="AV996" i="15"/>
  <c r="AX996" i="15"/>
  <c r="AO997" i="15"/>
  <c r="AN997" i="15"/>
  <c r="AT997" i="15"/>
  <c r="AU997" i="15"/>
  <c r="AV997" i="15"/>
  <c r="AX997" i="15"/>
  <c r="AO998" i="15"/>
  <c r="AN998" i="15"/>
  <c r="AT998" i="15"/>
  <c r="AU998" i="15"/>
  <c r="AV998" i="15"/>
  <c r="AX998" i="15"/>
  <c r="AS999" i="15"/>
  <c r="AN999" i="15"/>
  <c r="AT999" i="15"/>
  <c r="AU999" i="15"/>
  <c r="AV999" i="15"/>
  <c r="AX999" i="15"/>
  <c r="AP1000" i="15"/>
  <c r="AN1000" i="15"/>
  <c r="AT1000" i="15"/>
  <c r="AU1000" i="15"/>
  <c r="AV1000" i="15"/>
  <c r="AX1000" i="15"/>
  <c r="AO1001" i="15"/>
  <c r="AN1001" i="15"/>
  <c r="AT1001" i="15"/>
  <c r="AU1001" i="15"/>
  <c r="AV1001" i="15"/>
  <c r="AX1001" i="15"/>
  <c r="AO1002" i="15"/>
  <c r="AN1002" i="15"/>
  <c r="AT1002" i="15"/>
  <c r="AU1002" i="15"/>
  <c r="AV1002" i="15"/>
  <c r="AX1002" i="15"/>
  <c r="AP1003" i="15"/>
  <c r="AN1003" i="15"/>
  <c r="AT1003" i="15"/>
  <c r="AU1003" i="15"/>
  <c r="AV1003" i="15"/>
  <c r="AX1003" i="15"/>
  <c r="AP1004" i="15"/>
  <c r="AN1004" i="15"/>
  <c r="AT1004" i="15"/>
  <c r="AU1004" i="15"/>
  <c r="AV1004" i="15"/>
  <c r="AX1004" i="15"/>
  <c r="AO1005" i="15"/>
  <c r="AN1005" i="15"/>
  <c r="AT1005" i="15"/>
  <c r="AU1005" i="15"/>
  <c r="AV1005" i="15"/>
  <c r="AX1005" i="15"/>
  <c r="AO1006" i="15"/>
  <c r="AN1006" i="15"/>
  <c r="AT1006" i="15"/>
  <c r="AU1006" i="15"/>
  <c r="AV1006" i="15"/>
  <c r="AX1006" i="15"/>
  <c r="AO1007" i="15"/>
  <c r="AN1007" i="15"/>
  <c r="AT1007" i="15"/>
  <c r="AU1007" i="15"/>
  <c r="AV1007" i="15"/>
  <c r="AX1007" i="15"/>
  <c r="AP1008" i="15"/>
  <c r="AN1008" i="15"/>
  <c r="AT1008" i="15"/>
  <c r="AU1008" i="15"/>
  <c r="AV1008" i="15"/>
  <c r="AX1008" i="15"/>
  <c r="AO1009" i="15"/>
  <c r="AN1009" i="15"/>
  <c r="AT1009" i="15"/>
  <c r="AU1009" i="15"/>
  <c r="AV1009" i="15"/>
  <c r="AX1009" i="15"/>
  <c r="AP1010" i="15"/>
  <c r="AN1010" i="15"/>
  <c r="AT1010" i="15"/>
  <c r="AU1010" i="15"/>
  <c r="AV1010" i="15"/>
  <c r="AX1010" i="15"/>
  <c r="AO1011" i="15"/>
  <c r="AN1011" i="15"/>
  <c r="AT1011" i="15"/>
  <c r="AU1011" i="15"/>
  <c r="AV1011" i="15"/>
  <c r="AX1011" i="15"/>
  <c r="AP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N795" i="15"/>
  <c r="AT795" i="15"/>
  <c r="AU795" i="15"/>
  <c r="AV795" i="15"/>
  <c r="AX795" i="15"/>
  <c r="AZ796" i="15"/>
  <c r="AN796" i="15"/>
  <c r="AT796" i="15"/>
  <c r="AU796" i="15"/>
  <c r="AV796" i="15"/>
  <c r="AX796" i="15"/>
  <c r="AS797" i="15"/>
  <c r="AN797" i="15"/>
  <c r="AT797" i="15"/>
  <c r="AU797" i="15"/>
  <c r="AV797" i="15"/>
  <c r="AX797" i="15"/>
  <c r="AP798" i="15"/>
  <c r="AN798" i="15"/>
  <c r="AT798" i="15"/>
  <c r="AU798" i="15"/>
  <c r="AV798" i="15"/>
  <c r="AX798" i="15"/>
  <c r="AZ799" i="15"/>
  <c r="AN799" i="15"/>
  <c r="AT799" i="15"/>
  <c r="AU799" i="15"/>
  <c r="AV799" i="15"/>
  <c r="AX799" i="15"/>
  <c r="AN800" i="15"/>
  <c r="AT800" i="15"/>
  <c r="AU800" i="15"/>
  <c r="AV800" i="15"/>
  <c r="AX800" i="15"/>
  <c r="AZ801" i="15"/>
  <c r="AN801" i="15"/>
  <c r="AT801" i="15"/>
  <c r="AU801" i="15"/>
  <c r="AV801" i="15"/>
  <c r="AX801" i="15"/>
  <c r="AZ802" i="15"/>
  <c r="AN802" i="15"/>
  <c r="AT802" i="15"/>
  <c r="AU802" i="15"/>
  <c r="AV802" i="15"/>
  <c r="AX802" i="15"/>
  <c r="AZ803" i="15"/>
  <c r="AN803" i="15"/>
  <c r="AT803" i="15"/>
  <c r="AU803" i="15"/>
  <c r="AV803" i="15"/>
  <c r="AX803" i="15"/>
  <c r="AO804" i="15"/>
  <c r="AN804" i="15"/>
  <c r="AT804" i="15"/>
  <c r="AU804" i="15"/>
  <c r="AV804" i="15"/>
  <c r="AX804" i="15"/>
  <c r="AO805" i="15"/>
  <c r="AN805" i="15"/>
  <c r="AT805" i="15"/>
  <c r="AU805" i="15"/>
  <c r="AV805" i="15"/>
  <c r="AX805" i="15"/>
  <c r="AO806" i="15"/>
  <c r="AN806" i="15"/>
  <c r="AT806" i="15"/>
  <c r="AU806" i="15"/>
  <c r="AV806" i="15"/>
  <c r="AX806" i="15"/>
  <c r="AN807" i="15"/>
  <c r="AT807" i="15"/>
  <c r="AU807" i="15"/>
  <c r="AV807" i="15"/>
  <c r="AX807" i="15"/>
  <c r="AS808" i="15"/>
  <c r="AN808" i="15"/>
  <c r="AT808" i="15"/>
  <c r="AU808" i="15"/>
  <c r="AV808" i="15"/>
  <c r="AX808" i="15"/>
  <c r="AZ809" i="15"/>
  <c r="AN809" i="15"/>
  <c r="AT809" i="15"/>
  <c r="AU809" i="15"/>
  <c r="AV809" i="15"/>
  <c r="AX809" i="15"/>
  <c r="AO810" i="15"/>
  <c r="AN810" i="15"/>
  <c r="AT810" i="15"/>
  <c r="AU810" i="15"/>
  <c r="AV810" i="15"/>
  <c r="AX810" i="15"/>
  <c r="AS811" i="15"/>
  <c r="AN811" i="15"/>
  <c r="AT811" i="15"/>
  <c r="AU811" i="15"/>
  <c r="AV811" i="15"/>
  <c r="AX811" i="15"/>
  <c r="AZ812" i="15"/>
  <c r="AN812" i="15"/>
  <c r="AT812" i="15"/>
  <c r="AU812" i="15"/>
  <c r="AV812" i="15"/>
  <c r="AX812" i="15"/>
  <c r="AO813" i="15"/>
  <c r="AN813" i="15"/>
  <c r="AT813" i="15"/>
  <c r="AU813" i="15"/>
  <c r="AV813" i="15"/>
  <c r="AX813" i="15"/>
  <c r="AN814" i="15"/>
  <c r="AT814" i="15"/>
  <c r="AU814" i="15"/>
  <c r="AV814" i="15"/>
  <c r="AX814" i="15"/>
  <c r="AP815" i="15"/>
  <c r="AN815" i="15"/>
  <c r="AT815" i="15"/>
  <c r="AU815" i="15"/>
  <c r="AV815" i="15"/>
  <c r="AX815" i="15"/>
  <c r="AO816" i="15"/>
  <c r="AN816" i="15"/>
  <c r="AT816" i="15"/>
  <c r="AU816" i="15"/>
  <c r="AV816" i="15"/>
  <c r="AX816" i="15"/>
  <c r="AZ817" i="15"/>
  <c r="AN817" i="15"/>
  <c r="AT817" i="15"/>
  <c r="AU817" i="15"/>
  <c r="AV817" i="15"/>
  <c r="AX817" i="15"/>
  <c r="AN818" i="15"/>
  <c r="AT818" i="15"/>
  <c r="AU818" i="15"/>
  <c r="AV818" i="15"/>
  <c r="AX818" i="15"/>
  <c r="AN819" i="15"/>
  <c r="AT819" i="15"/>
  <c r="AU819" i="15"/>
  <c r="AV819" i="15"/>
  <c r="AX819" i="15"/>
  <c r="AN820" i="15"/>
  <c r="AT820" i="15"/>
  <c r="AU820" i="15"/>
  <c r="AV820" i="15"/>
  <c r="AX820" i="15"/>
  <c r="AN821" i="15"/>
  <c r="AT821" i="15"/>
  <c r="AU821" i="15"/>
  <c r="AV821" i="15"/>
  <c r="AX821" i="15"/>
  <c r="AO822" i="15"/>
  <c r="AN822" i="15"/>
  <c r="AT822" i="15"/>
  <c r="AU822" i="15"/>
  <c r="AV822" i="15"/>
  <c r="AX822" i="15"/>
  <c r="AQ823" i="15"/>
  <c r="AN823" i="15"/>
  <c r="AT823" i="15"/>
  <c r="AU823" i="15"/>
  <c r="AV823" i="15"/>
  <c r="AX823" i="15"/>
  <c r="AZ824" i="15"/>
  <c r="AN824" i="15"/>
  <c r="AT824" i="15"/>
  <c r="AU824" i="15"/>
  <c r="AV824" i="15"/>
  <c r="AX824" i="15"/>
  <c r="AZ825" i="15"/>
  <c r="AN825" i="15"/>
  <c r="AT825" i="15"/>
  <c r="AU825" i="15"/>
  <c r="AV825" i="15"/>
  <c r="AX825" i="15"/>
  <c r="AN826" i="15"/>
  <c r="AT826" i="15"/>
  <c r="AU826" i="15"/>
  <c r="AV826" i="15"/>
  <c r="AX826" i="15"/>
  <c r="AP827" i="15"/>
  <c r="AN827" i="15"/>
  <c r="AT827" i="15"/>
  <c r="AU827" i="15"/>
  <c r="AV827" i="15"/>
  <c r="AX827" i="15"/>
  <c r="AS828" i="15"/>
  <c r="AN828" i="15"/>
  <c r="AT828" i="15"/>
  <c r="AU828" i="15"/>
  <c r="AV828" i="15"/>
  <c r="AX828" i="15"/>
  <c r="AZ829" i="15"/>
  <c r="AN829" i="15"/>
  <c r="AT829" i="15"/>
  <c r="AU829" i="15"/>
  <c r="AV829" i="15"/>
  <c r="AX829" i="15"/>
  <c r="AN830" i="15"/>
  <c r="AT830" i="15"/>
  <c r="AU830" i="15"/>
  <c r="AV830" i="15"/>
  <c r="AX830" i="15"/>
  <c r="AS831" i="15"/>
  <c r="AN831" i="15"/>
  <c r="AT831" i="15"/>
  <c r="AU831" i="15"/>
  <c r="AV831" i="15"/>
  <c r="AX831" i="15"/>
  <c r="AO832" i="15"/>
  <c r="AN832" i="15"/>
  <c r="AT832" i="15"/>
  <c r="AU832" i="15"/>
  <c r="AV832" i="15"/>
  <c r="AX832" i="15"/>
  <c r="AS833" i="15"/>
  <c r="AN833" i="15"/>
  <c r="AT833" i="15"/>
  <c r="AU833" i="15"/>
  <c r="AV833" i="15"/>
  <c r="AX833" i="15"/>
  <c r="AO834" i="15"/>
  <c r="AN834" i="15"/>
  <c r="AT834" i="15"/>
  <c r="AU834" i="15"/>
  <c r="AV834" i="15"/>
  <c r="AX834" i="15"/>
  <c r="AZ835" i="15"/>
  <c r="AN835" i="15"/>
  <c r="AT835" i="15"/>
  <c r="AU835" i="15"/>
  <c r="AV835" i="15"/>
  <c r="AX835" i="15"/>
  <c r="AO836" i="15"/>
  <c r="AN836" i="15"/>
  <c r="AT836" i="15"/>
  <c r="AU836" i="15"/>
  <c r="AV836" i="15"/>
  <c r="AX836" i="15"/>
  <c r="AN837" i="15"/>
  <c r="AT837" i="15"/>
  <c r="AU837" i="15"/>
  <c r="AV837" i="15"/>
  <c r="AX837" i="15"/>
  <c r="AO838" i="15"/>
  <c r="AN838" i="15"/>
  <c r="AT838" i="15"/>
  <c r="AU838" i="15"/>
  <c r="AV838" i="15"/>
  <c r="AX838" i="15"/>
  <c r="AZ839" i="15"/>
  <c r="AN839" i="15"/>
  <c r="AT839" i="15"/>
  <c r="AU839" i="15"/>
  <c r="AV839" i="15"/>
  <c r="AX839" i="15"/>
  <c r="AQ840" i="15"/>
  <c r="AN840" i="15"/>
  <c r="AT840" i="15"/>
  <c r="AU840" i="15"/>
  <c r="AV840" i="15"/>
  <c r="AX840" i="15"/>
  <c r="AS841" i="15"/>
  <c r="AN841" i="15"/>
  <c r="AT841" i="15"/>
  <c r="AU841" i="15"/>
  <c r="AV841" i="15"/>
  <c r="AX841" i="15"/>
  <c r="AZ842" i="15"/>
  <c r="AN842" i="15"/>
  <c r="AT842" i="15"/>
  <c r="AU842" i="15"/>
  <c r="AV842" i="15"/>
  <c r="AX842" i="15"/>
  <c r="AS843" i="15"/>
  <c r="AN843" i="15"/>
  <c r="AT843" i="15"/>
  <c r="AU843" i="15"/>
  <c r="AV843" i="15"/>
  <c r="AX843" i="15"/>
  <c r="AN844" i="15"/>
  <c r="AT844" i="15"/>
  <c r="AU844" i="15"/>
  <c r="AV844" i="15"/>
  <c r="AX844" i="15"/>
  <c r="AS845" i="15"/>
  <c r="AN845" i="15"/>
  <c r="AT845" i="15"/>
  <c r="AU845" i="15"/>
  <c r="AV845" i="15"/>
  <c r="AX845" i="15"/>
  <c r="AN846" i="15"/>
  <c r="AT846" i="15"/>
  <c r="AU846" i="15"/>
  <c r="AV846" i="15"/>
  <c r="AX846" i="15"/>
  <c r="AS847" i="15"/>
  <c r="AN847" i="15"/>
  <c r="AT847" i="15"/>
  <c r="AU847" i="15"/>
  <c r="AV847" i="15"/>
  <c r="AX847" i="15"/>
  <c r="AO848" i="15"/>
  <c r="AN848" i="15"/>
  <c r="AT848" i="15"/>
  <c r="AU848" i="15"/>
  <c r="AV848" i="15"/>
  <c r="AX848" i="15"/>
  <c r="AO849" i="15"/>
  <c r="AN849" i="15"/>
  <c r="AT849" i="15"/>
  <c r="AU849" i="15"/>
  <c r="AV849" i="15"/>
  <c r="AX849" i="15"/>
  <c r="AS850" i="15"/>
  <c r="AN850" i="15"/>
  <c r="AT850" i="15"/>
  <c r="AU850" i="15"/>
  <c r="AV850" i="15"/>
  <c r="AX850" i="15"/>
  <c r="AN851" i="15"/>
  <c r="AT851" i="15"/>
  <c r="AU851" i="15"/>
  <c r="AV851" i="15"/>
  <c r="AX851" i="15"/>
  <c r="AP852" i="15"/>
  <c r="AN852" i="15"/>
  <c r="AT852" i="15"/>
  <c r="AU852" i="15"/>
  <c r="AV852" i="15"/>
  <c r="AX852" i="15"/>
  <c r="AP853" i="15"/>
  <c r="AN853" i="15"/>
  <c r="AT853" i="15"/>
  <c r="AU853" i="15"/>
  <c r="AV853" i="15"/>
  <c r="AX853" i="15"/>
  <c r="AS854" i="15"/>
  <c r="AN854" i="15"/>
  <c r="AT854" i="15"/>
  <c r="AU854" i="15"/>
  <c r="AV854" i="15"/>
  <c r="AX854" i="15"/>
  <c r="AQ855" i="15"/>
  <c r="AN855" i="15"/>
  <c r="AT855" i="15"/>
  <c r="AU855" i="15"/>
  <c r="AV855" i="15"/>
  <c r="AX855" i="15"/>
  <c r="AP856" i="15"/>
  <c r="AN856" i="15"/>
  <c r="AT856" i="15"/>
  <c r="AU856" i="15"/>
  <c r="AV856" i="15"/>
  <c r="AX856" i="15"/>
  <c r="AP857" i="15"/>
  <c r="AN857" i="15"/>
  <c r="AT857" i="15"/>
  <c r="AU857" i="15"/>
  <c r="AV857" i="15"/>
  <c r="AX857" i="15"/>
  <c r="AS858" i="15"/>
  <c r="AN858" i="15"/>
  <c r="AT858" i="15"/>
  <c r="AU858" i="15"/>
  <c r="AV858" i="15"/>
  <c r="AX858" i="15"/>
  <c r="AN859" i="15"/>
  <c r="AT859" i="15"/>
  <c r="AU859" i="15"/>
  <c r="AV859" i="15"/>
  <c r="AX859" i="15"/>
  <c r="AN860" i="15"/>
  <c r="AT860" i="15"/>
  <c r="AU860" i="15"/>
  <c r="AV860" i="15"/>
  <c r="AX860" i="15"/>
  <c r="AO861" i="15"/>
  <c r="AN861" i="15"/>
  <c r="AT861" i="15"/>
  <c r="AU861" i="15"/>
  <c r="AV861" i="15"/>
  <c r="AX861" i="15"/>
  <c r="AO862" i="15"/>
  <c r="AN862" i="15"/>
  <c r="AT862" i="15"/>
  <c r="AU862" i="15"/>
  <c r="AV862" i="15"/>
  <c r="AX862" i="15"/>
  <c r="AP863" i="15"/>
  <c r="AN863" i="15"/>
  <c r="AT863" i="15"/>
  <c r="AU863" i="15"/>
  <c r="AV863" i="15"/>
  <c r="AX863" i="15"/>
  <c r="AS864" i="15"/>
  <c r="AN864" i="15"/>
  <c r="AT864" i="15"/>
  <c r="AU864" i="15"/>
  <c r="AV864" i="15"/>
  <c r="AX864" i="15"/>
  <c r="AN865" i="15"/>
  <c r="AT865" i="15"/>
  <c r="AU865" i="15"/>
  <c r="AV865" i="15"/>
  <c r="AX865" i="15"/>
  <c r="AN866" i="15"/>
  <c r="AT866" i="15"/>
  <c r="AU866" i="15"/>
  <c r="AV866" i="15"/>
  <c r="AX866" i="15"/>
  <c r="AP867" i="15"/>
  <c r="AN867" i="15"/>
  <c r="AT867" i="15"/>
  <c r="AU867" i="15"/>
  <c r="AV867" i="15"/>
  <c r="AX867" i="15"/>
  <c r="AZ868" i="15"/>
  <c r="AN868" i="15"/>
  <c r="AT868" i="15"/>
  <c r="AU868" i="15"/>
  <c r="AV868" i="15"/>
  <c r="AX868" i="15"/>
  <c r="AO869" i="15"/>
  <c r="AN869" i="15"/>
  <c r="AT869" i="15"/>
  <c r="AU869" i="15"/>
  <c r="AV869" i="15"/>
  <c r="AX869" i="15"/>
  <c r="AN870" i="15"/>
  <c r="AT870" i="15"/>
  <c r="AU870" i="15"/>
  <c r="AV870" i="15"/>
  <c r="AX870" i="15"/>
  <c r="AZ871" i="15"/>
  <c r="AN871" i="15"/>
  <c r="AT871" i="15"/>
  <c r="AU871" i="15"/>
  <c r="AV871" i="15"/>
  <c r="AX871" i="15"/>
  <c r="AZ872" i="15"/>
  <c r="AN872" i="15"/>
  <c r="AT872" i="15"/>
  <c r="AU872" i="15"/>
  <c r="AV872" i="15"/>
  <c r="AX872" i="15"/>
  <c r="AN873" i="15"/>
  <c r="AT873" i="15"/>
  <c r="AU873" i="15"/>
  <c r="AV873" i="15"/>
  <c r="AX873" i="15"/>
  <c r="AS874" i="15"/>
  <c r="AN874" i="15"/>
  <c r="AT874" i="15"/>
  <c r="AU874" i="15"/>
  <c r="AV874" i="15"/>
  <c r="AX874" i="15"/>
  <c r="AN875" i="15"/>
  <c r="AT875" i="15"/>
  <c r="AU875" i="15"/>
  <c r="AV875" i="15"/>
  <c r="AX875" i="15"/>
  <c r="AN876" i="15"/>
  <c r="AT876" i="15"/>
  <c r="AU876" i="15"/>
  <c r="AV876" i="15"/>
  <c r="AX876" i="15"/>
  <c r="AP877" i="15"/>
  <c r="AN877" i="15"/>
  <c r="AT877" i="15"/>
  <c r="AU877" i="15"/>
  <c r="AV877" i="15"/>
  <c r="AX877" i="15"/>
  <c r="AS878" i="15"/>
  <c r="AN878" i="15"/>
  <c r="AT878" i="15"/>
  <c r="AU878" i="15"/>
  <c r="AV878" i="15"/>
  <c r="AX878" i="15"/>
  <c r="AS879" i="15"/>
  <c r="AN879" i="15"/>
  <c r="AT879" i="15"/>
  <c r="AU879" i="15"/>
  <c r="AV879" i="15"/>
  <c r="AX879" i="15"/>
  <c r="AN880" i="15"/>
  <c r="AT880" i="15"/>
  <c r="AU880" i="15"/>
  <c r="AV880" i="15"/>
  <c r="AX880" i="15"/>
  <c r="AO881" i="15"/>
  <c r="AN881" i="15"/>
  <c r="AT881" i="15"/>
  <c r="AU881" i="15"/>
  <c r="AV881" i="15"/>
  <c r="AX881" i="15"/>
  <c r="AO882" i="15"/>
  <c r="AN882" i="15"/>
  <c r="AT882" i="15"/>
  <c r="AU882" i="15"/>
  <c r="AV882" i="15"/>
  <c r="AX882" i="15"/>
  <c r="AO883" i="15"/>
  <c r="AN883" i="15"/>
  <c r="AT883" i="15"/>
  <c r="AU883" i="15"/>
  <c r="AV883" i="15"/>
  <c r="AX883" i="15"/>
  <c r="AO884" i="15"/>
  <c r="AN884" i="15"/>
  <c r="AT884" i="15"/>
  <c r="AU884" i="15"/>
  <c r="AV884" i="15"/>
  <c r="AX884" i="15"/>
  <c r="AP885" i="15"/>
  <c r="AN885" i="15"/>
  <c r="AT885" i="15"/>
  <c r="AU885" i="15"/>
  <c r="AV885" i="15"/>
  <c r="AX885" i="15"/>
  <c r="AN886" i="15"/>
  <c r="AT886" i="15"/>
  <c r="AU886" i="15"/>
  <c r="AV886" i="15"/>
  <c r="AX886" i="15"/>
  <c r="AN887" i="15"/>
  <c r="AT887" i="15"/>
  <c r="AU887" i="15"/>
  <c r="AV887" i="15"/>
  <c r="AX887" i="15"/>
  <c r="AN888" i="15"/>
  <c r="AT888" i="15"/>
  <c r="AU888" i="15"/>
  <c r="AV888" i="15"/>
  <c r="AX888" i="15"/>
  <c r="AN889" i="15"/>
  <c r="AT889" i="15"/>
  <c r="AU889" i="15"/>
  <c r="AV889" i="15"/>
  <c r="AX889" i="15"/>
  <c r="AS890" i="15"/>
  <c r="AN890" i="15"/>
  <c r="AT890" i="15"/>
  <c r="AU890" i="15"/>
  <c r="AV890" i="15"/>
  <c r="AX890" i="15"/>
  <c r="AN891" i="15"/>
  <c r="AT891" i="15"/>
  <c r="AU891" i="15"/>
  <c r="AV891" i="15"/>
  <c r="AX891" i="15"/>
  <c r="AO892" i="15"/>
  <c r="AN892" i="15"/>
  <c r="AT892" i="15"/>
  <c r="AU892" i="15"/>
  <c r="AV892" i="15"/>
  <c r="AX892" i="15"/>
  <c r="AO893" i="15"/>
  <c r="AN893" i="15"/>
  <c r="AT893" i="15"/>
  <c r="AU893" i="15"/>
  <c r="AV893" i="15"/>
  <c r="AX893" i="15"/>
  <c r="AN894" i="15"/>
  <c r="AT894" i="15"/>
  <c r="AU894" i="15"/>
  <c r="AV894" i="15"/>
  <c r="AX894" i="15"/>
  <c r="AP895" i="15"/>
  <c r="AN895" i="15"/>
  <c r="AT895" i="15"/>
  <c r="AU895" i="15"/>
  <c r="AV895" i="15"/>
  <c r="AX895" i="15"/>
  <c r="AZ896" i="15"/>
  <c r="AN896" i="15"/>
  <c r="AT896" i="15"/>
  <c r="AU896" i="15"/>
  <c r="AV896" i="15"/>
  <c r="AX896" i="15"/>
  <c r="AP897" i="15"/>
  <c r="AN897" i="15"/>
  <c r="AT897" i="15"/>
  <c r="AU897" i="15"/>
  <c r="AV897" i="15"/>
  <c r="AX897" i="15"/>
  <c r="AN898" i="15"/>
  <c r="AT898" i="15"/>
  <c r="AU898" i="15"/>
  <c r="AV898" i="15"/>
  <c r="AX898" i="15"/>
  <c r="AZ899" i="15"/>
  <c r="AN899" i="15"/>
  <c r="AT899" i="15"/>
  <c r="AU899" i="15"/>
  <c r="AV899" i="15"/>
  <c r="AX899" i="15"/>
  <c r="AO900" i="15"/>
  <c r="AN900" i="15"/>
  <c r="AT900" i="15"/>
  <c r="AU900" i="15"/>
  <c r="AV900" i="15"/>
  <c r="AX900" i="15"/>
  <c r="AP901" i="15"/>
  <c r="AN901" i="15"/>
  <c r="AT901" i="15"/>
  <c r="AU901" i="15"/>
  <c r="AV901" i="15"/>
  <c r="AX901" i="15"/>
  <c r="AN902" i="15"/>
  <c r="AT902" i="15"/>
  <c r="AU902" i="15"/>
  <c r="AV902" i="15"/>
  <c r="AX902" i="15"/>
  <c r="AN903" i="15"/>
  <c r="AT903" i="15"/>
  <c r="AU903" i="15"/>
  <c r="AV903" i="15"/>
  <c r="AX903" i="15"/>
  <c r="AQ904" i="15"/>
  <c r="AN904" i="15"/>
  <c r="AT904" i="15"/>
  <c r="AU904" i="15"/>
  <c r="AV904" i="15"/>
  <c r="AX904" i="15"/>
  <c r="AN905" i="15"/>
  <c r="AT905" i="15"/>
  <c r="AU905" i="15"/>
  <c r="AV905" i="15"/>
  <c r="AX905" i="15"/>
  <c r="AO906" i="15"/>
  <c r="AN906" i="15"/>
  <c r="AT906" i="15"/>
  <c r="AU906" i="15"/>
  <c r="AV906" i="15"/>
  <c r="AX906" i="15"/>
  <c r="AZ907" i="15"/>
  <c r="AN907" i="15"/>
  <c r="AT907" i="15"/>
  <c r="AU907" i="15"/>
  <c r="AV907" i="15"/>
  <c r="AX907" i="15"/>
  <c r="AN908" i="15"/>
  <c r="AT908" i="15"/>
  <c r="AU908" i="15"/>
  <c r="AV908" i="15"/>
  <c r="AX908" i="15"/>
  <c r="AN909" i="15"/>
  <c r="AT909" i="15"/>
  <c r="AU909" i="15"/>
  <c r="AV909" i="15"/>
  <c r="AX909" i="15"/>
  <c r="AQ910" i="15"/>
  <c r="AN910" i="15"/>
  <c r="AT910" i="15"/>
  <c r="AU910" i="15"/>
  <c r="AV910" i="15"/>
  <c r="AX910" i="15"/>
  <c r="AZ911" i="15"/>
  <c r="AN911" i="15"/>
  <c r="AT911" i="15"/>
  <c r="AU911" i="15"/>
  <c r="AV911" i="15"/>
  <c r="AX911" i="15"/>
  <c r="AS912" i="15"/>
  <c r="AN912" i="15"/>
  <c r="AT912" i="15"/>
  <c r="AU912" i="15"/>
  <c r="AV912" i="15"/>
  <c r="AX912" i="15"/>
  <c r="AS913" i="15"/>
  <c r="AN913" i="15"/>
  <c r="AT913" i="15"/>
  <c r="AU913" i="15"/>
  <c r="AV913" i="15"/>
  <c r="AX913" i="15"/>
  <c r="AN914" i="15"/>
  <c r="AT914" i="15"/>
  <c r="AU914" i="15"/>
  <c r="AV914" i="15"/>
  <c r="AX914" i="15"/>
  <c r="AZ915" i="15"/>
  <c r="AN915" i="15"/>
  <c r="AT915" i="15"/>
  <c r="AU915" i="15"/>
  <c r="AV915" i="15"/>
  <c r="AX915" i="15"/>
  <c r="AO916" i="15"/>
  <c r="AN916" i="15"/>
  <c r="AT916" i="15"/>
  <c r="AU916" i="15"/>
  <c r="AV916" i="15"/>
  <c r="AX916" i="15"/>
  <c r="AN917" i="15"/>
  <c r="AT917" i="15"/>
  <c r="AU917" i="15"/>
  <c r="AV917" i="15"/>
  <c r="AX917" i="15"/>
  <c r="AQ918" i="15"/>
  <c r="AN918" i="15"/>
  <c r="AT918" i="15"/>
  <c r="AU918" i="15"/>
  <c r="AV918" i="15"/>
  <c r="AX918" i="15"/>
  <c r="AZ919" i="15"/>
  <c r="AN919" i="15"/>
  <c r="AT919" i="15"/>
  <c r="AU919" i="15"/>
  <c r="AV919" i="15"/>
  <c r="AX919" i="15"/>
  <c r="AO920" i="15"/>
  <c r="AN920" i="15"/>
  <c r="AT920" i="15"/>
  <c r="AU920" i="15"/>
  <c r="AV920" i="15"/>
  <c r="AX920" i="15"/>
  <c r="AS921" i="15"/>
  <c r="AN921" i="15"/>
  <c r="AT921" i="15"/>
  <c r="AU921" i="15"/>
  <c r="AV921" i="15"/>
  <c r="AX921" i="15"/>
  <c r="AN922" i="15"/>
  <c r="AT922" i="15"/>
  <c r="AU922" i="15"/>
  <c r="AV922" i="15"/>
  <c r="AX922" i="15"/>
  <c r="AN923" i="15"/>
  <c r="AT923" i="15"/>
  <c r="AU923" i="15"/>
  <c r="AV923" i="15"/>
  <c r="AX923" i="15"/>
  <c r="AN924" i="15"/>
  <c r="AT924" i="15"/>
  <c r="AU924" i="15"/>
  <c r="AV924" i="15"/>
  <c r="AX924" i="15"/>
  <c r="AS925" i="15"/>
  <c r="AN925" i="15"/>
  <c r="AT925" i="15"/>
  <c r="AU925" i="15"/>
  <c r="AV925" i="15"/>
  <c r="AX925" i="15"/>
  <c r="AN926" i="15"/>
  <c r="AT926" i="15"/>
  <c r="AU926" i="15"/>
  <c r="AV926" i="15"/>
  <c r="AX926" i="15"/>
  <c r="AZ927" i="15"/>
  <c r="AN927" i="15"/>
  <c r="AT927" i="15"/>
  <c r="AU927" i="15"/>
  <c r="AV927" i="15"/>
  <c r="AX927" i="15"/>
  <c r="AN928" i="15"/>
  <c r="AT928" i="15"/>
  <c r="AU928" i="15"/>
  <c r="AV928" i="15"/>
  <c r="AX928" i="15"/>
  <c r="AS929" i="15"/>
  <c r="AN929" i="15"/>
  <c r="AT929" i="15"/>
  <c r="AU929" i="15"/>
  <c r="AV929" i="15"/>
  <c r="AX929" i="15"/>
  <c r="AN930" i="15"/>
  <c r="AT930" i="15"/>
  <c r="AU930" i="15"/>
  <c r="AV930" i="15"/>
  <c r="AX930" i="15"/>
  <c r="AS931" i="15"/>
  <c r="AN931" i="15"/>
  <c r="AT931" i="15"/>
  <c r="AU931" i="15"/>
  <c r="AV931" i="15"/>
  <c r="AX931" i="15"/>
  <c r="AQ932" i="15"/>
  <c r="AN932" i="15"/>
  <c r="AT932" i="15"/>
  <c r="AU932" i="15"/>
  <c r="AV932" i="15"/>
  <c r="AX932" i="15"/>
  <c r="AN933" i="15"/>
  <c r="AT933" i="15"/>
  <c r="AU933" i="15"/>
  <c r="AV933" i="15"/>
  <c r="AX933" i="15"/>
  <c r="AZ934" i="15"/>
  <c r="AN934" i="15"/>
  <c r="AT934" i="15"/>
  <c r="AU934" i="15"/>
  <c r="AV934" i="15"/>
  <c r="AX934" i="15"/>
  <c r="AZ935" i="15"/>
  <c r="AN935" i="15"/>
  <c r="AT935" i="15"/>
  <c r="AU935" i="15"/>
  <c r="AV935" i="15"/>
  <c r="AX935" i="15"/>
  <c r="AN936" i="15"/>
  <c r="AT936" i="15"/>
  <c r="AU936" i="15"/>
  <c r="AV936" i="15"/>
  <c r="AX936" i="15"/>
  <c r="AS937" i="15"/>
  <c r="AN937" i="15"/>
  <c r="AT937" i="15"/>
  <c r="AU937" i="15"/>
  <c r="AV937" i="15"/>
  <c r="AX937" i="15"/>
  <c r="AN938" i="15"/>
  <c r="AT938" i="15"/>
  <c r="AU938" i="15"/>
  <c r="AV938" i="15"/>
  <c r="AX938" i="15"/>
  <c r="AN939" i="15"/>
  <c r="AT939" i="15"/>
  <c r="AU939" i="15"/>
  <c r="AV939" i="15"/>
  <c r="AX939" i="15"/>
  <c r="AO940" i="15"/>
  <c r="AN940" i="15"/>
  <c r="AT940" i="15"/>
  <c r="AU940" i="15"/>
  <c r="AV940" i="15"/>
  <c r="AX940" i="15"/>
  <c r="AS941" i="15"/>
  <c r="AN941" i="15"/>
  <c r="AT941" i="15"/>
  <c r="AU941" i="15"/>
  <c r="AV941" i="15"/>
  <c r="AX941" i="15"/>
  <c r="AZ942" i="15"/>
  <c r="AN942" i="15"/>
  <c r="AT942" i="15"/>
  <c r="AU942" i="15"/>
  <c r="AV942" i="15"/>
  <c r="AX942" i="15"/>
  <c r="AZ943" i="15"/>
  <c r="AN943" i="15"/>
  <c r="AT943" i="15"/>
  <c r="AU943" i="15"/>
  <c r="AV943" i="15"/>
  <c r="AX943" i="15"/>
  <c r="AQ944" i="15"/>
  <c r="AN944" i="15"/>
  <c r="AT944" i="15"/>
  <c r="AU944" i="15"/>
  <c r="AV944" i="15"/>
  <c r="AX944" i="15"/>
  <c r="AS945" i="15"/>
  <c r="AN945" i="15"/>
  <c r="AT945" i="15"/>
  <c r="AU945" i="15"/>
  <c r="AV945" i="15"/>
  <c r="AX945" i="15"/>
  <c r="AQ946" i="15"/>
  <c r="AN946" i="15"/>
  <c r="AT946" i="15"/>
  <c r="AU946" i="15"/>
  <c r="AV946" i="15"/>
  <c r="AX946" i="15"/>
  <c r="AS947" i="15"/>
  <c r="AN947" i="15"/>
  <c r="AT947" i="15"/>
  <c r="AU947" i="15"/>
  <c r="AV947" i="15"/>
  <c r="AX947" i="15"/>
  <c r="AQ948" i="15"/>
  <c r="AN948" i="15"/>
  <c r="AT948" i="15"/>
  <c r="AU948" i="15"/>
  <c r="AV948" i="15"/>
  <c r="AX948" i="15"/>
  <c r="AN949" i="15"/>
  <c r="AT949" i="15"/>
  <c r="AU949" i="15"/>
  <c r="AV949" i="15"/>
  <c r="AX949" i="15"/>
  <c r="AZ950" i="15"/>
  <c r="AN950" i="15"/>
  <c r="AT950" i="15"/>
  <c r="AU950" i="15"/>
  <c r="AV950" i="15"/>
  <c r="AX950" i="15"/>
  <c r="AZ951" i="15"/>
  <c r="AN951" i="15"/>
  <c r="AT951" i="15"/>
  <c r="AU951" i="15"/>
  <c r="AV951" i="15"/>
  <c r="AX951" i="15"/>
  <c r="AN952" i="15"/>
  <c r="AT952" i="15"/>
  <c r="AU952" i="15"/>
  <c r="AV952" i="15"/>
  <c r="AX952" i="15"/>
  <c r="AS953" i="15"/>
  <c r="AN953" i="15"/>
  <c r="AT953" i="15"/>
  <c r="AU953" i="15"/>
  <c r="AV953" i="15"/>
  <c r="AX953" i="15"/>
  <c r="AN954" i="15"/>
  <c r="AT954" i="15"/>
  <c r="AU954" i="15"/>
  <c r="AV954" i="15"/>
  <c r="AX954" i="15"/>
  <c r="AN955" i="15"/>
  <c r="AT955" i="15"/>
  <c r="AU955" i="15"/>
  <c r="AV955" i="15"/>
  <c r="AX955" i="15"/>
  <c r="AQ956" i="15"/>
  <c r="AN956" i="15"/>
  <c r="AT956" i="15"/>
  <c r="AU956" i="15"/>
  <c r="AV956" i="15"/>
  <c r="AX956" i="15"/>
  <c r="AN957" i="15"/>
  <c r="AT957" i="15"/>
  <c r="AU957" i="15"/>
  <c r="AV957" i="15"/>
  <c r="AX957" i="15"/>
  <c r="AQ958" i="15"/>
  <c r="AN958" i="15"/>
  <c r="AT958" i="15"/>
  <c r="AU958" i="15"/>
  <c r="AV958" i="15"/>
  <c r="AX958" i="15"/>
  <c r="AZ959" i="15"/>
  <c r="AN959" i="15"/>
  <c r="AT959" i="15"/>
  <c r="AU959" i="15"/>
  <c r="AV959" i="15"/>
  <c r="AX959" i="15"/>
  <c r="AO960" i="15"/>
  <c r="AN960" i="15"/>
  <c r="AT960" i="15"/>
  <c r="AU960" i="15"/>
  <c r="AV960" i="15"/>
  <c r="AX960" i="15"/>
  <c r="AS961" i="15"/>
  <c r="AN961" i="15"/>
  <c r="AT961" i="15"/>
  <c r="AU961" i="15"/>
  <c r="AV961" i="15"/>
  <c r="AX961" i="15"/>
  <c r="AQ962" i="15"/>
  <c r="AN962" i="15"/>
  <c r="AT962" i="15"/>
  <c r="AU962" i="15"/>
  <c r="AV962" i="15"/>
  <c r="AX962" i="15"/>
  <c r="AO963" i="15"/>
  <c r="AN963" i="15"/>
  <c r="AT963" i="15"/>
  <c r="AU963" i="15"/>
  <c r="AV963" i="15"/>
  <c r="AX963" i="15"/>
  <c r="AO964" i="15"/>
  <c r="AN964" i="15"/>
  <c r="AT964" i="15"/>
  <c r="AU964" i="15"/>
  <c r="AV964" i="15"/>
  <c r="AX964" i="15"/>
  <c r="AS965" i="15"/>
  <c r="AN965" i="15"/>
  <c r="AT965" i="15"/>
  <c r="AU965" i="15"/>
  <c r="AV965" i="15"/>
  <c r="AX965" i="15"/>
  <c r="AN966" i="15"/>
  <c r="AT966" i="15"/>
  <c r="AU966" i="15"/>
  <c r="AV966" i="15"/>
  <c r="AX966" i="15"/>
  <c r="AZ967" i="15"/>
  <c r="AN967" i="15"/>
  <c r="AT967" i="15"/>
  <c r="AU967" i="15"/>
  <c r="AV967" i="15"/>
  <c r="AX967" i="15"/>
  <c r="AZ968" i="15"/>
  <c r="AN968" i="15"/>
  <c r="AT968" i="15"/>
  <c r="AU968" i="15"/>
  <c r="AV968" i="15"/>
  <c r="AX968" i="15"/>
  <c r="AS969" i="15"/>
  <c r="AN969" i="15"/>
  <c r="AT969" i="15"/>
  <c r="AU969" i="15"/>
  <c r="AV969" i="15"/>
  <c r="AX969" i="15"/>
  <c r="AQ970" i="15"/>
  <c r="AN970" i="15"/>
  <c r="AT970" i="15"/>
  <c r="AU970" i="15"/>
  <c r="AV970" i="15"/>
  <c r="AX970" i="15"/>
  <c r="AO971" i="15"/>
  <c r="AN971" i="15"/>
  <c r="AT971" i="15"/>
  <c r="AU971" i="15"/>
  <c r="AV971" i="15"/>
  <c r="AX971" i="15"/>
  <c r="AN972" i="15"/>
  <c r="AT972" i="15"/>
  <c r="AU972" i="15"/>
  <c r="AV972" i="15"/>
  <c r="AX972" i="15"/>
  <c r="AN973" i="15"/>
  <c r="AT973" i="15"/>
  <c r="AU973" i="15"/>
  <c r="AV973" i="15"/>
  <c r="AX973" i="15"/>
  <c r="AN974" i="15"/>
  <c r="AT974" i="15"/>
  <c r="AU974" i="15"/>
  <c r="AV974" i="15"/>
  <c r="AX974" i="15"/>
  <c r="AZ975" i="15"/>
  <c r="AN975" i="15"/>
  <c r="AT975" i="15"/>
  <c r="AU975" i="15"/>
  <c r="AV975" i="15"/>
  <c r="AX975" i="15"/>
  <c r="AZ976" i="15"/>
  <c r="AN976" i="15"/>
  <c r="AT976" i="15"/>
  <c r="AU976" i="15"/>
  <c r="AV976" i="15"/>
  <c r="AX976" i="15"/>
  <c r="AS977" i="15"/>
  <c r="AN977" i="15"/>
  <c r="AT977" i="15"/>
  <c r="AU977" i="15"/>
  <c r="AV977" i="15"/>
  <c r="AX977" i="15"/>
  <c r="AN978" i="15"/>
  <c r="AT978" i="15"/>
  <c r="AU978" i="15"/>
  <c r="AV978" i="15"/>
  <c r="AX978" i="15"/>
  <c r="AS979" i="15"/>
  <c r="AN979" i="15"/>
  <c r="AT979" i="15"/>
  <c r="AU979" i="15"/>
  <c r="AV979" i="15"/>
  <c r="AX979" i="15"/>
  <c r="AN980" i="15"/>
  <c r="AT980" i="15"/>
  <c r="AU980" i="15"/>
  <c r="AV980" i="15"/>
  <c r="AX980" i="15"/>
  <c r="AN981" i="15"/>
  <c r="AT981" i="15"/>
  <c r="AU981" i="15"/>
  <c r="AV981" i="15"/>
  <c r="AX981" i="15"/>
  <c r="AS982" i="15"/>
  <c r="AN982" i="15"/>
  <c r="AT982" i="15"/>
  <c r="AU982" i="15"/>
  <c r="AV982" i="15"/>
  <c r="AX982" i="15"/>
  <c r="AZ983" i="15"/>
  <c r="AN983" i="15"/>
  <c r="AT983" i="15"/>
  <c r="AU983" i="15"/>
  <c r="AV983" i="15"/>
  <c r="AX983" i="15"/>
  <c r="AQ984" i="15"/>
  <c r="AN984" i="15"/>
  <c r="AT984" i="15"/>
  <c r="AU984" i="15"/>
  <c r="AV984" i="15"/>
  <c r="AX984" i="15"/>
  <c r="AS985" i="15"/>
  <c r="AN985" i="15"/>
  <c r="AT985" i="15"/>
  <c r="AU985" i="15"/>
  <c r="AV985" i="15"/>
  <c r="AX985" i="15"/>
  <c r="AN986" i="15"/>
  <c r="AT986" i="15"/>
  <c r="AU986" i="15"/>
  <c r="AV986" i="15"/>
  <c r="AX986" i="15"/>
  <c r="AP987" i="15"/>
  <c r="AN987" i="15"/>
  <c r="AT987" i="15"/>
  <c r="AU987" i="15"/>
  <c r="AV987" i="15"/>
  <c r="AX987" i="15"/>
  <c r="AO988" i="15"/>
  <c r="AN988" i="15"/>
  <c r="AT988" i="15"/>
  <c r="AU988" i="15"/>
  <c r="AV988" i="15"/>
  <c r="AX988" i="15"/>
  <c r="AS989" i="15"/>
  <c r="AN989" i="15"/>
  <c r="AT989" i="15"/>
  <c r="AU989" i="15"/>
  <c r="AV989" i="15"/>
  <c r="AX989" i="15"/>
  <c r="AQ3" i="15"/>
  <c r="AN3" i="15"/>
  <c r="AT3" i="15"/>
  <c r="AU3" i="15"/>
  <c r="AV3" i="15"/>
  <c r="AX3" i="15"/>
  <c r="AQ4" i="15"/>
  <c r="AN4" i="15"/>
  <c r="AT4" i="15"/>
  <c r="AU4" i="15"/>
  <c r="AV4" i="15"/>
  <c r="AX4" i="15"/>
  <c r="AN5" i="15"/>
  <c r="AT5" i="15"/>
  <c r="AU5" i="15"/>
  <c r="AV5" i="15"/>
  <c r="AX5" i="15"/>
  <c r="AN6" i="15"/>
  <c r="AT6" i="15"/>
  <c r="AU6" i="15"/>
  <c r="AV6" i="15"/>
  <c r="AX6" i="15"/>
  <c r="AN7" i="15"/>
  <c r="AT7" i="15"/>
  <c r="AU7" i="15"/>
  <c r="AV7" i="15"/>
  <c r="AX7" i="15"/>
  <c r="AN8" i="15"/>
  <c r="AT8" i="15"/>
  <c r="AU8" i="15"/>
  <c r="AV8" i="15"/>
  <c r="AX8" i="15"/>
  <c r="AO9" i="15"/>
  <c r="AN9" i="15"/>
  <c r="AT9" i="15"/>
  <c r="AU9" i="15"/>
  <c r="AV9" i="15"/>
  <c r="AX9" i="15"/>
  <c r="AO10" i="15"/>
  <c r="AN10" i="15"/>
  <c r="AT10" i="15"/>
  <c r="AU10" i="15"/>
  <c r="AV10" i="15"/>
  <c r="AX10" i="15"/>
  <c r="AO11" i="15"/>
  <c r="AN11" i="15"/>
  <c r="AT11" i="15"/>
  <c r="AU11" i="15"/>
  <c r="AV11" i="15"/>
  <c r="AX11" i="15"/>
  <c r="AN12" i="15"/>
  <c r="AT12" i="15"/>
  <c r="AU12" i="15"/>
  <c r="AV12" i="15"/>
  <c r="AX12" i="15"/>
  <c r="AZ13" i="15"/>
  <c r="AN13" i="15"/>
  <c r="AT13" i="15"/>
  <c r="AU13" i="15"/>
  <c r="AV13" i="15"/>
  <c r="AX13" i="15"/>
  <c r="AO14" i="15"/>
  <c r="AN14" i="15"/>
  <c r="AT14" i="15"/>
  <c r="AU14" i="15"/>
  <c r="AV14" i="15"/>
  <c r="AX14" i="15"/>
  <c r="AN15" i="15"/>
  <c r="AT15" i="15"/>
  <c r="AU15" i="15"/>
  <c r="AV15" i="15"/>
  <c r="AX15" i="15"/>
  <c r="AN16" i="15"/>
  <c r="AT16" i="15"/>
  <c r="AU16" i="15"/>
  <c r="AV16" i="15"/>
  <c r="AX16" i="15"/>
  <c r="AO17" i="15"/>
  <c r="AN17" i="15"/>
  <c r="AT17" i="15"/>
  <c r="AU17" i="15"/>
  <c r="AV17" i="15"/>
  <c r="AX17" i="15"/>
  <c r="AO18" i="15"/>
  <c r="AN18" i="15"/>
  <c r="AT18" i="15"/>
  <c r="AU18" i="15"/>
  <c r="AV18" i="15"/>
  <c r="AX18" i="15"/>
  <c r="AP19" i="15"/>
  <c r="AN19" i="15"/>
  <c r="AT19" i="15"/>
  <c r="AU19" i="15"/>
  <c r="AV19" i="15"/>
  <c r="AX19" i="15"/>
  <c r="AN20" i="15"/>
  <c r="AT20" i="15"/>
  <c r="AU20" i="15"/>
  <c r="AV20" i="15"/>
  <c r="AX20" i="15"/>
  <c r="AO21" i="15"/>
  <c r="AN21" i="15"/>
  <c r="AT21" i="15"/>
  <c r="AU21" i="15"/>
  <c r="AV21" i="15"/>
  <c r="AX21" i="15"/>
  <c r="AN22" i="15"/>
  <c r="AT22" i="15"/>
  <c r="AU22" i="15"/>
  <c r="AV22" i="15"/>
  <c r="AX22" i="15"/>
  <c r="AN23" i="15"/>
  <c r="AT23" i="15"/>
  <c r="AU23" i="15"/>
  <c r="AV23" i="15"/>
  <c r="AX23" i="15"/>
  <c r="AN24" i="15"/>
  <c r="AT24" i="15"/>
  <c r="AU24" i="15"/>
  <c r="AV24" i="15"/>
  <c r="AX24" i="15"/>
  <c r="AN25" i="15"/>
  <c r="AT25" i="15"/>
  <c r="AU25" i="15"/>
  <c r="AV25" i="15"/>
  <c r="AX25" i="15"/>
  <c r="AZ26" i="15"/>
  <c r="AN26" i="15"/>
  <c r="AT26" i="15"/>
  <c r="AU26" i="15"/>
  <c r="AV26" i="15"/>
  <c r="AX26" i="15"/>
  <c r="AQ27" i="15"/>
  <c r="AN27" i="15"/>
  <c r="AT27" i="15"/>
  <c r="AU27" i="15"/>
  <c r="AV27" i="15"/>
  <c r="AX27" i="15"/>
  <c r="AS28" i="15"/>
  <c r="AN28" i="15"/>
  <c r="AT28" i="15"/>
  <c r="AU28" i="15"/>
  <c r="AV28" i="15"/>
  <c r="AX28" i="15"/>
  <c r="AN29" i="15"/>
  <c r="AT29" i="15"/>
  <c r="AU29" i="15"/>
  <c r="AV29" i="15"/>
  <c r="AX29" i="15"/>
  <c r="AN30" i="15"/>
  <c r="AT30" i="15"/>
  <c r="AU30" i="15"/>
  <c r="AV30" i="15"/>
  <c r="AX30" i="15"/>
  <c r="AZ31" i="15"/>
  <c r="AN31" i="15"/>
  <c r="AT31" i="15"/>
  <c r="AU31" i="15"/>
  <c r="AV31" i="15"/>
  <c r="AX31" i="15"/>
  <c r="AN32" i="15"/>
  <c r="AT32" i="15"/>
  <c r="AU32" i="15"/>
  <c r="AV32" i="15"/>
  <c r="AX32" i="15"/>
  <c r="AO33" i="15"/>
  <c r="AN33" i="15"/>
  <c r="AT33" i="15"/>
  <c r="AU33" i="15"/>
  <c r="AV33" i="15"/>
  <c r="AX33" i="15"/>
  <c r="AN34" i="15"/>
  <c r="AT34" i="15"/>
  <c r="AU34" i="15"/>
  <c r="AV34" i="15"/>
  <c r="AX34" i="15"/>
  <c r="AO35" i="15"/>
  <c r="AN35" i="15"/>
  <c r="AT35" i="15"/>
  <c r="AU35" i="15"/>
  <c r="AV35" i="15"/>
  <c r="AX35" i="15"/>
  <c r="AZ36" i="15"/>
  <c r="AN36" i="15"/>
  <c r="AT36" i="15"/>
  <c r="AU36" i="15"/>
  <c r="AV36" i="15"/>
  <c r="AX36" i="15"/>
  <c r="AN37" i="15"/>
  <c r="AT37" i="15"/>
  <c r="AU37" i="15"/>
  <c r="AV37" i="15"/>
  <c r="AX37" i="15"/>
  <c r="AN38" i="15"/>
  <c r="AT38" i="15"/>
  <c r="AU38" i="15"/>
  <c r="AV38" i="15"/>
  <c r="AX38" i="15"/>
  <c r="AO39" i="15"/>
  <c r="AN39" i="15"/>
  <c r="AT39" i="15"/>
  <c r="AU39" i="15"/>
  <c r="AV39" i="15"/>
  <c r="AX39" i="15"/>
  <c r="AN40" i="15"/>
  <c r="AT40" i="15"/>
  <c r="AU40" i="15"/>
  <c r="AV40" i="15"/>
  <c r="AX40" i="15"/>
  <c r="AP41" i="15"/>
  <c r="AN41" i="15"/>
  <c r="AT41" i="15"/>
  <c r="AU41" i="15"/>
  <c r="AV41" i="15"/>
  <c r="AX41" i="15"/>
  <c r="AP42" i="15"/>
  <c r="AN42" i="15"/>
  <c r="AT42" i="15"/>
  <c r="AU42" i="15"/>
  <c r="AV42" i="15"/>
  <c r="AX42" i="15"/>
  <c r="AN43" i="15"/>
  <c r="AT43" i="15"/>
  <c r="AU43" i="15"/>
  <c r="AV43" i="15"/>
  <c r="AX43" i="15"/>
  <c r="AN44" i="15"/>
  <c r="AT44" i="15"/>
  <c r="AU44" i="15"/>
  <c r="AV44" i="15"/>
  <c r="AX44" i="15"/>
  <c r="AN45" i="15"/>
  <c r="AT45" i="15"/>
  <c r="AU45" i="15"/>
  <c r="AV45" i="15"/>
  <c r="AX45" i="15"/>
  <c r="AP46" i="15"/>
  <c r="AN46" i="15"/>
  <c r="AT46" i="15"/>
  <c r="AU46" i="15"/>
  <c r="AV46" i="15"/>
  <c r="AX46" i="15"/>
  <c r="AZ47" i="15"/>
  <c r="AN47" i="15"/>
  <c r="AT47" i="15"/>
  <c r="AU47" i="15"/>
  <c r="AV47" i="15"/>
  <c r="AX47" i="15"/>
  <c r="AZ48" i="15"/>
  <c r="AN48" i="15"/>
  <c r="AT48" i="15"/>
  <c r="AU48" i="15"/>
  <c r="AV48" i="15"/>
  <c r="AX48" i="15"/>
  <c r="AN49" i="15"/>
  <c r="AT49" i="15"/>
  <c r="AU49" i="15"/>
  <c r="AV49" i="15"/>
  <c r="AX49" i="15"/>
  <c r="AN50" i="15"/>
  <c r="AT50" i="15"/>
  <c r="AU50" i="15"/>
  <c r="AV50" i="15"/>
  <c r="AX50" i="15"/>
  <c r="AZ51" i="15"/>
  <c r="AN51" i="15"/>
  <c r="AT51" i="15"/>
  <c r="AU51" i="15"/>
  <c r="AV51" i="15"/>
  <c r="AX51" i="15"/>
  <c r="AZ52" i="15"/>
  <c r="AN52" i="15"/>
  <c r="AT52" i="15"/>
  <c r="AU52" i="15"/>
  <c r="AV52" i="15"/>
  <c r="AX52" i="15"/>
  <c r="AN53" i="15"/>
  <c r="AT53" i="15"/>
  <c r="AU53" i="15"/>
  <c r="AV53" i="15"/>
  <c r="AX53" i="15"/>
  <c r="AS54" i="15"/>
  <c r="AN54" i="15"/>
  <c r="AT54" i="15"/>
  <c r="AU54" i="15"/>
  <c r="AV54" i="15"/>
  <c r="AX54" i="15"/>
  <c r="AO55" i="15"/>
  <c r="AN55" i="15"/>
  <c r="AT55" i="15"/>
  <c r="AU55" i="15"/>
  <c r="AV55" i="15"/>
  <c r="AX55" i="15"/>
  <c r="AN56" i="15"/>
  <c r="AT56" i="15"/>
  <c r="AU56" i="15"/>
  <c r="AV56" i="15"/>
  <c r="AX56" i="15"/>
  <c r="AP57" i="15"/>
  <c r="AN57" i="15"/>
  <c r="AT57" i="15"/>
  <c r="AU57" i="15"/>
  <c r="AV57" i="15"/>
  <c r="AX57" i="15"/>
  <c r="AN58" i="15"/>
  <c r="AT58" i="15"/>
  <c r="AU58" i="15"/>
  <c r="AV58" i="15"/>
  <c r="AX58" i="15"/>
  <c r="AZ59" i="15"/>
  <c r="AN59" i="15"/>
  <c r="AT59" i="15"/>
  <c r="AU59" i="15"/>
  <c r="AV59" i="15"/>
  <c r="AX59" i="15"/>
  <c r="AO60" i="15"/>
  <c r="AN60" i="15"/>
  <c r="AT60" i="15"/>
  <c r="AU60" i="15"/>
  <c r="AV60" i="15"/>
  <c r="AX60" i="15"/>
  <c r="AN61" i="15"/>
  <c r="AT61" i="15"/>
  <c r="AU61" i="15"/>
  <c r="AV61" i="15"/>
  <c r="AX61" i="15"/>
  <c r="AS62" i="15"/>
  <c r="AN62" i="15"/>
  <c r="AT62" i="15"/>
  <c r="AU62" i="15"/>
  <c r="AV62" i="15"/>
  <c r="AX62" i="15"/>
  <c r="AS63" i="15"/>
  <c r="AN63" i="15"/>
  <c r="AT63" i="15"/>
  <c r="AU63" i="15"/>
  <c r="AV63" i="15"/>
  <c r="AX63" i="15"/>
  <c r="AN64" i="15"/>
  <c r="AT64" i="15"/>
  <c r="AU64" i="15"/>
  <c r="AV64" i="15"/>
  <c r="AX64" i="15"/>
  <c r="AN65" i="15"/>
  <c r="AT65" i="15"/>
  <c r="AU65" i="15"/>
  <c r="AV65" i="15"/>
  <c r="AX65" i="15"/>
  <c r="AP66" i="15"/>
  <c r="AN66" i="15"/>
  <c r="AT66" i="15"/>
  <c r="AU66" i="15"/>
  <c r="AV66" i="15"/>
  <c r="AX66" i="15"/>
  <c r="AZ67" i="15"/>
  <c r="AN67" i="15"/>
  <c r="AT67" i="15"/>
  <c r="AU67" i="15"/>
  <c r="AV67" i="15"/>
  <c r="AX67" i="15"/>
  <c r="AN68" i="15"/>
  <c r="AT68" i="15"/>
  <c r="AU68" i="15"/>
  <c r="AV68" i="15"/>
  <c r="AX68" i="15"/>
  <c r="AN69" i="15"/>
  <c r="AT69" i="15"/>
  <c r="AU69" i="15"/>
  <c r="AV69" i="15"/>
  <c r="AX69" i="15"/>
  <c r="AZ70" i="15"/>
  <c r="AN70" i="15"/>
  <c r="AT70" i="15"/>
  <c r="AU70" i="15"/>
  <c r="AV70" i="15"/>
  <c r="AX70" i="15"/>
  <c r="AQ71" i="15"/>
  <c r="AN71" i="15"/>
  <c r="AT71" i="15"/>
  <c r="AU71" i="15"/>
  <c r="AV71" i="15"/>
  <c r="AX71" i="15"/>
  <c r="AN72" i="15"/>
  <c r="AT72" i="15"/>
  <c r="AU72" i="15"/>
  <c r="AV72" i="15"/>
  <c r="AX72" i="15"/>
  <c r="AP73" i="15"/>
  <c r="AN73" i="15"/>
  <c r="AT73" i="15"/>
  <c r="AU73" i="15"/>
  <c r="AV73" i="15"/>
  <c r="AX73" i="15"/>
  <c r="AN74" i="15"/>
  <c r="AT74" i="15"/>
  <c r="AU74" i="15"/>
  <c r="AV74" i="15"/>
  <c r="AX74" i="15"/>
  <c r="AN75" i="15"/>
  <c r="AT75" i="15"/>
  <c r="AU75" i="15"/>
  <c r="AV75" i="15"/>
  <c r="AX75" i="15"/>
  <c r="AO76" i="15"/>
  <c r="AN76" i="15"/>
  <c r="AT76" i="15"/>
  <c r="AU76" i="15"/>
  <c r="AV76" i="15"/>
  <c r="AX76" i="15"/>
  <c r="AN77" i="15"/>
  <c r="AT77" i="15"/>
  <c r="AU77" i="15"/>
  <c r="AV77" i="15"/>
  <c r="AX77" i="15"/>
  <c r="AN78" i="15"/>
  <c r="AT78" i="15"/>
  <c r="AU78" i="15"/>
  <c r="AV78" i="15"/>
  <c r="AX78" i="15"/>
  <c r="AN79" i="15"/>
  <c r="AT79" i="15"/>
  <c r="AU79" i="15"/>
  <c r="AV79" i="15"/>
  <c r="AX79" i="15"/>
  <c r="AQ80" i="15"/>
  <c r="AN80" i="15"/>
  <c r="AT80" i="15"/>
  <c r="AU80" i="15"/>
  <c r="AV80" i="15"/>
  <c r="AX80" i="15"/>
  <c r="AS81" i="15"/>
  <c r="AN81" i="15"/>
  <c r="AT81" i="15"/>
  <c r="AU81" i="15"/>
  <c r="AV81" i="15"/>
  <c r="AX81" i="15"/>
  <c r="AN82" i="15"/>
  <c r="AT82" i="15"/>
  <c r="AU82" i="15"/>
  <c r="AV82" i="15"/>
  <c r="AX82" i="15"/>
  <c r="AN83" i="15"/>
  <c r="AT83" i="15"/>
  <c r="AU83" i="15"/>
  <c r="AV83" i="15"/>
  <c r="AX83" i="15"/>
  <c r="AS84" i="15"/>
  <c r="AN84" i="15"/>
  <c r="AT84" i="15"/>
  <c r="AU84" i="15"/>
  <c r="AV84" i="15"/>
  <c r="AX84" i="15"/>
  <c r="AZ85" i="15"/>
  <c r="AN85" i="15"/>
  <c r="AT85" i="15"/>
  <c r="AU85" i="15"/>
  <c r="AV85" i="15"/>
  <c r="AX85" i="15"/>
  <c r="AZ86" i="15"/>
  <c r="AN86" i="15"/>
  <c r="AT86" i="15"/>
  <c r="AU86" i="15"/>
  <c r="AV86" i="15"/>
  <c r="AX86" i="15"/>
  <c r="AN87" i="15"/>
  <c r="AT87" i="15"/>
  <c r="AU87" i="15"/>
  <c r="AV87" i="15"/>
  <c r="AX87" i="15"/>
  <c r="AN88" i="15"/>
  <c r="AT88" i="15"/>
  <c r="AU88" i="15"/>
  <c r="AV88" i="15"/>
  <c r="AX88" i="15"/>
  <c r="AN89" i="15"/>
  <c r="AT89" i="15"/>
  <c r="AU89" i="15"/>
  <c r="AV89" i="15"/>
  <c r="AX89" i="15"/>
  <c r="AN90" i="15"/>
  <c r="AT90" i="15"/>
  <c r="AU90" i="15"/>
  <c r="AV90" i="15"/>
  <c r="AX90" i="15"/>
  <c r="AP91" i="15"/>
  <c r="AN91" i="15"/>
  <c r="AT91" i="15"/>
  <c r="AU91" i="15"/>
  <c r="AV91" i="15"/>
  <c r="AX91" i="15"/>
  <c r="AN92" i="15"/>
  <c r="AT92" i="15"/>
  <c r="AU92" i="15"/>
  <c r="AV92" i="15"/>
  <c r="AX92" i="15"/>
  <c r="AO93" i="15"/>
  <c r="AN93" i="15"/>
  <c r="AT93" i="15"/>
  <c r="AU93" i="15"/>
  <c r="AV93" i="15"/>
  <c r="AX93" i="15"/>
  <c r="AS94" i="15"/>
  <c r="AN94" i="15"/>
  <c r="AT94" i="15"/>
  <c r="AU94" i="15"/>
  <c r="AV94" i="15"/>
  <c r="AX94" i="15"/>
  <c r="AN95" i="15"/>
  <c r="AT95" i="15"/>
  <c r="AU95" i="15"/>
  <c r="AV95" i="15"/>
  <c r="AX95" i="15"/>
  <c r="AO96" i="15"/>
  <c r="AN96" i="15"/>
  <c r="AT96" i="15"/>
  <c r="AU96" i="15"/>
  <c r="AV96" i="15"/>
  <c r="AX96" i="15"/>
  <c r="AO97" i="15"/>
  <c r="AN97" i="15"/>
  <c r="AT97" i="15"/>
  <c r="AU97" i="15"/>
  <c r="AV97" i="15"/>
  <c r="AX97" i="15"/>
  <c r="AN98" i="15"/>
  <c r="AT98" i="15"/>
  <c r="AU98" i="15"/>
  <c r="AV98" i="15"/>
  <c r="AX98" i="15"/>
  <c r="AO99" i="15"/>
  <c r="AN99" i="15"/>
  <c r="AT99" i="15"/>
  <c r="AU99" i="15"/>
  <c r="AV99" i="15"/>
  <c r="AX99" i="15"/>
  <c r="AO100" i="15"/>
  <c r="AN100" i="15"/>
  <c r="AT100" i="15"/>
  <c r="AU100" i="15"/>
  <c r="AV100" i="15"/>
  <c r="AX100" i="15"/>
  <c r="AZ101" i="15"/>
  <c r="AN101" i="15"/>
  <c r="AT101" i="15"/>
  <c r="AU101" i="15"/>
  <c r="AV101" i="15"/>
  <c r="AX101" i="15"/>
  <c r="AZ102" i="15"/>
  <c r="AN102" i="15"/>
  <c r="AT102" i="15"/>
  <c r="AU102" i="15"/>
  <c r="AV102" i="15"/>
  <c r="AX102" i="15"/>
  <c r="AZ103" i="15"/>
  <c r="AN103" i="15"/>
  <c r="AT103" i="15"/>
  <c r="AU103" i="15"/>
  <c r="AV103" i="15"/>
  <c r="AX103" i="15"/>
  <c r="AZ104" i="15"/>
  <c r="AN104" i="15"/>
  <c r="AT104" i="15"/>
  <c r="AU104" i="15"/>
  <c r="AV104" i="15"/>
  <c r="AX104" i="15"/>
  <c r="AS105" i="15"/>
  <c r="AN105" i="15"/>
  <c r="AT105" i="15"/>
  <c r="AU105" i="15"/>
  <c r="AV105" i="15"/>
  <c r="AX105" i="15"/>
  <c r="AZ106" i="15"/>
  <c r="AN106" i="15"/>
  <c r="AT106" i="15"/>
  <c r="AU106" i="15"/>
  <c r="AV106" i="15"/>
  <c r="AX106" i="15"/>
  <c r="AS107" i="15"/>
  <c r="AN107" i="15"/>
  <c r="AT107" i="15"/>
  <c r="AU107" i="15"/>
  <c r="AV107" i="15"/>
  <c r="AX107" i="15"/>
  <c r="AN108" i="15"/>
  <c r="AT108" i="15"/>
  <c r="AU108" i="15"/>
  <c r="AV108" i="15"/>
  <c r="AX108" i="15"/>
  <c r="AZ109" i="15"/>
  <c r="AN109" i="15"/>
  <c r="AT109" i="15"/>
  <c r="AU109" i="15"/>
  <c r="AV109" i="15"/>
  <c r="AX109" i="15"/>
  <c r="AZ110" i="15"/>
  <c r="AN110" i="15"/>
  <c r="AT110" i="15"/>
  <c r="AU110" i="15"/>
  <c r="AV110" i="15"/>
  <c r="AX110" i="15"/>
  <c r="AO111" i="15"/>
  <c r="AN111" i="15"/>
  <c r="AT111" i="15"/>
  <c r="AU111" i="15"/>
  <c r="AV111" i="15"/>
  <c r="AX111" i="15"/>
  <c r="AZ112" i="15"/>
  <c r="AN112" i="15"/>
  <c r="AT112" i="15"/>
  <c r="AU112" i="15"/>
  <c r="AV112" i="15"/>
  <c r="AX112" i="15"/>
  <c r="AN113" i="15"/>
  <c r="AT113" i="15"/>
  <c r="AU113" i="15"/>
  <c r="AV113" i="15"/>
  <c r="AX113" i="15"/>
  <c r="AN114" i="15"/>
  <c r="AT114" i="15"/>
  <c r="AU114" i="15"/>
  <c r="AV114" i="15"/>
  <c r="AX114" i="15"/>
  <c r="AQ115" i="15"/>
  <c r="AN115" i="15"/>
  <c r="AT115" i="15"/>
  <c r="AU115" i="15"/>
  <c r="AV115" i="15"/>
  <c r="AX115" i="15"/>
  <c r="AZ116" i="15"/>
  <c r="AN116" i="15"/>
  <c r="AT116" i="15"/>
  <c r="AU116" i="15"/>
  <c r="AV116" i="15"/>
  <c r="AX116" i="15"/>
  <c r="AQ117" i="15"/>
  <c r="AN117" i="15"/>
  <c r="AT117" i="15"/>
  <c r="AU117" i="15"/>
  <c r="AV117" i="15"/>
  <c r="AX117" i="15"/>
  <c r="AP118" i="15"/>
  <c r="AN118" i="15"/>
  <c r="AT118" i="15"/>
  <c r="AU118" i="15"/>
  <c r="AV118" i="15"/>
  <c r="AX118" i="15"/>
  <c r="AN119" i="15"/>
  <c r="AT119" i="15"/>
  <c r="AU119" i="15"/>
  <c r="AV119" i="15"/>
  <c r="AX119" i="15"/>
  <c r="AN120" i="15"/>
  <c r="AT120" i="15"/>
  <c r="AU120" i="15"/>
  <c r="AV120" i="15"/>
  <c r="AX120" i="15"/>
  <c r="AN121" i="15"/>
  <c r="AT121" i="15"/>
  <c r="AU121" i="15"/>
  <c r="AV121" i="15"/>
  <c r="AX121" i="15"/>
  <c r="AN122" i="15"/>
  <c r="AT122" i="15"/>
  <c r="AU122" i="15"/>
  <c r="AV122" i="15"/>
  <c r="AX122" i="15"/>
  <c r="AO123" i="15"/>
  <c r="AN123" i="15"/>
  <c r="AT123" i="15"/>
  <c r="AU123" i="15"/>
  <c r="AV123" i="15"/>
  <c r="AX123" i="15"/>
  <c r="AO124" i="15"/>
  <c r="AN124" i="15"/>
  <c r="AT124" i="15"/>
  <c r="AU124" i="15"/>
  <c r="AV124" i="15"/>
  <c r="AX124" i="15"/>
  <c r="AN125" i="15"/>
  <c r="AT125" i="15"/>
  <c r="AU125" i="15"/>
  <c r="AV125" i="15"/>
  <c r="AX125" i="15"/>
  <c r="AN126" i="15"/>
  <c r="AT126" i="15"/>
  <c r="AU126" i="15"/>
  <c r="AV126" i="15"/>
  <c r="AX126" i="15"/>
  <c r="AZ127" i="15"/>
  <c r="AN127" i="15"/>
  <c r="AT127" i="15"/>
  <c r="AU127" i="15"/>
  <c r="AV127" i="15"/>
  <c r="AX127" i="15"/>
  <c r="AQ128" i="15"/>
  <c r="AN128" i="15"/>
  <c r="AT128" i="15"/>
  <c r="AU128" i="15"/>
  <c r="AV128" i="15"/>
  <c r="AX128" i="15"/>
  <c r="AP129" i="15"/>
  <c r="AN129" i="15"/>
  <c r="AT129" i="15"/>
  <c r="AU129" i="15"/>
  <c r="AV129" i="15"/>
  <c r="AX129" i="15"/>
  <c r="AN130" i="15"/>
  <c r="AT130" i="15"/>
  <c r="AU130" i="15"/>
  <c r="AV130" i="15"/>
  <c r="AX130" i="15"/>
  <c r="AS131" i="15"/>
  <c r="AN131" i="15"/>
  <c r="AT131" i="15"/>
  <c r="AU131" i="15"/>
  <c r="AV131" i="15"/>
  <c r="AX131" i="15"/>
  <c r="AO132" i="15"/>
  <c r="AN132" i="15"/>
  <c r="AT132" i="15"/>
  <c r="AU132" i="15"/>
  <c r="AV132" i="15"/>
  <c r="AX132" i="15"/>
  <c r="AN133" i="15"/>
  <c r="AT133" i="15"/>
  <c r="AU133" i="15"/>
  <c r="AV133" i="15"/>
  <c r="AX133" i="15"/>
  <c r="AZ134" i="15"/>
  <c r="AN134" i="15"/>
  <c r="AT134" i="15"/>
  <c r="AU134" i="15"/>
  <c r="AV134" i="15"/>
  <c r="AX134" i="15"/>
  <c r="AN135" i="15"/>
  <c r="AT135" i="15"/>
  <c r="AU135" i="15"/>
  <c r="AV135" i="15"/>
  <c r="AX135" i="15"/>
  <c r="AN136" i="15"/>
  <c r="AT136" i="15"/>
  <c r="AU136" i="15"/>
  <c r="AV136" i="15"/>
  <c r="AX136" i="15"/>
  <c r="AS137" i="15"/>
  <c r="AN137" i="15"/>
  <c r="AT137" i="15"/>
  <c r="AU137" i="15"/>
  <c r="AV137" i="15"/>
  <c r="AX137" i="15"/>
  <c r="AN138" i="15"/>
  <c r="AT138" i="15"/>
  <c r="AU138" i="15"/>
  <c r="AV138" i="15"/>
  <c r="AX138" i="15"/>
  <c r="AO139" i="15"/>
  <c r="AN139" i="15"/>
  <c r="AT139" i="15"/>
  <c r="AU139" i="15"/>
  <c r="AV139" i="15"/>
  <c r="AX139" i="15"/>
  <c r="AO140" i="15"/>
  <c r="AN140" i="15"/>
  <c r="AT140" i="15"/>
  <c r="AU140" i="15"/>
  <c r="AV140" i="15"/>
  <c r="AX140" i="15"/>
  <c r="AN141" i="15"/>
  <c r="AT141" i="15"/>
  <c r="AU141" i="15"/>
  <c r="AV141" i="15"/>
  <c r="AX141" i="15"/>
  <c r="AN142" i="15"/>
  <c r="AT142" i="15"/>
  <c r="AU142" i="15"/>
  <c r="AV142" i="15"/>
  <c r="AX142" i="15"/>
  <c r="AZ143" i="15"/>
  <c r="AN143" i="15"/>
  <c r="AT143" i="15"/>
  <c r="AU143" i="15"/>
  <c r="AV143" i="15"/>
  <c r="AX143" i="15"/>
  <c r="AN144" i="15"/>
  <c r="AT144" i="15"/>
  <c r="AU144" i="15"/>
  <c r="AV144" i="15"/>
  <c r="AX144" i="15"/>
  <c r="AN145" i="15"/>
  <c r="AT145" i="15"/>
  <c r="AU145" i="15"/>
  <c r="AV145" i="15"/>
  <c r="AX145" i="15"/>
  <c r="AO146" i="15"/>
  <c r="AN146" i="15"/>
  <c r="AT146" i="15"/>
  <c r="AU146" i="15"/>
  <c r="AV146" i="15"/>
  <c r="AX146" i="15"/>
  <c r="AP147" i="15"/>
  <c r="AN147" i="15"/>
  <c r="AT147" i="15"/>
  <c r="AU147" i="15"/>
  <c r="AV147" i="15"/>
  <c r="AX147" i="15"/>
  <c r="AZ148" i="15"/>
  <c r="AN148" i="15"/>
  <c r="AT148" i="15"/>
  <c r="AU148" i="15"/>
  <c r="AV148" i="15"/>
  <c r="AX148" i="15"/>
  <c r="AN149" i="15"/>
  <c r="AT149" i="15"/>
  <c r="AU149" i="15"/>
  <c r="AV149" i="15"/>
  <c r="AX149" i="15"/>
  <c r="AN150" i="15"/>
  <c r="AT150" i="15"/>
  <c r="AU150" i="15"/>
  <c r="AV150" i="15"/>
  <c r="AX150" i="15"/>
  <c r="AZ151" i="15"/>
  <c r="AN151" i="15"/>
  <c r="AT151" i="15"/>
  <c r="AU151" i="15"/>
  <c r="AV151" i="15"/>
  <c r="AX151" i="15"/>
  <c r="AN152" i="15"/>
  <c r="AT152" i="15"/>
  <c r="AU152" i="15"/>
  <c r="AV152" i="15"/>
  <c r="AX152" i="15"/>
  <c r="AO153" i="15"/>
  <c r="AN153" i="15"/>
  <c r="AT153" i="15"/>
  <c r="AU153" i="15"/>
  <c r="AV153" i="15"/>
  <c r="AX153" i="15"/>
  <c r="AN154" i="15"/>
  <c r="AT154" i="15"/>
  <c r="AU154" i="15"/>
  <c r="AV154" i="15"/>
  <c r="AX154" i="15"/>
  <c r="AN155" i="15"/>
  <c r="AT155" i="15"/>
  <c r="AU155" i="15"/>
  <c r="AV155" i="15"/>
  <c r="AX155" i="15"/>
  <c r="AN156" i="15"/>
  <c r="AT156" i="15"/>
  <c r="AU156" i="15"/>
  <c r="AV156" i="15"/>
  <c r="AX156" i="15"/>
  <c r="AN157" i="15"/>
  <c r="AT157" i="15"/>
  <c r="AU157" i="15"/>
  <c r="AV157" i="15"/>
  <c r="AX157" i="15"/>
  <c r="AS158" i="15"/>
  <c r="AN158" i="15"/>
  <c r="AT158" i="15"/>
  <c r="AU158" i="15"/>
  <c r="AV158" i="15"/>
  <c r="AX158" i="15"/>
  <c r="AN159" i="15"/>
  <c r="AT159" i="15"/>
  <c r="AU159" i="15"/>
  <c r="AV159" i="15"/>
  <c r="AX159" i="15"/>
  <c r="AQ160" i="15"/>
  <c r="AN160" i="15"/>
  <c r="AT160" i="15"/>
  <c r="AU160" i="15"/>
  <c r="AV160" i="15"/>
  <c r="AX160" i="15"/>
  <c r="AN161" i="15"/>
  <c r="AT161" i="15"/>
  <c r="AU161" i="15"/>
  <c r="AV161" i="15"/>
  <c r="AX161" i="15"/>
  <c r="AN162" i="15"/>
  <c r="AT162" i="15"/>
  <c r="AU162" i="15"/>
  <c r="AV162" i="15"/>
  <c r="AX162" i="15"/>
  <c r="AS163" i="15"/>
  <c r="AN163" i="15"/>
  <c r="AT163" i="15"/>
  <c r="AU163" i="15"/>
  <c r="AV163" i="15"/>
  <c r="AX163" i="15"/>
  <c r="AN164" i="15"/>
  <c r="AT164" i="15"/>
  <c r="AU164" i="15"/>
  <c r="AV164" i="15"/>
  <c r="AX164" i="15"/>
  <c r="AN165" i="15"/>
  <c r="AT165" i="15"/>
  <c r="AU165" i="15"/>
  <c r="AV165" i="15"/>
  <c r="AX165" i="15"/>
  <c r="AN166" i="15"/>
  <c r="AT166" i="15"/>
  <c r="AU166" i="15"/>
  <c r="AV166" i="15"/>
  <c r="AX166" i="15"/>
  <c r="AZ167" i="15"/>
  <c r="AN167" i="15"/>
  <c r="AT167" i="15"/>
  <c r="AU167" i="15"/>
  <c r="AV167" i="15"/>
  <c r="AX167" i="15"/>
  <c r="AN168" i="15"/>
  <c r="AT168" i="15"/>
  <c r="AU168" i="15"/>
  <c r="AV168" i="15"/>
  <c r="AX168" i="15"/>
  <c r="AZ169" i="15"/>
  <c r="AN169" i="15"/>
  <c r="AT169" i="15"/>
  <c r="AU169" i="15"/>
  <c r="AV169" i="15"/>
  <c r="AX169" i="15"/>
  <c r="AN170" i="15"/>
  <c r="AT170" i="15"/>
  <c r="AU170" i="15"/>
  <c r="AV170" i="15"/>
  <c r="AX170" i="15"/>
  <c r="AQ171" i="15"/>
  <c r="AN171" i="15"/>
  <c r="AT171" i="15"/>
  <c r="AU171" i="15"/>
  <c r="AV171" i="15"/>
  <c r="AX171" i="15"/>
  <c r="AP172" i="15"/>
  <c r="AN172" i="15"/>
  <c r="AT172" i="15"/>
  <c r="AU172" i="15"/>
  <c r="AV172" i="15"/>
  <c r="AX172" i="15"/>
  <c r="AZ173" i="15"/>
  <c r="AN173" i="15"/>
  <c r="AT173" i="15"/>
  <c r="AU173" i="15"/>
  <c r="AV173" i="15"/>
  <c r="AX173" i="15"/>
  <c r="AN174" i="15"/>
  <c r="AT174" i="15"/>
  <c r="AU174" i="15"/>
  <c r="AV174" i="15"/>
  <c r="AX174" i="15"/>
  <c r="AN175" i="15"/>
  <c r="AT175" i="15"/>
  <c r="AU175" i="15"/>
  <c r="AV175" i="15"/>
  <c r="AX175" i="15"/>
  <c r="AO176" i="15"/>
  <c r="AN176" i="15"/>
  <c r="AT176" i="15"/>
  <c r="AU176" i="15"/>
  <c r="AV176" i="15"/>
  <c r="AX176" i="15"/>
  <c r="AZ177" i="15"/>
  <c r="AN177" i="15"/>
  <c r="AT177" i="15"/>
  <c r="AU177" i="15"/>
  <c r="AV177" i="15"/>
  <c r="AX177" i="15"/>
  <c r="AN178" i="15"/>
  <c r="AT178" i="15"/>
  <c r="AU178" i="15"/>
  <c r="AV178" i="15"/>
  <c r="AX178" i="15"/>
  <c r="AN179" i="15"/>
  <c r="AT179" i="15"/>
  <c r="AU179" i="15"/>
  <c r="AV179" i="15"/>
  <c r="AX179" i="15"/>
  <c r="AZ180" i="15"/>
  <c r="AN180" i="15"/>
  <c r="AT180" i="15"/>
  <c r="AU180" i="15"/>
  <c r="AV180" i="15"/>
  <c r="AX180" i="15"/>
  <c r="AS181" i="15"/>
  <c r="AN181" i="15"/>
  <c r="AT181" i="15"/>
  <c r="AU181" i="15"/>
  <c r="AV181" i="15"/>
  <c r="AX181" i="15"/>
  <c r="AO182" i="15"/>
  <c r="AN182" i="15"/>
  <c r="AT182" i="15"/>
  <c r="AU182" i="15"/>
  <c r="AV182" i="15"/>
  <c r="AX182" i="15"/>
  <c r="AZ183" i="15"/>
  <c r="AN183" i="15"/>
  <c r="AT183" i="15"/>
  <c r="AU183" i="15"/>
  <c r="AV183" i="15"/>
  <c r="AX183" i="15"/>
  <c r="AS184" i="15"/>
  <c r="AN184" i="15"/>
  <c r="AT184" i="15"/>
  <c r="AU184" i="15"/>
  <c r="AV184" i="15"/>
  <c r="AX184" i="15"/>
  <c r="AO185" i="15"/>
  <c r="AN185" i="15"/>
  <c r="AT185" i="15"/>
  <c r="AU185" i="15"/>
  <c r="AV185" i="15"/>
  <c r="AX185" i="15"/>
  <c r="AO186" i="15"/>
  <c r="AN186" i="15"/>
  <c r="AT186" i="15"/>
  <c r="AU186" i="15"/>
  <c r="AV186" i="15"/>
  <c r="AX186" i="15"/>
  <c r="AO187" i="15"/>
  <c r="AN187" i="15"/>
  <c r="AT187" i="15"/>
  <c r="AU187" i="15"/>
  <c r="AV187" i="15"/>
  <c r="AX187" i="15"/>
  <c r="AS188" i="15"/>
  <c r="AN188" i="15"/>
  <c r="AT188" i="15"/>
  <c r="AU188" i="15"/>
  <c r="AV188" i="15"/>
  <c r="AX188" i="15"/>
  <c r="AZ189" i="15"/>
  <c r="AN189" i="15"/>
  <c r="AT189" i="15"/>
  <c r="AU189" i="15"/>
  <c r="AV189" i="15"/>
  <c r="AX189" i="15"/>
  <c r="AN190" i="15"/>
  <c r="AT190" i="15"/>
  <c r="AU190" i="15"/>
  <c r="AV190" i="15"/>
  <c r="AX190" i="15"/>
  <c r="AZ191" i="15"/>
  <c r="AN191" i="15"/>
  <c r="AT191" i="15"/>
  <c r="AU191" i="15"/>
  <c r="AV191" i="15"/>
  <c r="AX191" i="15"/>
  <c r="AQ192" i="15"/>
  <c r="AN192" i="15"/>
  <c r="AT192" i="15"/>
  <c r="AU192" i="15"/>
  <c r="AV192" i="15"/>
  <c r="AX192" i="15"/>
  <c r="AZ193" i="15"/>
  <c r="AN193" i="15"/>
  <c r="AT193" i="15"/>
  <c r="AU193" i="15"/>
  <c r="AV193" i="15"/>
  <c r="AX193" i="15"/>
  <c r="AN194" i="15"/>
  <c r="AT194" i="15"/>
  <c r="AU194" i="15"/>
  <c r="AV194" i="15"/>
  <c r="AX194" i="15"/>
  <c r="AQ195" i="15"/>
  <c r="AN195" i="15"/>
  <c r="AT195" i="15"/>
  <c r="AU195" i="15"/>
  <c r="AV195" i="15"/>
  <c r="AX195" i="15"/>
  <c r="AP196" i="15"/>
  <c r="AN196" i="15"/>
  <c r="AT196" i="15"/>
  <c r="AU196" i="15"/>
  <c r="AV196" i="15"/>
  <c r="AX196" i="15"/>
  <c r="AO197" i="15"/>
  <c r="AN197" i="15"/>
  <c r="AT197" i="15"/>
  <c r="AU197" i="15"/>
  <c r="AV197" i="15"/>
  <c r="AX197" i="15"/>
  <c r="AP198" i="15"/>
  <c r="AN198" i="15"/>
  <c r="AT198" i="15"/>
  <c r="AU198" i="15"/>
  <c r="AV198" i="15"/>
  <c r="AX198" i="15"/>
  <c r="AN199" i="15"/>
  <c r="AT199" i="15"/>
  <c r="AU199" i="15"/>
  <c r="AV199" i="15"/>
  <c r="AX199" i="15"/>
  <c r="AQ200" i="15"/>
  <c r="AN200" i="15"/>
  <c r="AT200" i="15"/>
  <c r="AU200" i="15"/>
  <c r="AV200" i="15"/>
  <c r="AX200" i="15"/>
  <c r="AP201" i="15"/>
  <c r="AN201" i="15"/>
  <c r="AT201" i="15"/>
  <c r="AU201" i="15"/>
  <c r="AV201" i="15"/>
  <c r="AX201" i="15"/>
  <c r="AN202" i="15"/>
  <c r="AT202" i="15"/>
  <c r="AU202" i="15"/>
  <c r="AV202" i="15"/>
  <c r="AX202" i="15"/>
  <c r="AQ203" i="15"/>
  <c r="AN203" i="15"/>
  <c r="AT203" i="15"/>
  <c r="AU203" i="15"/>
  <c r="AV203" i="15"/>
  <c r="AX203" i="15"/>
  <c r="AN204" i="15"/>
  <c r="AT204" i="15"/>
  <c r="AU204" i="15"/>
  <c r="AV204" i="15"/>
  <c r="AX204" i="15"/>
  <c r="AQ205" i="15"/>
  <c r="AN205" i="15"/>
  <c r="AT205" i="15"/>
  <c r="AU205" i="15"/>
  <c r="AV205" i="15"/>
  <c r="AX205" i="15"/>
  <c r="AP206" i="15"/>
  <c r="AN206" i="15"/>
  <c r="AT206" i="15"/>
  <c r="AU206" i="15"/>
  <c r="AV206" i="15"/>
  <c r="AX206" i="15"/>
  <c r="AN207" i="15"/>
  <c r="AT207" i="15"/>
  <c r="AU207" i="15"/>
  <c r="AV207" i="15"/>
  <c r="AX207" i="15"/>
  <c r="AZ208" i="15"/>
  <c r="AN208" i="15"/>
  <c r="AT208" i="15"/>
  <c r="AU208" i="15"/>
  <c r="AV208" i="15"/>
  <c r="AX208" i="15"/>
  <c r="AP209" i="15"/>
  <c r="AN209" i="15"/>
  <c r="AT209" i="15"/>
  <c r="AU209" i="15"/>
  <c r="AV209" i="15"/>
  <c r="AX209" i="15"/>
  <c r="AP210" i="15"/>
  <c r="AN210" i="15"/>
  <c r="AT210" i="15"/>
  <c r="AU210" i="15"/>
  <c r="AV210" i="15"/>
  <c r="AX210" i="15"/>
  <c r="AS211" i="15"/>
  <c r="AN211" i="15"/>
  <c r="AT211" i="15"/>
  <c r="AU211" i="15"/>
  <c r="AV211" i="15"/>
  <c r="AX211" i="15"/>
  <c r="AO212" i="15"/>
  <c r="AN212" i="15"/>
  <c r="AT212" i="15"/>
  <c r="AU212" i="15"/>
  <c r="AV212" i="15"/>
  <c r="AX212" i="15"/>
  <c r="AO213" i="15"/>
  <c r="AN213" i="15"/>
  <c r="AT213" i="15"/>
  <c r="AU213" i="15"/>
  <c r="AV213" i="15"/>
  <c r="AX213" i="15"/>
  <c r="AN214" i="15"/>
  <c r="AT214" i="15"/>
  <c r="AU214" i="15"/>
  <c r="AV214" i="15"/>
  <c r="AX214" i="15"/>
  <c r="AN215" i="15"/>
  <c r="AT215" i="15"/>
  <c r="AU215" i="15"/>
  <c r="AV215" i="15"/>
  <c r="AX215" i="15"/>
  <c r="AN216" i="15"/>
  <c r="AT216" i="15"/>
  <c r="AU216" i="15"/>
  <c r="AV216" i="15"/>
  <c r="AX216" i="15"/>
  <c r="AP217" i="15"/>
  <c r="AN217" i="15"/>
  <c r="AT217" i="15"/>
  <c r="AU217" i="15"/>
  <c r="AV217" i="15"/>
  <c r="AX217" i="15"/>
  <c r="AO218" i="15"/>
  <c r="AN218" i="15"/>
  <c r="AT218" i="15"/>
  <c r="AU218" i="15"/>
  <c r="AV218" i="15"/>
  <c r="AX218" i="15"/>
  <c r="AS219" i="15"/>
  <c r="AN219" i="15"/>
  <c r="AT219" i="15"/>
  <c r="AU219" i="15"/>
  <c r="AV219" i="15"/>
  <c r="AX219" i="15"/>
  <c r="AQ220" i="15"/>
  <c r="AN220" i="15"/>
  <c r="AT220" i="15"/>
  <c r="AU220" i="15"/>
  <c r="AV220" i="15"/>
  <c r="AX220" i="15"/>
  <c r="AO221" i="15"/>
  <c r="AN221" i="15"/>
  <c r="AT221" i="15"/>
  <c r="AU221" i="15"/>
  <c r="AV221" i="15"/>
  <c r="AX221" i="15"/>
  <c r="AP222" i="15"/>
  <c r="AN222" i="15"/>
  <c r="AT222" i="15"/>
  <c r="AU222" i="15"/>
  <c r="AV222" i="15"/>
  <c r="AX222" i="15"/>
  <c r="AO223" i="15"/>
  <c r="AN223" i="15"/>
  <c r="AT223" i="15"/>
  <c r="AU223" i="15"/>
  <c r="AV223" i="15"/>
  <c r="AX223" i="15"/>
  <c r="AN224" i="15"/>
  <c r="AT224" i="15"/>
  <c r="AU224" i="15"/>
  <c r="AV224" i="15"/>
  <c r="AX224" i="15"/>
  <c r="AP225" i="15"/>
  <c r="AN225" i="15"/>
  <c r="AT225" i="15"/>
  <c r="AU225" i="15"/>
  <c r="AV225" i="15"/>
  <c r="AX225" i="15"/>
  <c r="AN226" i="15"/>
  <c r="AT226" i="15"/>
  <c r="AU226" i="15"/>
  <c r="AV226" i="15"/>
  <c r="AX226" i="15"/>
  <c r="AN227" i="15"/>
  <c r="AT227" i="15"/>
  <c r="AU227" i="15"/>
  <c r="AV227" i="15"/>
  <c r="AX227" i="15"/>
  <c r="AO228" i="15"/>
  <c r="AN228" i="15"/>
  <c r="AT228" i="15"/>
  <c r="AU228" i="15"/>
  <c r="AV228" i="15"/>
  <c r="AX228" i="15"/>
  <c r="AS229" i="15"/>
  <c r="AN229" i="15"/>
  <c r="AT229" i="15"/>
  <c r="AU229" i="15"/>
  <c r="AV229" i="15"/>
  <c r="AX229" i="15"/>
  <c r="AN230" i="15"/>
  <c r="AT230" i="15"/>
  <c r="AU230" i="15"/>
  <c r="AV230" i="15"/>
  <c r="AX230" i="15"/>
  <c r="AQ231" i="15"/>
  <c r="AN231" i="15"/>
  <c r="AT231" i="15"/>
  <c r="AU231" i="15"/>
  <c r="AV231" i="15"/>
  <c r="AX231" i="15"/>
  <c r="AN232" i="15"/>
  <c r="AT232" i="15"/>
  <c r="AU232" i="15"/>
  <c r="AV232" i="15"/>
  <c r="AX232" i="15"/>
  <c r="AO233" i="15"/>
  <c r="AN233" i="15"/>
  <c r="AT233" i="15"/>
  <c r="AU233" i="15"/>
  <c r="AV233" i="15"/>
  <c r="AX233" i="15"/>
  <c r="AO234" i="15"/>
  <c r="AN234" i="15"/>
  <c r="AT234" i="15"/>
  <c r="AU234" i="15"/>
  <c r="AV234" i="15"/>
  <c r="AX234" i="15"/>
  <c r="AZ235" i="15"/>
  <c r="AN235" i="15"/>
  <c r="AT235" i="15"/>
  <c r="AU235" i="15"/>
  <c r="AV235" i="15"/>
  <c r="AX235" i="15"/>
  <c r="AN236" i="15"/>
  <c r="AT236" i="15"/>
  <c r="AU236" i="15"/>
  <c r="AV236" i="15"/>
  <c r="AX236" i="15"/>
  <c r="AN237" i="15"/>
  <c r="AT237" i="15"/>
  <c r="AU237" i="15"/>
  <c r="AV237" i="15"/>
  <c r="AX237" i="15"/>
  <c r="AN238" i="15"/>
  <c r="AT238" i="15"/>
  <c r="AU238" i="15"/>
  <c r="AV238" i="15"/>
  <c r="AX238" i="15"/>
  <c r="AN239" i="15"/>
  <c r="AT239" i="15"/>
  <c r="AU239" i="15"/>
  <c r="AV239" i="15"/>
  <c r="AX239" i="15"/>
  <c r="AQ240" i="15"/>
  <c r="AN240" i="15"/>
  <c r="AT240" i="15"/>
  <c r="AU240" i="15"/>
  <c r="AV240" i="15"/>
  <c r="AX240" i="15"/>
  <c r="AO241" i="15"/>
  <c r="AN241" i="15"/>
  <c r="AT241" i="15"/>
  <c r="AU241" i="15"/>
  <c r="AV241" i="15"/>
  <c r="AX241" i="15"/>
  <c r="AQ242" i="15"/>
  <c r="AN242" i="15"/>
  <c r="AT242" i="15"/>
  <c r="AU242" i="15"/>
  <c r="AV242" i="15"/>
  <c r="AX242" i="15"/>
  <c r="AZ243" i="15"/>
  <c r="AN243" i="15"/>
  <c r="AT243" i="15"/>
  <c r="AU243" i="15"/>
  <c r="AV243" i="15"/>
  <c r="AX243" i="15"/>
  <c r="AZ244" i="15"/>
  <c r="AN244" i="15"/>
  <c r="AT244" i="15"/>
  <c r="AU244" i="15"/>
  <c r="AV244" i="15"/>
  <c r="AX244" i="15"/>
  <c r="AN245" i="15"/>
  <c r="AT245" i="15"/>
  <c r="AU245" i="15"/>
  <c r="AV245" i="15"/>
  <c r="AX245" i="15"/>
  <c r="AN246" i="15"/>
  <c r="AT246" i="15"/>
  <c r="AU246" i="15"/>
  <c r="AV246" i="15"/>
  <c r="AX246" i="15"/>
  <c r="AN247" i="15"/>
  <c r="AT247" i="15"/>
  <c r="AU247" i="15"/>
  <c r="AV247" i="15"/>
  <c r="AX247" i="15"/>
  <c r="AZ248" i="15"/>
  <c r="AN248" i="15"/>
  <c r="AT248" i="15"/>
  <c r="AU248" i="15"/>
  <c r="AV248" i="15"/>
  <c r="AX248" i="15"/>
  <c r="AN249" i="15"/>
  <c r="AT249" i="15"/>
  <c r="AU249" i="15"/>
  <c r="AV249" i="15"/>
  <c r="AX249" i="15"/>
  <c r="AN250" i="15"/>
  <c r="AT250" i="15"/>
  <c r="AU250" i="15"/>
  <c r="AV250" i="15"/>
  <c r="AX250" i="15"/>
  <c r="AN251" i="15"/>
  <c r="AT251" i="15"/>
  <c r="AU251" i="15"/>
  <c r="AV251" i="15"/>
  <c r="AX251" i="15"/>
  <c r="AZ252" i="15"/>
  <c r="AN252" i="15"/>
  <c r="AT252" i="15"/>
  <c r="AU252" i="15"/>
  <c r="AV252" i="15"/>
  <c r="AX252" i="15"/>
  <c r="AS253" i="15"/>
  <c r="AN253" i="15"/>
  <c r="AT253" i="15"/>
  <c r="AU253" i="15"/>
  <c r="AV253" i="15"/>
  <c r="AX253" i="15"/>
  <c r="AO254" i="15"/>
  <c r="AN254" i="15"/>
  <c r="AT254" i="15"/>
  <c r="AU254" i="15"/>
  <c r="AV254" i="15"/>
  <c r="AX254" i="15"/>
  <c r="AN255" i="15"/>
  <c r="AT255" i="15"/>
  <c r="AU255" i="15"/>
  <c r="AV255" i="15"/>
  <c r="AX255" i="15"/>
  <c r="AN256" i="15"/>
  <c r="AT256" i="15"/>
  <c r="AU256" i="15"/>
  <c r="AV256" i="15"/>
  <c r="AX256" i="15"/>
  <c r="AN257" i="15"/>
  <c r="AT257" i="15"/>
  <c r="AU257" i="15"/>
  <c r="AV257" i="15"/>
  <c r="AX257" i="15"/>
  <c r="AS258" i="15"/>
  <c r="AN258" i="15"/>
  <c r="AT258" i="15"/>
  <c r="AU258" i="15"/>
  <c r="AV258" i="15"/>
  <c r="AX258" i="15"/>
  <c r="AZ259" i="15"/>
  <c r="AN259" i="15"/>
  <c r="AT259" i="15"/>
  <c r="AU259" i="15"/>
  <c r="AV259" i="15"/>
  <c r="AX259" i="15"/>
  <c r="AZ260" i="15"/>
  <c r="AN260" i="15"/>
  <c r="AT260" i="15"/>
  <c r="AU260" i="15"/>
  <c r="AV260" i="15"/>
  <c r="AX260" i="15"/>
  <c r="AQ261" i="15"/>
  <c r="AN261" i="15"/>
  <c r="AT261" i="15"/>
  <c r="AU261" i="15"/>
  <c r="AV261" i="15"/>
  <c r="AX261" i="15"/>
  <c r="AP262" i="15"/>
  <c r="AN262" i="15"/>
  <c r="AT262" i="15"/>
  <c r="AU262" i="15"/>
  <c r="AV262" i="15"/>
  <c r="AX262" i="15"/>
  <c r="AZ263" i="15"/>
  <c r="AN263" i="15"/>
  <c r="AT263" i="15"/>
  <c r="AU263" i="15"/>
  <c r="AV263" i="15"/>
  <c r="AX263" i="15"/>
  <c r="AZ264" i="15"/>
  <c r="AN264" i="15"/>
  <c r="AT264" i="15"/>
  <c r="AU264" i="15"/>
  <c r="AV264" i="15"/>
  <c r="AX264" i="15"/>
  <c r="AZ265" i="15"/>
  <c r="AN265" i="15"/>
  <c r="AT265" i="15"/>
  <c r="AU265" i="15"/>
  <c r="AV265" i="15"/>
  <c r="AX265" i="15"/>
  <c r="AZ266" i="15"/>
  <c r="AN266" i="15"/>
  <c r="AT266" i="15"/>
  <c r="AU266" i="15"/>
  <c r="AV266" i="15"/>
  <c r="AX266" i="15"/>
  <c r="AN267" i="15"/>
  <c r="AT267" i="15"/>
  <c r="AU267" i="15"/>
  <c r="AV267" i="15"/>
  <c r="AX267" i="15"/>
  <c r="AS268" i="15"/>
  <c r="AN268" i="15"/>
  <c r="AT268" i="15"/>
  <c r="AU268" i="15"/>
  <c r="AV268" i="15"/>
  <c r="AX268" i="15"/>
  <c r="AN269" i="15"/>
  <c r="AT269" i="15"/>
  <c r="AU269" i="15"/>
  <c r="AV269" i="15"/>
  <c r="AX269" i="15"/>
  <c r="AN270" i="15"/>
  <c r="AT270" i="15"/>
  <c r="AU270" i="15"/>
  <c r="AV270" i="15"/>
  <c r="AX270" i="15"/>
  <c r="AN271" i="15"/>
  <c r="AT271" i="15"/>
  <c r="AU271" i="15"/>
  <c r="AV271" i="15"/>
  <c r="AX271" i="15"/>
  <c r="AO272" i="15"/>
  <c r="AN272" i="15"/>
  <c r="AT272" i="15"/>
  <c r="AU272" i="15"/>
  <c r="AV272" i="15"/>
  <c r="AX272" i="15"/>
  <c r="AP273" i="15"/>
  <c r="AN273" i="15"/>
  <c r="AT273" i="15"/>
  <c r="AU273" i="15"/>
  <c r="AV273" i="15"/>
  <c r="AX273" i="15"/>
  <c r="AN274" i="15"/>
  <c r="AT274" i="15"/>
  <c r="AU274" i="15"/>
  <c r="AV274" i="15"/>
  <c r="AX274" i="15"/>
  <c r="AN275" i="15"/>
  <c r="AT275" i="15"/>
  <c r="AU275" i="15"/>
  <c r="AV275" i="15"/>
  <c r="AX275" i="15"/>
  <c r="AP276" i="15"/>
  <c r="AN276" i="15"/>
  <c r="AT276" i="15"/>
  <c r="AU276" i="15"/>
  <c r="AV276" i="15"/>
  <c r="AX276" i="15"/>
  <c r="AN277" i="15"/>
  <c r="AT277" i="15"/>
  <c r="AU277" i="15"/>
  <c r="AV277" i="15"/>
  <c r="AX277" i="15"/>
  <c r="AP278" i="15"/>
  <c r="AN278" i="15"/>
  <c r="AT278" i="15"/>
  <c r="AU278" i="15"/>
  <c r="AV278" i="15"/>
  <c r="AX278" i="15"/>
  <c r="AN279" i="15"/>
  <c r="AT279" i="15"/>
  <c r="AU279" i="15"/>
  <c r="AV279" i="15"/>
  <c r="AX279" i="15"/>
  <c r="AO280" i="15"/>
  <c r="AN280" i="15"/>
  <c r="AT280" i="15"/>
  <c r="AU280" i="15"/>
  <c r="AV280" i="15"/>
  <c r="AX280" i="15"/>
  <c r="AQ281" i="15"/>
  <c r="AN281" i="15"/>
  <c r="AT281" i="15"/>
  <c r="AU281" i="15"/>
  <c r="AV281" i="15"/>
  <c r="AX281" i="15"/>
  <c r="AN282" i="15"/>
  <c r="AT282" i="15"/>
  <c r="AU282" i="15"/>
  <c r="AV282" i="15"/>
  <c r="AX282" i="15"/>
  <c r="AN283" i="15"/>
  <c r="AT283" i="15"/>
  <c r="AU283" i="15"/>
  <c r="AV283" i="15"/>
  <c r="AX283" i="15"/>
  <c r="AZ284" i="15"/>
  <c r="AN284" i="15"/>
  <c r="AT284" i="15"/>
  <c r="AU284" i="15"/>
  <c r="AV284" i="15"/>
  <c r="AX284" i="15"/>
  <c r="AZ285" i="15"/>
  <c r="AN285" i="15"/>
  <c r="AT285" i="15"/>
  <c r="AU285" i="15"/>
  <c r="AV285" i="15"/>
  <c r="AX285" i="15"/>
  <c r="AP286" i="15"/>
  <c r="AN286" i="15"/>
  <c r="AT286" i="15"/>
  <c r="AU286" i="15"/>
  <c r="AV286" i="15"/>
  <c r="AX286" i="15"/>
  <c r="AP287" i="15"/>
  <c r="AN287" i="15"/>
  <c r="AT287" i="15"/>
  <c r="AU287" i="15"/>
  <c r="AV287" i="15"/>
  <c r="AX287" i="15"/>
  <c r="AQ288" i="15"/>
  <c r="AN288" i="15"/>
  <c r="AT288" i="15"/>
  <c r="AU288" i="15"/>
  <c r="AV288" i="15"/>
  <c r="AX288" i="15"/>
  <c r="AN289" i="15"/>
  <c r="AT289" i="15"/>
  <c r="AU289" i="15"/>
  <c r="AV289" i="15"/>
  <c r="AX289" i="15"/>
  <c r="AP290" i="15"/>
  <c r="AN290" i="15"/>
  <c r="AT290" i="15"/>
  <c r="AU290" i="15"/>
  <c r="AV290" i="15"/>
  <c r="AX290" i="15"/>
  <c r="AO291" i="15"/>
  <c r="AN291" i="15"/>
  <c r="AT291" i="15"/>
  <c r="AU291" i="15"/>
  <c r="AV291" i="15"/>
  <c r="AX291" i="15"/>
  <c r="AP292" i="15"/>
  <c r="AN292" i="15"/>
  <c r="AT292" i="15"/>
  <c r="AU292" i="15"/>
  <c r="AV292" i="15"/>
  <c r="AX292" i="15"/>
  <c r="AN293" i="15"/>
  <c r="AT293" i="15"/>
  <c r="AU293" i="15"/>
  <c r="AV293" i="15"/>
  <c r="AX293" i="15"/>
  <c r="AP294" i="15"/>
  <c r="AN294" i="15"/>
  <c r="AT294" i="15"/>
  <c r="AU294" i="15"/>
  <c r="AV294" i="15"/>
  <c r="AX294" i="15"/>
  <c r="AN295" i="15"/>
  <c r="AT295" i="15"/>
  <c r="AU295" i="15"/>
  <c r="AV295" i="15"/>
  <c r="AX295" i="15"/>
  <c r="AN296" i="15"/>
  <c r="AT296" i="15"/>
  <c r="AU296" i="15"/>
  <c r="AV296" i="15"/>
  <c r="AX296" i="15"/>
  <c r="AZ297" i="15"/>
  <c r="AN297" i="15"/>
  <c r="AT297" i="15"/>
  <c r="AU297" i="15"/>
  <c r="AV297" i="15"/>
  <c r="AX297" i="15"/>
  <c r="AN298" i="15"/>
  <c r="AT298" i="15"/>
  <c r="AU298" i="15"/>
  <c r="AV298" i="15"/>
  <c r="AX298" i="15"/>
  <c r="AP299" i="15"/>
  <c r="AN299" i="15"/>
  <c r="AT299" i="15"/>
  <c r="AU299" i="15"/>
  <c r="AV299" i="15"/>
  <c r="AX299" i="15"/>
  <c r="AZ300" i="15"/>
  <c r="AN300" i="15"/>
  <c r="AT300" i="15"/>
  <c r="AU300" i="15"/>
  <c r="AV300" i="15"/>
  <c r="AX300" i="15"/>
  <c r="AZ301" i="15"/>
  <c r="AN301" i="15"/>
  <c r="AT301" i="15"/>
  <c r="AU301" i="15"/>
  <c r="AV301" i="15"/>
  <c r="AX301" i="15"/>
  <c r="AQ302" i="15"/>
  <c r="AN302" i="15"/>
  <c r="AT302" i="15"/>
  <c r="AU302" i="15"/>
  <c r="AV302" i="15"/>
  <c r="AX302" i="15"/>
  <c r="AN303" i="15"/>
  <c r="AT303" i="15"/>
  <c r="AU303" i="15"/>
  <c r="AV303" i="15"/>
  <c r="AX303" i="15"/>
  <c r="AZ304" i="15"/>
  <c r="AN304" i="15"/>
  <c r="AT304" i="15"/>
  <c r="AU304" i="15"/>
  <c r="AV304" i="15"/>
  <c r="AX304" i="15"/>
  <c r="AO305" i="15"/>
  <c r="AN305" i="15"/>
  <c r="AT305" i="15"/>
  <c r="AU305" i="15"/>
  <c r="AV305" i="15"/>
  <c r="AX305" i="15"/>
  <c r="AP306" i="15"/>
  <c r="AN306" i="15"/>
  <c r="AT306" i="15"/>
  <c r="AU306" i="15"/>
  <c r="AV306" i="15"/>
  <c r="AX306" i="15"/>
  <c r="AN307" i="15"/>
  <c r="AT307" i="15"/>
  <c r="AU307" i="15"/>
  <c r="AV307" i="15"/>
  <c r="AX307" i="15"/>
  <c r="AZ308" i="15"/>
  <c r="AN308" i="15"/>
  <c r="AT308" i="15"/>
  <c r="AU308" i="15"/>
  <c r="AV308" i="15"/>
  <c r="AX308" i="15"/>
  <c r="AN309" i="15"/>
  <c r="AT309" i="15"/>
  <c r="AU309" i="15"/>
  <c r="AV309" i="15"/>
  <c r="AX309" i="15"/>
  <c r="AP310" i="15"/>
  <c r="AN310" i="15"/>
  <c r="AT310" i="15"/>
  <c r="AU310" i="15"/>
  <c r="AV310" i="15"/>
  <c r="AX310" i="15"/>
  <c r="AN311" i="15"/>
  <c r="AT311" i="15"/>
  <c r="AU311" i="15"/>
  <c r="AV311" i="15"/>
  <c r="AX311" i="15"/>
  <c r="AN312" i="15"/>
  <c r="AT312" i="15"/>
  <c r="AU312" i="15"/>
  <c r="AV312" i="15"/>
  <c r="AX312" i="15"/>
  <c r="AN313" i="15"/>
  <c r="AT313" i="15"/>
  <c r="AU313" i="15"/>
  <c r="AV313" i="15"/>
  <c r="AX313" i="15"/>
  <c r="AZ314" i="15"/>
  <c r="AN314" i="15"/>
  <c r="AT314" i="15"/>
  <c r="AU314" i="15"/>
  <c r="AV314" i="15"/>
  <c r="AX314" i="15"/>
  <c r="AP315" i="15"/>
  <c r="AN315" i="15"/>
  <c r="AT315" i="15"/>
  <c r="AU315" i="15"/>
  <c r="AV315" i="15"/>
  <c r="AX315" i="15"/>
  <c r="AN316" i="15"/>
  <c r="AT316" i="15"/>
  <c r="AU316" i="15"/>
  <c r="AV316" i="15"/>
  <c r="AX316" i="15"/>
  <c r="AZ317" i="15"/>
  <c r="AN317" i="15"/>
  <c r="AT317" i="15"/>
  <c r="AU317" i="15"/>
  <c r="AV317" i="15"/>
  <c r="AX317" i="15"/>
  <c r="AN318" i="15"/>
  <c r="AT318" i="15"/>
  <c r="AU318" i="15"/>
  <c r="AV318" i="15"/>
  <c r="AX318" i="15"/>
  <c r="AQ319" i="15"/>
  <c r="AN319" i="15"/>
  <c r="AT319" i="15"/>
  <c r="AU319" i="15"/>
  <c r="AV319" i="15"/>
  <c r="AX319" i="15"/>
  <c r="AN320" i="15"/>
  <c r="AT320" i="15"/>
  <c r="AU320" i="15"/>
  <c r="AV320" i="15"/>
  <c r="AX320" i="15"/>
  <c r="AN321" i="15"/>
  <c r="AT321" i="15"/>
  <c r="AU321" i="15"/>
  <c r="AV321" i="15"/>
  <c r="AX321" i="15"/>
  <c r="AZ322" i="15"/>
  <c r="AN322" i="15"/>
  <c r="AT322" i="15"/>
  <c r="AU322" i="15"/>
  <c r="AV322" i="15"/>
  <c r="AX322" i="15"/>
  <c r="AS323" i="15"/>
  <c r="AN323" i="15"/>
  <c r="AT323" i="15"/>
  <c r="AU323" i="15"/>
  <c r="AV323" i="15"/>
  <c r="AX323" i="15"/>
  <c r="AO324" i="15"/>
  <c r="AN324" i="15"/>
  <c r="AT324" i="15"/>
  <c r="AU324" i="15"/>
  <c r="AV324" i="15"/>
  <c r="AX324" i="15"/>
  <c r="AN325" i="15"/>
  <c r="AT325" i="15"/>
  <c r="AU325" i="15"/>
  <c r="AV325" i="15"/>
  <c r="AX325" i="15"/>
  <c r="AN326" i="15"/>
  <c r="AT326" i="15"/>
  <c r="AU326" i="15"/>
  <c r="AV326" i="15"/>
  <c r="AX326" i="15"/>
  <c r="AZ327" i="15"/>
  <c r="AN327" i="15"/>
  <c r="AT327" i="15"/>
  <c r="AU327" i="15"/>
  <c r="AV327" i="15"/>
  <c r="AX327" i="15"/>
  <c r="AN328" i="15"/>
  <c r="AT328" i="15"/>
  <c r="AU328" i="15"/>
  <c r="AV328" i="15"/>
  <c r="AX328" i="15"/>
  <c r="AN329" i="15"/>
  <c r="AT329" i="15"/>
  <c r="AU329" i="15"/>
  <c r="AV329" i="15"/>
  <c r="AX329" i="15"/>
  <c r="AS330" i="15"/>
  <c r="AN330" i="15"/>
  <c r="AT330" i="15"/>
  <c r="AU330" i="15"/>
  <c r="AV330" i="15"/>
  <c r="AX330" i="15"/>
  <c r="AN331" i="15"/>
  <c r="AT331" i="15"/>
  <c r="AU331" i="15"/>
  <c r="AV331" i="15"/>
  <c r="AX331" i="15"/>
  <c r="AO332" i="15"/>
  <c r="AN332" i="15"/>
  <c r="AT332" i="15"/>
  <c r="AU332" i="15"/>
  <c r="AV332" i="15"/>
  <c r="AX332" i="15"/>
  <c r="AN333" i="15"/>
  <c r="AT333" i="15"/>
  <c r="AU333" i="15"/>
  <c r="AV333" i="15"/>
  <c r="AX333" i="15"/>
  <c r="AO334" i="15"/>
  <c r="AN334" i="15"/>
  <c r="AT334" i="15"/>
  <c r="AU334" i="15"/>
  <c r="AV334" i="15"/>
  <c r="AX334" i="15"/>
  <c r="AP335" i="15"/>
  <c r="AN335" i="15"/>
  <c r="AT335" i="15"/>
  <c r="AU335" i="15"/>
  <c r="AV335" i="15"/>
  <c r="AX335" i="15"/>
  <c r="AO336" i="15"/>
  <c r="AN336" i="15"/>
  <c r="AT336" i="15"/>
  <c r="AU336" i="15"/>
  <c r="AV336" i="15"/>
  <c r="AX336" i="15"/>
  <c r="AN337" i="15"/>
  <c r="AT337" i="15"/>
  <c r="AU337" i="15"/>
  <c r="AV337" i="15"/>
  <c r="AX337" i="15"/>
  <c r="AO338" i="15"/>
  <c r="AN338" i="15"/>
  <c r="AT338" i="15"/>
  <c r="AU338" i="15"/>
  <c r="AV338" i="15"/>
  <c r="AX338" i="15"/>
  <c r="AO339" i="15"/>
  <c r="AN339" i="15"/>
  <c r="AT339" i="15"/>
  <c r="AU339" i="15"/>
  <c r="AV339" i="15"/>
  <c r="AX339" i="15"/>
  <c r="AO340" i="15"/>
  <c r="AN340" i="15"/>
  <c r="AT340" i="15"/>
  <c r="AU340" i="15"/>
  <c r="AV340" i="15"/>
  <c r="AX340" i="15"/>
  <c r="AN341" i="15"/>
  <c r="AT341" i="15"/>
  <c r="AU341" i="15"/>
  <c r="AV341" i="15"/>
  <c r="AX341" i="15"/>
  <c r="AN342" i="15"/>
  <c r="AT342" i="15"/>
  <c r="AU342" i="15"/>
  <c r="AV342" i="15"/>
  <c r="AX342" i="15"/>
  <c r="AO343" i="15"/>
  <c r="AN343" i="15"/>
  <c r="AT343" i="15"/>
  <c r="AU343" i="15"/>
  <c r="AV343" i="15"/>
  <c r="AX343" i="15"/>
  <c r="AZ344" i="15"/>
  <c r="AN344" i="15"/>
  <c r="AT344" i="15"/>
  <c r="AU344" i="15"/>
  <c r="AV344" i="15"/>
  <c r="AX344" i="15"/>
  <c r="AN345" i="15"/>
  <c r="AT345" i="15"/>
  <c r="AU345" i="15"/>
  <c r="AV345" i="15"/>
  <c r="AX345" i="15"/>
  <c r="AZ346" i="15"/>
  <c r="AN346" i="15"/>
  <c r="AT346" i="15"/>
  <c r="AU346" i="15"/>
  <c r="AV346" i="15"/>
  <c r="AX346" i="15"/>
  <c r="AN347" i="15"/>
  <c r="AT347" i="15"/>
  <c r="AU347" i="15"/>
  <c r="AV347" i="15"/>
  <c r="AX347" i="15"/>
  <c r="AN348" i="15"/>
  <c r="AT348" i="15"/>
  <c r="AU348" i="15"/>
  <c r="AV348" i="15"/>
  <c r="AX348" i="15"/>
  <c r="AN349" i="15"/>
  <c r="AT349" i="15"/>
  <c r="AU349" i="15"/>
  <c r="AV349" i="15"/>
  <c r="AX349" i="15"/>
  <c r="AS350" i="15"/>
  <c r="AN350" i="15"/>
  <c r="AT350" i="15"/>
  <c r="AU350" i="15"/>
  <c r="AV350" i="15"/>
  <c r="AX350" i="15"/>
  <c r="AO351" i="15"/>
  <c r="AN351" i="15"/>
  <c r="AT351" i="15"/>
  <c r="AU351" i="15"/>
  <c r="AV351" i="15"/>
  <c r="AX351" i="15"/>
  <c r="AP352" i="15"/>
  <c r="AN352" i="15"/>
  <c r="AT352" i="15"/>
  <c r="AU352" i="15"/>
  <c r="AV352" i="15"/>
  <c r="AX352" i="15"/>
  <c r="AN353" i="15"/>
  <c r="AT353" i="15"/>
  <c r="AU353" i="15"/>
  <c r="AV353" i="15"/>
  <c r="AX353" i="15"/>
  <c r="AZ354" i="15"/>
  <c r="AN354" i="15"/>
  <c r="AT354" i="15"/>
  <c r="AU354" i="15"/>
  <c r="AV354" i="15"/>
  <c r="AX354" i="15"/>
  <c r="AZ355" i="15"/>
  <c r="AN355" i="15"/>
  <c r="AT355" i="15"/>
  <c r="AU355" i="15"/>
  <c r="AV355" i="15"/>
  <c r="AX355" i="15"/>
  <c r="AN356" i="15"/>
  <c r="AT356" i="15"/>
  <c r="AU356" i="15"/>
  <c r="AV356" i="15"/>
  <c r="AX356" i="15"/>
  <c r="AN357" i="15"/>
  <c r="AT357" i="15"/>
  <c r="AU357" i="15"/>
  <c r="AV357" i="15"/>
  <c r="AX357" i="15"/>
  <c r="AO358" i="15"/>
  <c r="AN358" i="15"/>
  <c r="AT358" i="15"/>
  <c r="AU358" i="15"/>
  <c r="AV358" i="15"/>
  <c r="AX358" i="15"/>
  <c r="AO359" i="15"/>
  <c r="AN359" i="15"/>
  <c r="AT359" i="15"/>
  <c r="AU359" i="15"/>
  <c r="AV359" i="15"/>
  <c r="AX359" i="15"/>
  <c r="AN360" i="15"/>
  <c r="AT360" i="15"/>
  <c r="AU360" i="15"/>
  <c r="AV360" i="15"/>
  <c r="AX360" i="15"/>
  <c r="AN361" i="15"/>
  <c r="AT361" i="15"/>
  <c r="AU361" i="15"/>
  <c r="AV361" i="15"/>
  <c r="AX361" i="15"/>
  <c r="AZ362" i="15"/>
  <c r="AN362" i="15"/>
  <c r="AT362" i="15"/>
  <c r="AU362" i="15"/>
  <c r="AV362" i="15"/>
  <c r="AX362" i="15"/>
  <c r="AQ363" i="15"/>
  <c r="AN363" i="15"/>
  <c r="AT363" i="15"/>
  <c r="AU363" i="15"/>
  <c r="AV363" i="15"/>
  <c r="AX363" i="15"/>
  <c r="AN364" i="15"/>
  <c r="AT364" i="15"/>
  <c r="AU364" i="15"/>
  <c r="AV364" i="15"/>
  <c r="AX364" i="15"/>
  <c r="AN365" i="15"/>
  <c r="AT365" i="15"/>
  <c r="AU365" i="15"/>
  <c r="AV365" i="15"/>
  <c r="AX365" i="15"/>
  <c r="AO366" i="15"/>
  <c r="AN366" i="15"/>
  <c r="AT366" i="15"/>
  <c r="AU366" i="15"/>
  <c r="AV366" i="15"/>
  <c r="AX366" i="15"/>
  <c r="AS367" i="15"/>
  <c r="AN367" i="15"/>
  <c r="AT367" i="15"/>
  <c r="AU367" i="15"/>
  <c r="AV367" i="15"/>
  <c r="AX367" i="15"/>
  <c r="AO368" i="15"/>
  <c r="AN368" i="15"/>
  <c r="AT368" i="15"/>
  <c r="AU368" i="15"/>
  <c r="AV368" i="15"/>
  <c r="AX368" i="15"/>
  <c r="AN369" i="15"/>
  <c r="AT369" i="15"/>
  <c r="AU369" i="15"/>
  <c r="AV369" i="15"/>
  <c r="AX369" i="15"/>
  <c r="AN370" i="15"/>
  <c r="AT370" i="15"/>
  <c r="AU370" i="15"/>
  <c r="AV370" i="15"/>
  <c r="AX370" i="15"/>
  <c r="AQ371" i="15"/>
  <c r="AN371" i="15"/>
  <c r="AT371" i="15"/>
  <c r="AU371" i="15"/>
  <c r="AV371" i="15"/>
  <c r="AX371" i="15"/>
  <c r="AS372" i="15"/>
  <c r="AN372" i="15"/>
  <c r="AT372" i="15"/>
  <c r="AU372" i="15"/>
  <c r="AV372" i="15"/>
  <c r="AX372" i="15"/>
  <c r="AN373" i="15"/>
  <c r="AT373" i="15"/>
  <c r="AU373" i="15"/>
  <c r="AV373" i="15"/>
  <c r="AX373" i="15"/>
  <c r="AS374" i="15"/>
  <c r="AN374" i="15"/>
  <c r="AT374" i="15"/>
  <c r="AU374" i="15"/>
  <c r="AV374" i="15"/>
  <c r="AX374" i="15"/>
  <c r="AQ375" i="15"/>
  <c r="AN375" i="15"/>
  <c r="AT375" i="15"/>
  <c r="AU375" i="15"/>
  <c r="AV375" i="15"/>
  <c r="AX375" i="15"/>
  <c r="AO376" i="15"/>
  <c r="AN376" i="15"/>
  <c r="AT376" i="15"/>
  <c r="AU376" i="15"/>
  <c r="AV376" i="15"/>
  <c r="AX376" i="15"/>
  <c r="AN377" i="15"/>
  <c r="AT377" i="15"/>
  <c r="AU377" i="15"/>
  <c r="AV377" i="15"/>
  <c r="AX377" i="15"/>
  <c r="AP378" i="15"/>
  <c r="AN378" i="15"/>
  <c r="AT378" i="15"/>
  <c r="AU378" i="15"/>
  <c r="AV378" i="15"/>
  <c r="AX378" i="15"/>
  <c r="AN379" i="15"/>
  <c r="AT379" i="15"/>
  <c r="AU379" i="15"/>
  <c r="AV379" i="15"/>
  <c r="AX379" i="15"/>
  <c r="AP380" i="15"/>
  <c r="AN380" i="15"/>
  <c r="AT380" i="15"/>
  <c r="AU380" i="15"/>
  <c r="AV380" i="15"/>
  <c r="AX380" i="15"/>
  <c r="AN381" i="15"/>
  <c r="AT381" i="15"/>
  <c r="AU381" i="15"/>
  <c r="AV381" i="15"/>
  <c r="AX381" i="15"/>
  <c r="AZ382" i="15"/>
  <c r="AN382" i="15"/>
  <c r="AT382" i="15"/>
  <c r="AU382" i="15"/>
  <c r="AV382" i="15"/>
  <c r="AX382" i="15"/>
  <c r="AZ383" i="15"/>
  <c r="AN383" i="15"/>
  <c r="AT383" i="15"/>
  <c r="AU383" i="15"/>
  <c r="AV383" i="15"/>
  <c r="AX383" i="15"/>
  <c r="AO384" i="15"/>
  <c r="AN384" i="15"/>
  <c r="AT384" i="15"/>
  <c r="AU384" i="15"/>
  <c r="AV384" i="15"/>
  <c r="AX384" i="15"/>
  <c r="AN385" i="15"/>
  <c r="AT385" i="15"/>
  <c r="AU385" i="15"/>
  <c r="AV385" i="15"/>
  <c r="AX385" i="15"/>
  <c r="AN386" i="15"/>
  <c r="AT386" i="15"/>
  <c r="AU386" i="15"/>
  <c r="AV386" i="15"/>
  <c r="AX386" i="15"/>
  <c r="AN387" i="15"/>
  <c r="AT387" i="15"/>
  <c r="AU387" i="15"/>
  <c r="AV387" i="15"/>
  <c r="AX387" i="15"/>
  <c r="AN388" i="15"/>
  <c r="AT388" i="15"/>
  <c r="AU388" i="15"/>
  <c r="AV388" i="15"/>
  <c r="AX388" i="15"/>
  <c r="AN389" i="15"/>
  <c r="AT389" i="15"/>
  <c r="AU389" i="15"/>
  <c r="AV389" i="15"/>
  <c r="AX389" i="15"/>
  <c r="AN390" i="15"/>
  <c r="AT390" i="15"/>
  <c r="AU390" i="15"/>
  <c r="AV390" i="15"/>
  <c r="AX390" i="15"/>
  <c r="AP391" i="15"/>
  <c r="AN391" i="15"/>
  <c r="AT391" i="15"/>
  <c r="AU391" i="15"/>
  <c r="AV391" i="15"/>
  <c r="AX391" i="15"/>
  <c r="AS392" i="15"/>
  <c r="AN392" i="15"/>
  <c r="AT392" i="15"/>
  <c r="AU392" i="15"/>
  <c r="AV392" i="15"/>
  <c r="AX392" i="15"/>
  <c r="AZ393" i="15"/>
  <c r="AN393" i="15"/>
  <c r="AT393" i="15"/>
  <c r="AU393" i="15"/>
  <c r="AV393" i="15"/>
  <c r="AX393" i="15"/>
  <c r="AN394" i="15"/>
  <c r="AT394" i="15"/>
  <c r="AU394" i="15"/>
  <c r="AV394" i="15"/>
  <c r="AX394" i="15"/>
  <c r="AO395" i="15"/>
  <c r="AN395" i="15"/>
  <c r="AT395" i="15"/>
  <c r="AU395" i="15"/>
  <c r="AV395" i="15"/>
  <c r="AX395" i="15"/>
  <c r="AN396" i="15"/>
  <c r="AT396" i="15"/>
  <c r="AU396" i="15"/>
  <c r="AV396" i="15"/>
  <c r="AX396" i="15"/>
  <c r="AO397" i="15"/>
  <c r="AN397" i="15"/>
  <c r="AT397" i="15"/>
  <c r="AU397" i="15"/>
  <c r="AV397" i="15"/>
  <c r="AX397" i="15"/>
  <c r="AO398" i="15"/>
  <c r="AN398" i="15"/>
  <c r="AT398" i="15"/>
  <c r="AU398" i="15"/>
  <c r="AV398" i="15"/>
  <c r="AX398" i="15"/>
  <c r="AZ399" i="15"/>
  <c r="AN399" i="15"/>
  <c r="AT399" i="15"/>
  <c r="AU399" i="15"/>
  <c r="AV399" i="15"/>
  <c r="AX399" i="15"/>
  <c r="AN400" i="15"/>
  <c r="AT400" i="15"/>
  <c r="AU400" i="15"/>
  <c r="AV400" i="15"/>
  <c r="AX400" i="15"/>
  <c r="AO401" i="15"/>
  <c r="AN401" i="15"/>
  <c r="AT401" i="15"/>
  <c r="AU401" i="15"/>
  <c r="AV401" i="15"/>
  <c r="AX401" i="15"/>
  <c r="AN402" i="15"/>
  <c r="AT402" i="15"/>
  <c r="AU402" i="15"/>
  <c r="AV402" i="15"/>
  <c r="AX402" i="15"/>
  <c r="AO403" i="15"/>
  <c r="AN403" i="15"/>
  <c r="AT403" i="15"/>
  <c r="AU403" i="15"/>
  <c r="AV403" i="15"/>
  <c r="AX403" i="15"/>
  <c r="AP404" i="15"/>
  <c r="AN404" i="15"/>
  <c r="AT404" i="15"/>
  <c r="AU404" i="15"/>
  <c r="AV404" i="15"/>
  <c r="AX404" i="15"/>
  <c r="AN405" i="15"/>
  <c r="AT405" i="15"/>
  <c r="AU405" i="15"/>
  <c r="AV405" i="15"/>
  <c r="AX405" i="15"/>
  <c r="AN406" i="15"/>
  <c r="AT406" i="15"/>
  <c r="AU406" i="15"/>
  <c r="AV406" i="15"/>
  <c r="AX406" i="15"/>
  <c r="AS407" i="15"/>
  <c r="AN407" i="15"/>
  <c r="AT407" i="15"/>
  <c r="AU407" i="15"/>
  <c r="AV407" i="15"/>
  <c r="AX407" i="15"/>
  <c r="AP408" i="15"/>
  <c r="AN408" i="15"/>
  <c r="AT408" i="15"/>
  <c r="AU408" i="15"/>
  <c r="AV408" i="15"/>
  <c r="AX408" i="15"/>
  <c r="AO409" i="15"/>
  <c r="AN409" i="15"/>
  <c r="AT409" i="15"/>
  <c r="AU409" i="15"/>
  <c r="AV409" i="15"/>
  <c r="AX409" i="15"/>
  <c r="AN410" i="15"/>
  <c r="AT410" i="15"/>
  <c r="AU410" i="15"/>
  <c r="AV410" i="15"/>
  <c r="AX410" i="15"/>
  <c r="AO411" i="15"/>
  <c r="AN411" i="15"/>
  <c r="AT411" i="15"/>
  <c r="AU411" i="15"/>
  <c r="AV411" i="15"/>
  <c r="AX411" i="15"/>
  <c r="AP412" i="15"/>
  <c r="AN412" i="15"/>
  <c r="AT412" i="15"/>
  <c r="AU412" i="15"/>
  <c r="AV412" i="15"/>
  <c r="AX412" i="15"/>
  <c r="AN413" i="15"/>
  <c r="AT413" i="15"/>
  <c r="AU413" i="15"/>
  <c r="AV413" i="15"/>
  <c r="AX413" i="15"/>
  <c r="AO414" i="15"/>
  <c r="AN414" i="15"/>
  <c r="AT414" i="15"/>
  <c r="AU414" i="15"/>
  <c r="AV414" i="15"/>
  <c r="AX414" i="15"/>
  <c r="AN415" i="15"/>
  <c r="AT415" i="15"/>
  <c r="AU415" i="15"/>
  <c r="AV415" i="15"/>
  <c r="AX415" i="15"/>
  <c r="AN416" i="15"/>
  <c r="AT416" i="15"/>
  <c r="AU416" i="15"/>
  <c r="AV416" i="15"/>
  <c r="AX416" i="15"/>
  <c r="AN417" i="15"/>
  <c r="AT417" i="15"/>
  <c r="AU417" i="15"/>
  <c r="AV417" i="15"/>
  <c r="AX417" i="15"/>
  <c r="AZ418" i="15"/>
  <c r="AN418" i="15"/>
  <c r="AT418" i="15"/>
  <c r="AU418" i="15"/>
  <c r="AV418" i="15"/>
  <c r="AX418" i="15"/>
  <c r="AO419" i="15"/>
  <c r="AN419" i="15"/>
  <c r="AT419" i="15"/>
  <c r="AU419" i="15"/>
  <c r="AV419" i="15"/>
  <c r="AX419" i="15"/>
  <c r="AP420" i="15"/>
  <c r="AN420" i="15"/>
  <c r="AT420" i="15"/>
  <c r="AU420" i="15"/>
  <c r="AV420" i="15"/>
  <c r="AX420" i="15"/>
  <c r="AN421" i="15"/>
  <c r="AT421" i="15"/>
  <c r="AU421" i="15"/>
  <c r="AV421" i="15"/>
  <c r="AX421" i="15"/>
  <c r="AS422" i="15"/>
  <c r="AN422" i="15"/>
  <c r="AT422" i="15"/>
  <c r="AU422" i="15"/>
  <c r="AV422" i="15"/>
  <c r="AX422" i="15"/>
  <c r="AO423" i="15"/>
  <c r="AN423" i="15"/>
  <c r="AT423" i="15"/>
  <c r="AU423" i="15"/>
  <c r="AV423" i="15"/>
  <c r="AX423" i="15"/>
  <c r="AP424" i="15"/>
  <c r="AN424" i="15"/>
  <c r="AT424" i="15"/>
  <c r="AU424" i="15"/>
  <c r="AV424" i="15"/>
  <c r="AX424" i="15"/>
  <c r="AN425" i="15"/>
  <c r="AT425" i="15"/>
  <c r="AU425" i="15"/>
  <c r="AV425" i="15"/>
  <c r="AX425" i="15"/>
  <c r="AO426" i="15"/>
  <c r="AN426" i="15"/>
  <c r="AT426" i="15"/>
  <c r="AU426" i="15"/>
  <c r="AV426" i="15"/>
  <c r="AX426" i="15"/>
  <c r="AN427" i="15"/>
  <c r="AT427" i="15"/>
  <c r="AU427" i="15"/>
  <c r="AV427" i="15"/>
  <c r="AX427" i="15"/>
  <c r="AO428" i="15"/>
  <c r="AN428" i="15"/>
  <c r="AT428" i="15"/>
  <c r="AU428" i="15"/>
  <c r="AV428" i="15"/>
  <c r="AX428" i="15"/>
  <c r="AP429" i="15"/>
  <c r="AN429" i="15"/>
  <c r="AT429" i="15"/>
  <c r="AU429" i="15"/>
  <c r="AV429" i="15"/>
  <c r="AX429" i="15"/>
  <c r="AO430" i="15"/>
  <c r="AN430" i="15"/>
  <c r="AT430" i="15"/>
  <c r="AU430" i="15"/>
  <c r="AV430" i="15"/>
  <c r="AX430" i="15"/>
  <c r="AO431" i="15"/>
  <c r="AN431" i="15"/>
  <c r="AT431" i="15"/>
  <c r="AU431" i="15"/>
  <c r="AV431" i="15"/>
  <c r="AX431" i="15"/>
  <c r="AP432" i="15"/>
  <c r="AN432" i="15"/>
  <c r="AT432" i="15"/>
  <c r="AU432" i="15"/>
  <c r="AV432" i="15"/>
  <c r="AX432" i="15"/>
  <c r="AP433" i="15"/>
  <c r="AN433" i="15"/>
  <c r="AT433" i="15"/>
  <c r="AU433" i="15"/>
  <c r="AV433" i="15"/>
  <c r="AX433" i="15"/>
  <c r="AN434" i="15"/>
  <c r="AT434" i="15"/>
  <c r="AU434" i="15"/>
  <c r="AV434" i="15"/>
  <c r="AX434" i="15"/>
  <c r="AO435" i="15"/>
  <c r="AN435" i="15"/>
  <c r="AT435" i="15"/>
  <c r="AU435" i="15"/>
  <c r="AV435" i="15"/>
  <c r="AX435" i="15"/>
  <c r="AN436" i="15"/>
  <c r="AT436" i="15"/>
  <c r="AU436" i="15"/>
  <c r="AV436" i="15"/>
  <c r="AX436" i="15"/>
  <c r="AN437" i="15"/>
  <c r="AT437" i="15"/>
  <c r="AU437" i="15"/>
  <c r="AV437" i="15"/>
  <c r="AX437" i="15"/>
  <c r="AO438" i="15"/>
  <c r="AN438" i="15"/>
  <c r="AT438" i="15"/>
  <c r="AU438" i="15"/>
  <c r="AV438" i="15"/>
  <c r="AX438" i="15"/>
  <c r="AO439" i="15"/>
  <c r="AN439" i="15"/>
  <c r="AT439" i="15"/>
  <c r="AU439" i="15"/>
  <c r="AV439" i="15"/>
  <c r="AX439" i="15"/>
  <c r="AP440" i="15"/>
  <c r="AN440" i="15"/>
  <c r="AT440" i="15"/>
  <c r="AU440" i="15"/>
  <c r="AV440" i="15"/>
  <c r="AX440" i="15"/>
  <c r="AN441" i="15"/>
  <c r="AT441" i="15"/>
  <c r="AU441" i="15"/>
  <c r="AV441" i="15"/>
  <c r="AX441" i="15"/>
  <c r="AQ442" i="15"/>
  <c r="AN442" i="15"/>
  <c r="AT442" i="15"/>
  <c r="AU442" i="15"/>
  <c r="AV442" i="15"/>
  <c r="AX442" i="15"/>
  <c r="AN443" i="15"/>
  <c r="AT443" i="15"/>
  <c r="AU443" i="15"/>
  <c r="AV443" i="15"/>
  <c r="AX443" i="15"/>
  <c r="AN444" i="15"/>
  <c r="AT444" i="15"/>
  <c r="AU444" i="15"/>
  <c r="AV444" i="15"/>
  <c r="AX444" i="15"/>
  <c r="AN445" i="15"/>
  <c r="AT445" i="15"/>
  <c r="AU445" i="15"/>
  <c r="AV445" i="15"/>
  <c r="AX445" i="15"/>
  <c r="AZ446" i="15"/>
  <c r="AN446" i="15"/>
  <c r="AT446" i="15"/>
  <c r="AU446" i="15"/>
  <c r="AV446" i="15"/>
  <c r="AX446" i="15"/>
  <c r="AN447" i="15"/>
  <c r="AT447" i="15"/>
  <c r="AU447" i="15"/>
  <c r="AV447" i="15"/>
  <c r="AX447" i="15"/>
  <c r="AN448" i="15"/>
  <c r="AT448" i="15"/>
  <c r="AU448" i="15"/>
  <c r="AV448" i="15"/>
  <c r="AX448" i="15"/>
  <c r="AP449" i="15"/>
  <c r="AN449" i="15"/>
  <c r="AT449" i="15"/>
  <c r="AU449" i="15"/>
  <c r="AV449" i="15"/>
  <c r="AX449" i="15"/>
  <c r="AN450" i="15"/>
  <c r="AT450" i="15"/>
  <c r="AU450" i="15"/>
  <c r="AV450" i="15"/>
  <c r="AX450" i="15"/>
  <c r="AZ451" i="15"/>
  <c r="AN451" i="15"/>
  <c r="AT451" i="15"/>
  <c r="AU451" i="15"/>
  <c r="AV451" i="15"/>
  <c r="AX451" i="15"/>
  <c r="AN452" i="15"/>
  <c r="AT452" i="15"/>
  <c r="AU452" i="15"/>
  <c r="AV452" i="15"/>
  <c r="AX452" i="15"/>
  <c r="AQ453" i="15"/>
  <c r="AN453" i="15"/>
  <c r="AT453" i="15"/>
  <c r="AU453" i="15"/>
  <c r="AV453" i="15"/>
  <c r="AX453" i="15"/>
  <c r="AO454" i="15"/>
  <c r="AN454" i="15"/>
  <c r="AT454" i="15"/>
  <c r="AU454" i="15"/>
  <c r="AV454" i="15"/>
  <c r="AX454" i="15"/>
  <c r="AO455" i="15"/>
  <c r="AN455" i="15"/>
  <c r="AT455" i="15"/>
  <c r="AU455" i="15"/>
  <c r="AV455" i="15"/>
  <c r="AX455" i="15"/>
  <c r="AS456" i="15"/>
  <c r="AN456" i="15"/>
  <c r="AT456" i="15"/>
  <c r="AU456" i="15"/>
  <c r="AV456" i="15"/>
  <c r="AX456" i="15"/>
  <c r="AN457" i="15"/>
  <c r="AT457" i="15"/>
  <c r="AU457" i="15"/>
  <c r="AV457" i="15"/>
  <c r="AX457" i="15"/>
  <c r="AZ458" i="15"/>
  <c r="AN458" i="15"/>
  <c r="AT458" i="15"/>
  <c r="AU458" i="15"/>
  <c r="AV458" i="15"/>
  <c r="AX458" i="15"/>
  <c r="AZ459" i="15"/>
  <c r="AN459" i="15"/>
  <c r="AT459" i="15"/>
  <c r="AU459" i="15"/>
  <c r="AV459" i="15"/>
  <c r="AX459" i="15"/>
  <c r="AN460" i="15"/>
  <c r="AT460" i="15"/>
  <c r="AU460" i="15"/>
  <c r="AV460" i="15"/>
  <c r="AX460" i="15"/>
  <c r="AP461" i="15"/>
  <c r="AN461" i="15"/>
  <c r="AT461" i="15"/>
  <c r="AU461" i="15"/>
  <c r="AV461" i="15"/>
  <c r="AX461" i="15"/>
  <c r="AN462" i="15"/>
  <c r="AT462" i="15"/>
  <c r="AU462" i="15"/>
  <c r="AV462" i="15"/>
  <c r="AX462" i="15"/>
  <c r="AN463" i="15"/>
  <c r="AT463" i="15"/>
  <c r="AU463" i="15"/>
  <c r="AV463" i="15"/>
  <c r="AX463" i="15"/>
  <c r="AP464" i="15"/>
  <c r="AN464" i="15"/>
  <c r="AT464" i="15"/>
  <c r="AU464" i="15"/>
  <c r="AV464" i="15"/>
  <c r="AX464" i="15"/>
  <c r="AN465" i="15"/>
  <c r="AT465" i="15"/>
  <c r="AU465" i="15"/>
  <c r="AV465" i="15"/>
  <c r="AX465" i="15"/>
  <c r="AZ466" i="15"/>
  <c r="AN466" i="15"/>
  <c r="AT466" i="15"/>
  <c r="AU466" i="15"/>
  <c r="AV466" i="15"/>
  <c r="AX466" i="15"/>
  <c r="AP467" i="15"/>
  <c r="AN467" i="15"/>
  <c r="AT467" i="15"/>
  <c r="AU467" i="15"/>
  <c r="AV467" i="15"/>
  <c r="AX467" i="15"/>
  <c r="AN468" i="15"/>
  <c r="AT468" i="15"/>
  <c r="AU468" i="15"/>
  <c r="AV468" i="15"/>
  <c r="AX468" i="15"/>
  <c r="AZ469" i="15"/>
  <c r="AN469" i="15"/>
  <c r="AT469" i="15"/>
  <c r="AU469" i="15"/>
  <c r="AV469" i="15"/>
  <c r="AX469" i="15"/>
  <c r="AZ470" i="15"/>
  <c r="AN470" i="15"/>
  <c r="AT470" i="15"/>
  <c r="AU470" i="15"/>
  <c r="AV470" i="15"/>
  <c r="AX470" i="15"/>
  <c r="AZ471" i="15"/>
  <c r="AN471" i="15"/>
  <c r="AT471" i="15"/>
  <c r="AU471" i="15"/>
  <c r="AV471" i="15"/>
  <c r="AX471" i="15"/>
  <c r="AZ472" i="15"/>
  <c r="AN472" i="15"/>
  <c r="AT472" i="15"/>
  <c r="AU472" i="15"/>
  <c r="AV472" i="15"/>
  <c r="AX472" i="15"/>
  <c r="AN473" i="15"/>
  <c r="AT473" i="15"/>
  <c r="AU473" i="15"/>
  <c r="AV473" i="15"/>
  <c r="AX473" i="15"/>
  <c r="AN474" i="15"/>
  <c r="AT474" i="15"/>
  <c r="AU474" i="15"/>
  <c r="AV474" i="15"/>
  <c r="AX474" i="15"/>
  <c r="AQ475" i="15"/>
  <c r="AN475" i="15"/>
  <c r="AT475" i="15"/>
  <c r="AU475" i="15"/>
  <c r="AV475" i="15"/>
  <c r="AX475" i="15"/>
  <c r="AN476" i="15"/>
  <c r="AT476" i="15"/>
  <c r="AU476" i="15"/>
  <c r="AV476" i="15"/>
  <c r="AX476" i="15"/>
  <c r="AN477" i="15"/>
  <c r="AT477" i="15"/>
  <c r="AU477" i="15"/>
  <c r="AV477" i="15"/>
  <c r="AX477" i="15"/>
  <c r="AZ478" i="15"/>
  <c r="AN478" i="15"/>
  <c r="AT478" i="15"/>
  <c r="AU478" i="15"/>
  <c r="AV478" i="15"/>
  <c r="AX478" i="15"/>
  <c r="AN479" i="15"/>
  <c r="AT479" i="15"/>
  <c r="AU479" i="15"/>
  <c r="AV479" i="15"/>
  <c r="AX479" i="15"/>
  <c r="AO480" i="15"/>
  <c r="AN480" i="15"/>
  <c r="AT480" i="15"/>
  <c r="AU480" i="15"/>
  <c r="AV480" i="15"/>
  <c r="AX480" i="15"/>
  <c r="AN481" i="15"/>
  <c r="AT481" i="15"/>
  <c r="AU481" i="15"/>
  <c r="AV481" i="15"/>
  <c r="AX481" i="15"/>
  <c r="AZ482" i="15"/>
  <c r="AN482" i="15"/>
  <c r="AT482" i="15"/>
  <c r="AU482" i="15"/>
  <c r="AV482" i="15"/>
  <c r="AX482" i="15"/>
  <c r="AQ483" i="15"/>
  <c r="AN483" i="15"/>
  <c r="AT483" i="15"/>
  <c r="AU483" i="15"/>
  <c r="AV483" i="15"/>
  <c r="AX483" i="15"/>
  <c r="AN484" i="15"/>
  <c r="AT484" i="15"/>
  <c r="AU484" i="15"/>
  <c r="AV484" i="15"/>
  <c r="AX484" i="15"/>
  <c r="AP485" i="15"/>
  <c r="AN485" i="15"/>
  <c r="AT485" i="15"/>
  <c r="AU485" i="15"/>
  <c r="AV485" i="15"/>
  <c r="AX485" i="15"/>
  <c r="AN486" i="15"/>
  <c r="AT486" i="15"/>
  <c r="AU486" i="15"/>
  <c r="AV486" i="15"/>
  <c r="AX486" i="15"/>
  <c r="AN487" i="15"/>
  <c r="AT487" i="15"/>
  <c r="AU487" i="15"/>
  <c r="AV487" i="15"/>
  <c r="AX487" i="15"/>
  <c r="AZ488" i="15"/>
  <c r="AN488" i="15"/>
  <c r="AT488" i="15"/>
  <c r="AU488" i="15"/>
  <c r="AV488" i="15"/>
  <c r="AX488" i="15"/>
  <c r="AN489" i="15"/>
  <c r="AT489" i="15"/>
  <c r="AU489" i="15"/>
  <c r="AV489" i="15"/>
  <c r="AX489" i="15"/>
  <c r="AZ490" i="15"/>
  <c r="AN490" i="15"/>
  <c r="AT490" i="15"/>
  <c r="AU490" i="15"/>
  <c r="AV490" i="15"/>
  <c r="AX490" i="15"/>
  <c r="AO491" i="15"/>
  <c r="AN491" i="15"/>
  <c r="AT491" i="15"/>
  <c r="AU491" i="15"/>
  <c r="AV491" i="15"/>
  <c r="AX491" i="15"/>
  <c r="AN492" i="15"/>
  <c r="AT492" i="15"/>
  <c r="AU492" i="15"/>
  <c r="AV492" i="15"/>
  <c r="AX492" i="15"/>
  <c r="AN493" i="15"/>
  <c r="AT493" i="15"/>
  <c r="AU493" i="15"/>
  <c r="AV493" i="15"/>
  <c r="AX493" i="15"/>
  <c r="AZ494" i="15"/>
  <c r="AN494" i="15"/>
  <c r="AT494" i="15"/>
  <c r="AU494" i="15"/>
  <c r="AV494" i="15"/>
  <c r="AX494" i="15"/>
  <c r="AZ495" i="15"/>
  <c r="AN495" i="15"/>
  <c r="AT495" i="15"/>
  <c r="AU495" i="15"/>
  <c r="AV495" i="15"/>
  <c r="AX495" i="15"/>
  <c r="AN496" i="15"/>
  <c r="AT496" i="15"/>
  <c r="AU496" i="15"/>
  <c r="AV496" i="15"/>
  <c r="AX496" i="15"/>
  <c r="AP497" i="15"/>
  <c r="AN497" i="15"/>
  <c r="AT497" i="15"/>
  <c r="AU497" i="15"/>
  <c r="AV497" i="15"/>
  <c r="AX497" i="15"/>
  <c r="AN498" i="15"/>
  <c r="AT498" i="15"/>
  <c r="AU498" i="15"/>
  <c r="AV498" i="15"/>
  <c r="AX498" i="15"/>
  <c r="AZ499" i="15"/>
  <c r="AN499" i="15"/>
  <c r="AT499" i="15"/>
  <c r="AU499" i="15"/>
  <c r="AV499" i="15"/>
  <c r="AX499" i="15"/>
  <c r="AN500" i="15"/>
  <c r="AT500" i="15"/>
  <c r="AU500" i="15"/>
  <c r="AV500" i="15"/>
  <c r="AX500" i="15"/>
  <c r="AP501" i="15"/>
  <c r="AN501" i="15"/>
  <c r="AT501" i="15"/>
  <c r="AU501" i="15"/>
  <c r="AV501" i="15"/>
  <c r="AX501" i="15"/>
  <c r="AO502" i="15"/>
  <c r="AN502" i="15"/>
  <c r="AT502" i="15"/>
  <c r="AU502" i="15"/>
  <c r="AV502" i="15"/>
  <c r="AX502" i="15"/>
  <c r="AN503" i="15"/>
  <c r="AT503" i="15"/>
  <c r="AU503" i="15"/>
  <c r="AV503" i="15"/>
  <c r="AX503" i="15"/>
  <c r="AN504" i="15"/>
  <c r="AT504" i="15"/>
  <c r="AU504" i="15"/>
  <c r="AV504" i="15"/>
  <c r="AX504" i="15"/>
  <c r="AN505" i="15"/>
  <c r="AT505" i="15"/>
  <c r="AU505" i="15"/>
  <c r="AV505" i="15"/>
  <c r="AX505" i="15"/>
  <c r="AP506" i="15"/>
  <c r="AN506" i="15"/>
  <c r="AT506" i="15"/>
  <c r="AU506" i="15"/>
  <c r="AV506" i="15"/>
  <c r="AX506" i="15"/>
  <c r="AZ507" i="15"/>
  <c r="AN507" i="15"/>
  <c r="AT507" i="15"/>
  <c r="AU507" i="15"/>
  <c r="AV507" i="15"/>
  <c r="AX507" i="15"/>
  <c r="AN508" i="15"/>
  <c r="AT508" i="15"/>
  <c r="AU508" i="15"/>
  <c r="AV508" i="15"/>
  <c r="AX508" i="15"/>
  <c r="AP509" i="15"/>
  <c r="AN509" i="15"/>
  <c r="AT509" i="15"/>
  <c r="AU509" i="15"/>
  <c r="AV509" i="15"/>
  <c r="AX509" i="15"/>
  <c r="AQ510" i="15"/>
  <c r="AN510" i="15"/>
  <c r="AT510" i="15"/>
  <c r="AU510" i="15"/>
  <c r="AV510" i="15"/>
  <c r="AX510" i="15"/>
  <c r="AP511" i="15"/>
  <c r="AN511" i="15"/>
  <c r="AT511" i="15"/>
  <c r="AU511" i="15"/>
  <c r="AV511" i="15"/>
  <c r="AX511" i="15"/>
  <c r="AN512" i="15"/>
  <c r="AT512" i="15"/>
  <c r="AU512" i="15"/>
  <c r="AV512" i="15"/>
  <c r="AX512" i="15"/>
  <c r="AP513" i="15"/>
  <c r="AN513" i="15"/>
  <c r="AT513" i="15"/>
  <c r="AU513" i="15"/>
  <c r="AV513" i="15"/>
  <c r="AX513" i="15"/>
  <c r="AZ514" i="15"/>
  <c r="AN514" i="15"/>
  <c r="AT514" i="15"/>
  <c r="AU514" i="15"/>
  <c r="AV514" i="15"/>
  <c r="AX514" i="15"/>
  <c r="AS515" i="15"/>
  <c r="AN515" i="15"/>
  <c r="AT515" i="15"/>
  <c r="AU515" i="15"/>
  <c r="AV515" i="15"/>
  <c r="AX515" i="15"/>
  <c r="AN516" i="15"/>
  <c r="AT516" i="15"/>
  <c r="AU516" i="15"/>
  <c r="AV516" i="15"/>
  <c r="AX516" i="15"/>
  <c r="AO517" i="15"/>
  <c r="AN517" i="15"/>
  <c r="AT517" i="15"/>
  <c r="AU517" i="15"/>
  <c r="AV517" i="15"/>
  <c r="AX517" i="15"/>
  <c r="AN518" i="15"/>
  <c r="AT518" i="15"/>
  <c r="AU518" i="15"/>
  <c r="AV518" i="15"/>
  <c r="AX518" i="15"/>
  <c r="AO519" i="15"/>
  <c r="AN519" i="15"/>
  <c r="AT519" i="15"/>
  <c r="AU519" i="15"/>
  <c r="AV519" i="15"/>
  <c r="AX519" i="15"/>
  <c r="AN520" i="15"/>
  <c r="AT520" i="15"/>
  <c r="AU520" i="15"/>
  <c r="AV520" i="15"/>
  <c r="AX520" i="15"/>
  <c r="AO521" i="15"/>
  <c r="AN521" i="15"/>
  <c r="AT521" i="15"/>
  <c r="AU521" i="15"/>
  <c r="AV521" i="15"/>
  <c r="AX521" i="15"/>
  <c r="AN522" i="15"/>
  <c r="AT522" i="15"/>
  <c r="AU522" i="15"/>
  <c r="AV522" i="15"/>
  <c r="AX522" i="15"/>
  <c r="AN523" i="15"/>
  <c r="AT523" i="15"/>
  <c r="AU523" i="15"/>
  <c r="AV523" i="15"/>
  <c r="AX523" i="15"/>
  <c r="AO524" i="15"/>
  <c r="AN524" i="15"/>
  <c r="AT524" i="15"/>
  <c r="AU524" i="15"/>
  <c r="AV524" i="15"/>
  <c r="AX524" i="15"/>
  <c r="AS525" i="15"/>
  <c r="AN525" i="15"/>
  <c r="AT525" i="15"/>
  <c r="AU525" i="15"/>
  <c r="AV525" i="15"/>
  <c r="AX525" i="15"/>
  <c r="AO526" i="15"/>
  <c r="AN526" i="15"/>
  <c r="AT526" i="15"/>
  <c r="AU526" i="15"/>
  <c r="AV526" i="15"/>
  <c r="AX526" i="15"/>
  <c r="AN527" i="15"/>
  <c r="AT527" i="15"/>
  <c r="AU527" i="15"/>
  <c r="AV527" i="15"/>
  <c r="AX527" i="15"/>
  <c r="AP528" i="15"/>
  <c r="AN528" i="15"/>
  <c r="AT528" i="15"/>
  <c r="AU528" i="15"/>
  <c r="AV528" i="15"/>
  <c r="AX528" i="15"/>
  <c r="AO529" i="15"/>
  <c r="AN529" i="15"/>
  <c r="AT529" i="15"/>
  <c r="AU529" i="15"/>
  <c r="AV529" i="15"/>
  <c r="AX529" i="15"/>
  <c r="AN530" i="15"/>
  <c r="AT530" i="15"/>
  <c r="AU530" i="15"/>
  <c r="AV530" i="15"/>
  <c r="AX530" i="15"/>
  <c r="AN531" i="15"/>
  <c r="AT531" i="15"/>
  <c r="AU531" i="15"/>
  <c r="AV531" i="15"/>
  <c r="AX531" i="15"/>
  <c r="AN532" i="15"/>
  <c r="AT532" i="15"/>
  <c r="AU532" i="15"/>
  <c r="AV532" i="15"/>
  <c r="AX532" i="15"/>
  <c r="AS533" i="15"/>
  <c r="AN533" i="15"/>
  <c r="AT533" i="15"/>
  <c r="AU533" i="15"/>
  <c r="AV533" i="15"/>
  <c r="AX533" i="15"/>
  <c r="AO534" i="15"/>
  <c r="AN534" i="15"/>
  <c r="AT534" i="15"/>
  <c r="AU534" i="15"/>
  <c r="AV534" i="15"/>
  <c r="AX534" i="15"/>
  <c r="AN535" i="15"/>
  <c r="AT535" i="15"/>
  <c r="AU535" i="15"/>
  <c r="AV535" i="15"/>
  <c r="AX535" i="15"/>
  <c r="AN536" i="15"/>
  <c r="AT536" i="15"/>
  <c r="AU536" i="15"/>
  <c r="AV536" i="15"/>
  <c r="AX536" i="15"/>
  <c r="AN537" i="15"/>
  <c r="AT537" i="15"/>
  <c r="AU537" i="15"/>
  <c r="AV537" i="15"/>
  <c r="AX537" i="15"/>
  <c r="AZ538" i="15"/>
  <c r="AN538" i="15"/>
  <c r="AT538" i="15"/>
  <c r="AU538" i="15"/>
  <c r="AV538" i="15"/>
  <c r="AX538" i="15"/>
  <c r="AN539" i="15"/>
  <c r="AT539" i="15"/>
  <c r="AU539" i="15"/>
  <c r="AV539" i="15"/>
  <c r="AX539" i="15"/>
  <c r="AS540" i="15"/>
  <c r="AN540" i="15"/>
  <c r="AT540" i="15"/>
  <c r="AU540" i="15"/>
  <c r="AV540" i="15"/>
  <c r="AX540" i="15"/>
  <c r="AZ541" i="15"/>
  <c r="AN541" i="15"/>
  <c r="AT541" i="15"/>
  <c r="AU541" i="15"/>
  <c r="AV541" i="15"/>
  <c r="AX541" i="15"/>
  <c r="AN542" i="15"/>
  <c r="AT542" i="15"/>
  <c r="AU542" i="15"/>
  <c r="AV542" i="15"/>
  <c r="AX542" i="15"/>
  <c r="AN543" i="15"/>
  <c r="AT543" i="15"/>
  <c r="AU543" i="15"/>
  <c r="AV543" i="15"/>
  <c r="AX543" i="15"/>
  <c r="AS544" i="15"/>
  <c r="AN544" i="15"/>
  <c r="AT544" i="15"/>
  <c r="AU544" i="15"/>
  <c r="AV544" i="15"/>
  <c r="AX544" i="15"/>
  <c r="AQ545" i="15"/>
  <c r="AN545" i="15"/>
  <c r="AT545" i="15"/>
  <c r="AU545" i="15"/>
  <c r="AV545" i="15"/>
  <c r="AX545" i="15"/>
  <c r="AZ546" i="15"/>
  <c r="AN546" i="15"/>
  <c r="AT546" i="15"/>
  <c r="AU546" i="15"/>
  <c r="AV546" i="15"/>
  <c r="AX546" i="15"/>
  <c r="AN547" i="15"/>
  <c r="AT547" i="15"/>
  <c r="AU547" i="15"/>
  <c r="AV547" i="15"/>
  <c r="AX547" i="15"/>
  <c r="AS548" i="15"/>
  <c r="AN548" i="15"/>
  <c r="AT548" i="15"/>
  <c r="AU548" i="15"/>
  <c r="AV548" i="15"/>
  <c r="AX548" i="15"/>
  <c r="AP549" i="15"/>
  <c r="AN549" i="15"/>
  <c r="AT549" i="15"/>
  <c r="AU549" i="15"/>
  <c r="AV549" i="15"/>
  <c r="AX549" i="15"/>
  <c r="AO550" i="15"/>
  <c r="AN550" i="15"/>
  <c r="AT550" i="15"/>
  <c r="AU550" i="15"/>
  <c r="AV550" i="15"/>
  <c r="AX550" i="15"/>
  <c r="AN551" i="15"/>
  <c r="AT551" i="15"/>
  <c r="AU551" i="15"/>
  <c r="AV551" i="15"/>
  <c r="AX551" i="15"/>
  <c r="AN552" i="15"/>
  <c r="AT552" i="15"/>
  <c r="AU552" i="15"/>
  <c r="AV552" i="15"/>
  <c r="AX552" i="15"/>
  <c r="AS553" i="15"/>
  <c r="AN553" i="15"/>
  <c r="AT553" i="15"/>
  <c r="AU553" i="15"/>
  <c r="AV553" i="15"/>
  <c r="AX553" i="15"/>
  <c r="AN554" i="15"/>
  <c r="AT554" i="15"/>
  <c r="AU554" i="15"/>
  <c r="AV554" i="15"/>
  <c r="AX554" i="15"/>
  <c r="AN555" i="15"/>
  <c r="AT555" i="15"/>
  <c r="AU555" i="15"/>
  <c r="AV555" i="15"/>
  <c r="AX555" i="15"/>
  <c r="AO556" i="15"/>
  <c r="AN556" i="15"/>
  <c r="AT556" i="15"/>
  <c r="AU556" i="15"/>
  <c r="AV556" i="15"/>
  <c r="AX556" i="15"/>
  <c r="AZ557" i="15"/>
  <c r="AN557" i="15"/>
  <c r="AT557" i="15"/>
  <c r="AU557" i="15"/>
  <c r="AV557" i="15"/>
  <c r="AX557" i="15"/>
  <c r="AN558" i="15"/>
  <c r="AT558" i="15"/>
  <c r="AU558" i="15"/>
  <c r="AV558" i="15"/>
  <c r="AX558" i="15"/>
  <c r="AS559" i="15"/>
  <c r="AN559" i="15"/>
  <c r="AT559" i="15"/>
  <c r="AU559" i="15"/>
  <c r="AV559" i="15"/>
  <c r="AX559" i="15"/>
  <c r="AP560" i="15"/>
  <c r="AN560" i="15"/>
  <c r="AT560" i="15"/>
  <c r="AU560" i="15"/>
  <c r="AV560" i="15"/>
  <c r="AX560" i="15"/>
  <c r="AN561" i="15"/>
  <c r="AT561" i="15"/>
  <c r="AU561" i="15"/>
  <c r="AV561" i="15"/>
  <c r="AX561" i="15"/>
  <c r="AN562" i="15"/>
  <c r="AT562" i="15"/>
  <c r="AU562" i="15"/>
  <c r="AV562" i="15"/>
  <c r="AX562" i="15"/>
  <c r="AN563" i="15"/>
  <c r="AT563" i="15"/>
  <c r="AU563" i="15"/>
  <c r="AV563" i="15"/>
  <c r="AX563" i="15"/>
  <c r="AP564" i="15"/>
  <c r="AN564" i="15"/>
  <c r="AT564" i="15"/>
  <c r="AU564" i="15"/>
  <c r="AV564" i="15"/>
  <c r="AX564" i="15"/>
  <c r="AN565" i="15"/>
  <c r="AT565" i="15"/>
  <c r="AU565" i="15"/>
  <c r="AV565" i="15"/>
  <c r="AX565" i="15"/>
  <c r="AN566" i="15"/>
  <c r="AT566" i="15"/>
  <c r="AU566" i="15"/>
  <c r="AV566" i="15"/>
  <c r="AX566" i="15"/>
  <c r="AN567" i="15"/>
  <c r="AT567" i="15"/>
  <c r="AU567" i="15"/>
  <c r="AV567" i="15"/>
  <c r="AX567" i="15"/>
  <c r="AP568" i="15"/>
  <c r="AN568" i="15"/>
  <c r="AT568" i="15"/>
  <c r="AU568" i="15"/>
  <c r="AV568" i="15"/>
  <c r="AX568" i="15"/>
  <c r="AN569" i="15"/>
  <c r="AT569" i="15"/>
  <c r="AU569" i="15"/>
  <c r="AV569" i="15"/>
  <c r="AX569" i="15"/>
  <c r="AN570" i="15"/>
  <c r="AT570" i="15"/>
  <c r="AU570" i="15"/>
  <c r="AV570" i="15"/>
  <c r="AX570" i="15"/>
  <c r="AN571" i="15"/>
  <c r="AT571" i="15"/>
  <c r="AU571" i="15"/>
  <c r="AV571" i="15"/>
  <c r="AX571" i="15"/>
  <c r="AN572" i="15"/>
  <c r="AT572" i="15"/>
  <c r="AU572" i="15"/>
  <c r="AV572" i="15"/>
  <c r="AX572" i="15"/>
  <c r="AS573" i="15"/>
  <c r="AN573" i="15"/>
  <c r="AT573" i="15"/>
  <c r="AU573" i="15"/>
  <c r="AV573" i="15"/>
  <c r="AX573" i="15"/>
  <c r="AP574" i="15"/>
  <c r="AN574" i="15"/>
  <c r="AT574" i="15"/>
  <c r="AU574" i="15"/>
  <c r="AV574" i="15"/>
  <c r="AX574" i="15"/>
  <c r="AZ575" i="15"/>
  <c r="AN575" i="15"/>
  <c r="AT575" i="15"/>
  <c r="AU575" i="15"/>
  <c r="AV575" i="15"/>
  <c r="AX575" i="15"/>
  <c r="AN576" i="15"/>
  <c r="AT576" i="15"/>
  <c r="AU576" i="15"/>
  <c r="AV576" i="15"/>
  <c r="AX576" i="15"/>
  <c r="AO577" i="15"/>
  <c r="AN577" i="15"/>
  <c r="AT577" i="15"/>
  <c r="AU577" i="15"/>
  <c r="AV577" i="15"/>
  <c r="AX577" i="15"/>
  <c r="AN578" i="15"/>
  <c r="AT578" i="15"/>
  <c r="AU578" i="15"/>
  <c r="AV578" i="15"/>
  <c r="AX578" i="15"/>
  <c r="AO579" i="15"/>
  <c r="AN579" i="15"/>
  <c r="AT579" i="15"/>
  <c r="AU579" i="15"/>
  <c r="AV579" i="15"/>
  <c r="AX579" i="15"/>
  <c r="AS580" i="15"/>
  <c r="AN580" i="15"/>
  <c r="AT580" i="15"/>
  <c r="AU580" i="15"/>
  <c r="AV580" i="15"/>
  <c r="AX580" i="15"/>
  <c r="AN581" i="15"/>
  <c r="AT581" i="15"/>
  <c r="AU581" i="15"/>
  <c r="AV581" i="15"/>
  <c r="AX581" i="15"/>
  <c r="AN582" i="15"/>
  <c r="AT582" i="15"/>
  <c r="AU582" i="15"/>
  <c r="AV582" i="15"/>
  <c r="AX582" i="15"/>
  <c r="AZ583" i="15"/>
  <c r="AN583" i="15"/>
  <c r="AT583" i="15"/>
  <c r="AU583" i="15"/>
  <c r="AV583" i="15"/>
  <c r="AX583" i="15"/>
  <c r="AO584" i="15"/>
  <c r="AN584" i="15"/>
  <c r="AT584" i="15"/>
  <c r="AU584" i="15"/>
  <c r="AV584" i="15"/>
  <c r="AX584" i="15"/>
  <c r="AN585" i="15"/>
  <c r="AT585" i="15"/>
  <c r="AU585" i="15"/>
  <c r="AV585" i="15"/>
  <c r="AX585" i="15"/>
  <c r="AP586" i="15"/>
  <c r="AN586" i="15"/>
  <c r="AT586" i="15"/>
  <c r="AU586" i="15"/>
  <c r="AV586" i="15"/>
  <c r="AX586" i="15"/>
  <c r="AN587" i="15"/>
  <c r="AT587" i="15"/>
  <c r="AU587" i="15"/>
  <c r="AV587" i="15"/>
  <c r="AX587" i="15"/>
  <c r="AN588" i="15"/>
  <c r="AT588" i="15"/>
  <c r="AU588" i="15"/>
  <c r="AV588" i="15"/>
  <c r="AX588" i="15"/>
  <c r="AN589" i="15"/>
  <c r="AT589" i="15"/>
  <c r="AU589" i="15"/>
  <c r="AV589" i="15"/>
  <c r="AX589" i="15"/>
  <c r="AS590" i="15"/>
  <c r="AN590" i="15"/>
  <c r="AT590" i="15"/>
  <c r="AU590" i="15"/>
  <c r="AV590" i="15"/>
  <c r="AX590" i="15"/>
  <c r="AN591" i="15"/>
  <c r="AT591" i="15"/>
  <c r="AU591" i="15"/>
  <c r="AV591" i="15"/>
  <c r="AX591" i="15"/>
  <c r="AN592" i="15"/>
  <c r="AT592" i="15"/>
  <c r="AU592" i="15"/>
  <c r="AV592" i="15"/>
  <c r="AX592" i="15"/>
  <c r="AN593" i="15"/>
  <c r="AT593" i="15"/>
  <c r="AU593" i="15"/>
  <c r="AV593" i="15"/>
  <c r="AX593" i="15"/>
  <c r="AP594" i="15"/>
  <c r="AN594" i="15"/>
  <c r="AT594" i="15"/>
  <c r="AU594" i="15"/>
  <c r="AV594" i="15"/>
  <c r="AX594" i="15"/>
  <c r="AN595" i="15"/>
  <c r="AT595" i="15"/>
  <c r="AU595" i="15"/>
  <c r="AV595" i="15"/>
  <c r="AX595" i="15"/>
  <c r="AN596" i="15"/>
  <c r="AT596" i="15"/>
  <c r="AU596" i="15"/>
  <c r="AV596" i="15"/>
  <c r="AX596" i="15"/>
  <c r="AQ597" i="15"/>
  <c r="AN597" i="15"/>
  <c r="AT597" i="15"/>
  <c r="AU597" i="15"/>
  <c r="AV597" i="15"/>
  <c r="AX597" i="15"/>
  <c r="AP598" i="15"/>
  <c r="AN598" i="15"/>
  <c r="AT598" i="15"/>
  <c r="AU598" i="15"/>
  <c r="AV598" i="15"/>
  <c r="AX598" i="15"/>
  <c r="AP599" i="15"/>
  <c r="AN599" i="15"/>
  <c r="AT599" i="15"/>
  <c r="AU599" i="15"/>
  <c r="AV599" i="15"/>
  <c r="AX599" i="15"/>
  <c r="AN600" i="15"/>
  <c r="AT600" i="15"/>
  <c r="AU600" i="15"/>
  <c r="AV600" i="15"/>
  <c r="AX600" i="15"/>
  <c r="AO601" i="15"/>
  <c r="AN601" i="15"/>
  <c r="AT601" i="15"/>
  <c r="AU601" i="15"/>
  <c r="AV601" i="15"/>
  <c r="AX601" i="15"/>
  <c r="AP602" i="15"/>
  <c r="AN602" i="15"/>
  <c r="AT602" i="15"/>
  <c r="AU602" i="15"/>
  <c r="AV602" i="15"/>
  <c r="AX602" i="15"/>
  <c r="AN603" i="15"/>
  <c r="AT603" i="15"/>
  <c r="AU603" i="15"/>
  <c r="AV603" i="15"/>
  <c r="AX603" i="15"/>
  <c r="AO604" i="15"/>
  <c r="AN604" i="15"/>
  <c r="AT604" i="15"/>
  <c r="AU604" i="15"/>
  <c r="AV604" i="15"/>
  <c r="AX604" i="15"/>
  <c r="AO605" i="15"/>
  <c r="AN605" i="15"/>
  <c r="AT605" i="15"/>
  <c r="AU605" i="15"/>
  <c r="AV605" i="15"/>
  <c r="AX605" i="15"/>
  <c r="AQ606" i="15"/>
  <c r="AN606" i="15"/>
  <c r="AT606" i="15"/>
  <c r="AU606" i="15"/>
  <c r="AV606" i="15"/>
  <c r="AX606" i="15"/>
  <c r="AN607" i="15"/>
  <c r="AT607" i="15"/>
  <c r="AU607" i="15"/>
  <c r="AV607" i="15"/>
  <c r="AX607" i="15"/>
  <c r="AP608" i="15"/>
  <c r="AN608" i="15"/>
  <c r="AT608" i="15"/>
  <c r="AU608" i="15"/>
  <c r="AV608" i="15"/>
  <c r="AX608" i="15"/>
  <c r="AO609" i="15"/>
  <c r="AN609" i="15"/>
  <c r="AT609" i="15"/>
  <c r="AU609" i="15"/>
  <c r="AV609" i="15"/>
  <c r="AX609" i="15"/>
  <c r="AZ610" i="15"/>
  <c r="AN610" i="15"/>
  <c r="AT610" i="15"/>
  <c r="AU610" i="15"/>
  <c r="AV610" i="15"/>
  <c r="AX610" i="15"/>
  <c r="AP611" i="15"/>
  <c r="AN611" i="15"/>
  <c r="AT611" i="15"/>
  <c r="AU611" i="15"/>
  <c r="AV611" i="15"/>
  <c r="AX611" i="15"/>
  <c r="AZ612" i="15"/>
  <c r="AN612" i="15"/>
  <c r="AT612" i="15"/>
  <c r="AU612" i="15"/>
  <c r="AV612" i="15"/>
  <c r="AX612" i="15"/>
  <c r="AS613" i="15"/>
  <c r="AN613" i="15"/>
  <c r="AT613" i="15"/>
  <c r="AU613" i="15"/>
  <c r="AV613" i="15"/>
  <c r="AX613" i="15"/>
  <c r="AP614" i="15"/>
  <c r="AN614" i="15"/>
  <c r="AT614" i="15"/>
  <c r="AU614" i="15"/>
  <c r="AV614" i="15"/>
  <c r="AX614" i="15"/>
  <c r="AP615" i="15"/>
  <c r="AN615" i="15"/>
  <c r="AT615" i="15"/>
  <c r="AU615" i="15"/>
  <c r="AV615" i="15"/>
  <c r="AX615" i="15"/>
  <c r="AZ616" i="15"/>
  <c r="AN616" i="15"/>
  <c r="AT616" i="15"/>
  <c r="AU616" i="15"/>
  <c r="AV616" i="15"/>
  <c r="AX616" i="15"/>
  <c r="AN617" i="15"/>
  <c r="AT617" i="15"/>
  <c r="AU617" i="15"/>
  <c r="AV617" i="15"/>
  <c r="AX617" i="15"/>
  <c r="AP618" i="15"/>
  <c r="AN618" i="15"/>
  <c r="AT618" i="15"/>
  <c r="AU618" i="15"/>
  <c r="AV618" i="15"/>
  <c r="AX618" i="15"/>
  <c r="AP619" i="15"/>
  <c r="AN619" i="15"/>
  <c r="AT619" i="15"/>
  <c r="AU619" i="15"/>
  <c r="AV619" i="15"/>
  <c r="AX619" i="15"/>
  <c r="AP620" i="15"/>
  <c r="AN620" i="15"/>
  <c r="AT620" i="15"/>
  <c r="AU620" i="15"/>
  <c r="AV620" i="15"/>
  <c r="AX620" i="15"/>
  <c r="AN621" i="15"/>
  <c r="AT621" i="15"/>
  <c r="AU621" i="15"/>
  <c r="AV621" i="15"/>
  <c r="AX621" i="15"/>
  <c r="AP622" i="15"/>
  <c r="AN622" i="15"/>
  <c r="AT622" i="15"/>
  <c r="AU622" i="15"/>
  <c r="AV622" i="15"/>
  <c r="AX622" i="15"/>
  <c r="AP623" i="15"/>
  <c r="AN623" i="15"/>
  <c r="AT623" i="15"/>
  <c r="AU623" i="15"/>
  <c r="AV623" i="15"/>
  <c r="AX623" i="15"/>
  <c r="AZ624" i="15"/>
  <c r="AN624" i="15"/>
  <c r="AT624" i="15"/>
  <c r="AU624" i="15"/>
  <c r="AV624" i="15"/>
  <c r="AX624" i="15"/>
  <c r="AQ625" i="15"/>
  <c r="AN625" i="15"/>
  <c r="AT625" i="15"/>
  <c r="AU625" i="15"/>
  <c r="AV625" i="15"/>
  <c r="AX625" i="15"/>
  <c r="AP626" i="15"/>
  <c r="AN626" i="15"/>
  <c r="AT626" i="15"/>
  <c r="AU626" i="15"/>
  <c r="AV626" i="15"/>
  <c r="AX626" i="15"/>
  <c r="AP627" i="15"/>
  <c r="AN627" i="15"/>
  <c r="AT627" i="15"/>
  <c r="AU627" i="15"/>
  <c r="AV627" i="15"/>
  <c r="AX627" i="15"/>
  <c r="AQ628" i="15"/>
  <c r="AN628" i="15"/>
  <c r="AT628" i="15"/>
  <c r="AU628" i="15"/>
  <c r="AV628" i="15"/>
  <c r="AX628" i="15"/>
  <c r="AP629" i="15"/>
  <c r="AN629" i="15"/>
  <c r="AT629" i="15"/>
  <c r="AU629" i="15"/>
  <c r="AV629" i="15"/>
  <c r="AX629" i="15"/>
  <c r="AP630" i="15"/>
  <c r="AN630" i="15"/>
  <c r="AT630" i="15"/>
  <c r="AU630" i="15"/>
  <c r="AV630" i="15"/>
  <c r="AX630" i="15"/>
  <c r="AP631" i="15"/>
  <c r="AN631" i="15"/>
  <c r="AT631" i="15"/>
  <c r="AU631" i="15"/>
  <c r="AV631" i="15"/>
  <c r="AX631" i="15"/>
  <c r="AS632" i="15"/>
  <c r="AN632" i="15"/>
  <c r="AT632" i="15"/>
  <c r="AU632" i="15"/>
  <c r="AV632" i="15"/>
  <c r="AX632" i="15"/>
  <c r="AS633" i="15"/>
  <c r="AN633" i="15"/>
  <c r="AT633" i="15"/>
  <c r="AU633" i="15"/>
  <c r="AV633" i="15"/>
  <c r="AX633" i="15"/>
  <c r="AN634" i="15"/>
  <c r="AT634" i="15"/>
  <c r="AU634" i="15"/>
  <c r="AV634" i="15"/>
  <c r="AX634" i="15"/>
  <c r="AZ635" i="15"/>
  <c r="AN635" i="15"/>
  <c r="AT635" i="15"/>
  <c r="AU635" i="15"/>
  <c r="AV635" i="15"/>
  <c r="AX635" i="15"/>
  <c r="AN636" i="15"/>
  <c r="AT636" i="15"/>
  <c r="AU636" i="15"/>
  <c r="AV636" i="15"/>
  <c r="AX636" i="15"/>
  <c r="AQ637" i="15"/>
  <c r="AN637" i="15"/>
  <c r="AT637" i="15"/>
  <c r="AU637" i="15"/>
  <c r="AV637" i="15"/>
  <c r="AX637" i="15"/>
  <c r="AP638" i="15"/>
  <c r="AN638" i="15"/>
  <c r="AT638" i="15"/>
  <c r="AU638" i="15"/>
  <c r="AV638" i="15"/>
  <c r="AX638" i="15"/>
  <c r="AP639" i="15"/>
  <c r="AN639" i="15"/>
  <c r="AT639" i="15"/>
  <c r="AU639" i="15"/>
  <c r="AV639" i="15"/>
  <c r="AX639" i="15"/>
  <c r="AN640" i="15"/>
  <c r="AT640" i="15"/>
  <c r="AU640" i="15"/>
  <c r="AV640" i="15"/>
  <c r="AX640" i="15"/>
  <c r="AQ641" i="15"/>
  <c r="AN641" i="15"/>
  <c r="AT641" i="15"/>
  <c r="AU641" i="15"/>
  <c r="AV641" i="15"/>
  <c r="AX641" i="15"/>
  <c r="AP642" i="15"/>
  <c r="AN642" i="15"/>
  <c r="AT642" i="15"/>
  <c r="AU642" i="15"/>
  <c r="AV642" i="15"/>
  <c r="AX642" i="15"/>
  <c r="AP643" i="15"/>
  <c r="AN643" i="15"/>
  <c r="AT643" i="15"/>
  <c r="AU643" i="15"/>
  <c r="AV643" i="15"/>
  <c r="AX643" i="15"/>
  <c r="AS644" i="15"/>
  <c r="AN644" i="15"/>
  <c r="AT644" i="15"/>
  <c r="AU644" i="15"/>
  <c r="AV644" i="15"/>
  <c r="AX644" i="15"/>
  <c r="AQ645" i="15"/>
  <c r="AN645" i="15"/>
  <c r="AT645" i="15"/>
  <c r="AU645" i="15"/>
  <c r="AV645" i="15"/>
  <c r="AX645" i="15"/>
  <c r="AP646" i="15"/>
  <c r="AN646" i="15"/>
  <c r="AT646" i="15"/>
  <c r="AU646" i="15"/>
  <c r="AV646" i="15"/>
  <c r="AX646" i="15"/>
  <c r="AP647" i="15"/>
  <c r="AN647" i="15"/>
  <c r="AT647" i="15"/>
  <c r="AU647" i="15"/>
  <c r="AV647" i="15"/>
  <c r="AX647" i="15"/>
  <c r="AO648" i="15"/>
  <c r="AN648" i="15"/>
  <c r="AT648" i="15"/>
  <c r="AU648" i="15"/>
  <c r="AV648" i="15"/>
  <c r="AX648" i="15"/>
  <c r="AP649" i="15"/>
  <c r="AN649" i="15"/>
  <c r="AT649" i="15"/>
  <c r="AU649" i="15"/>
  <c r="AV649" i="15"/>
  <c r="AX649" i="15"/>
  <c r="AP650" i="15"/>
  <c r="AN650" i="15"/>
  <c r="AT650" i="15"/>
  <c r="AU650" i="15"/>
  <c r="AV650" i="15"/>
  <c r="AX650" i="15"/>
  <c r="AP651" i="15"/>
  <c r="AN651" i="15"/>
  <c r="AT651" i="15"/>
  <c r="AU651" i="15"/>
  <c r="AV651" i="15"/>
  <c r="AX651" i="15"/>
  <c r="AS652" i="15"/>
  <c r="AN652" i="15"/>
  <c r="AT652" i="15"/>
  <c r="AU652" i="15"/>
  <c r="AV652" i="15"/>
  <c r="AX652" i="15"/>
  <c r="AS653" i="15"/>
  <c r="AN653" i="15"/>
  <c r="AT653" i="15"/>
  <c r="AU653" i="15"/>
  <c r="AV653" i="15"/>
  <c r="AX653" i="15"/>
  <c r="AP654" i="15"/>
  <c r="AN654" i="15"/>
  <c r="AT654" i="15"/>
  <c r="AU654" i="15"/>
  <c r="AV654" i="15"/>
  <c r="AX654" i="15"/>
  <c r="AN655" i="15"/>
  <c r="AT655" i="15"/>
  <c r="AU655" i="15"/>
  <c r="AV655" i="15"/>
  <c r="AX655" i="15"/>
  <c r="AQ656" i="15"/>
  <c r="AN656" i="15"/>
  <c r="AT656" i="15"/>
  <c r="AU656" i="15"/>
  <c r="AV656" i="15"/>
  <c r="AX656" i="15"/>
  <c r="AO657" i="15"/>
  <c r="AN657" i="15"/>
  <c r="AT657" i="15"/>
  <c r="AU657" i="15"/>
  <c r="AV657" i="15"/>
  <c r="AX657" i="15"/>
  <c r="AN658" i="15"/>
  <c r="AT658" i="15"/>
  <c r="AU658" i="15"/>
  <c r="AV658" i="15"/>
  <c r="AX658" i="15"/>
  <c r="AN659" i="15"/>
  <c r="AT659" i="15"/>
  <c r="AU659" i="15"/>
  <c r="AV659" i="15"/>
  <c r="AX659" i="15"/>
  <c r="AN660" i="15"/>
  <c r="AT660" i="15"/>
  <c r="AU660" i="15"/>
  <c r="AV660" i="15"/>
  <c r="AX660" i="15"/>
  <c r="AS661" i="15"/>
  <c r="AN661" i="15"/>
  <c r="AT661" i="15"/>
  <c r="AU661" i="15"/>
  <c r="AV661" i="15"/>
  <c r="AX661" i="15"/>
  <c r="AP662" i="15"/>
  <c r="AN662" i="15"/>
  <c r="AT662" i="15"/>
  <c r="AU662" i="15"/>
  <c r="AV662" i="15"/>
  <c r="AX662" i="15"/>
  <c r="AP663" i="15"/>
  <c r="AN663" i="15"/>
  <c r="AT663" i="15"/>
  <c r="AU663" i="15"/>
  <c r="AV663" i="15"/>
  <c r="AX663" i="15"/>
  <c r="AP664" i="15"/>
  <c r="AN664" i="15"/>
  <c r="AT664" i="15"/>
  <c r="AU664" i="15"/>
  <c r="AV664" i="15"/>
  <c r="AX664" i="15"/>
  <c r="AQ665" i="15"/>
  <c r="AN665" i="15"/>
  <c r="AT665" i="15"/>
  <c r="AU665" i="15"/>
  <c r="AV665" i="15"/>
  <c r="AX665" i="15"/>
  <c r="AZ666" i="15"/>
  <c r="AN666" i="15"/>
  <c r="AT666" i="15"/>
  <c r="AU666" i="15"/>
  <c r="AV666" i="15"/>
  <c r="AX666" i="15"/>
  <c r="AO667" i="15"/>
  <c r="AN667" i="15"/>
  <c r="AT667" i="15"/>
  <c r="AU667" i="15"/>
  <c r="AV667" i="15"/>
  <c r="AX667" i="15"/>
  <c r="AN668" i="15"/>
  <c r="AT668" i="15"/>
  <c r="AU668" i="15"/>
  <c r="AV668" i="15"/>
  <c r="AX668" i="15"/>
  <c r="AP669" i="15"/>
  <c r="AN669" i="15"/>
  <c r="AT669" i="15"/>
  <c r="AU669" i="15"/>
  <c r="AV669" i="15"/>
  <c r="AX669" i="15"/>
  <c r="AP670" i="15"/>
  <c r="AN670" i="15"/>
  <c r="AT670" i="15"/>
  <c r="AU670" i="15"/>
  <c r="AV670" i="15"/>
  <c r="AX670" i="15"/>
  <c r="AN671" i="15"/>
  <c r="AT671" i="15"/>
  <c r="AU671" i="15"/>
  <c r="AV671" i="15"/>
  <c r="AX671" i="15"/>
  <c r="AO672" i="15"/>
  <c r="AN672" i="15"/>
  <c r="AT672" i="15"/>
  <c r="AU672" i="15"/>
  <c r="AV672" i="15"/>
  <c r="AX672" i="15"/>
  <c r="AO673" i="15"/>
  <c r="AN673" i="15"/>
  <c r="AT673" i="15"/>
  <c r="AU673" i="15"/>
  <c r="AV673" i="15"/>
  <c r="AX673" i="15"/>
  <c r="AQ674" i="15"/>
  <c r="AN674" i="15"/>
  <c r="AT674" i="15"/>
  <c r="AU674" i="15"/>
  <c r="AV674" i="15"/>
  <c r="AX674" i="15"/>
  <c r="AQ675" i="15"/>
  <c r="AN675" i="15"/>
  <c r="AT675" i="15"/>
  <c r="AU675" i="15"/>
  <c r="AV675" i="15"/>
  <c r="AX675" i="15"/>
  <c r="AP676" i="15"/>
  <c r="AN676" i="15"/>
  <c r="AT676" i="15"/>
  <c r="AU676" i="15"/>
  <c r="AV676" i="15"/>
  <c r="AX676" i="15"/>
  <c r="AP677" i="15"/>
  <c r="AN677" i="15"/>
  <c r="AT677" i="15"/>
  <c r="AU677" i="15"/>
  <c r="AV677" i="15"/>
  <c r="AX677" i="15"/>
  <c r="AP678" i="15"/>
  <c r="AN678" i="15"/>
  <c r="AT678" i="15"/>
  <c r="AU678" i="15"/>
  <c r="AV678" i="15"/>
  <c r="AX678" i="15"/>
  <c r="AP679" i="15"/>
  <c r="AN679" i="15"/>
  <c r="AT679" i="15"/>
  <c r="AU679" i="15"/>
  <c r="AV679" i="15"/>
  <c r="AX679" i="15"/>
  <c r="AN680" i="15"/>
  <c r="AT680" i="15"/>
  <c r="AU680" i="15"/>
  <c r="AV680" i="15"/>
  <c r="AX680" i="15"/>
  <c r="AN681" i="15"/>
  <c r="AT681" i="15"/>
  <c r="AU681" i="15"/>
  <c r="AV681" i="15"/>
  <c r="AX681" i="15"/>
  <c r="AP682" i="15"/>
  <c r="AN682" i="15"/>
  <c r="AT682" i="15"/>
  <c r="AU682" i="15"/>
  <c r="AV682" i="15"/>
  <c r="AX682" i="15"/>
  <c r="AS683" i="15"/>
  <c r="AN683" i="15"/>
  <c r="AT683" i="15"/>
  <c r="AU683" i="15"/>
  <c r="AV683" i="15"/>
  <c r="AX683" i="15"/>
  <c r="AO684" i="15"/>
  <c r="AN684" i="15"/>
  <c r="AT684" i="15"/>
  <c r="AU684" i="15"/>
  <c r="AV684" i="15"/>
  <c r="AX684" i="15"/>
  <c r="AZ685" i="15"/>
  <c r="AN685" i="15"/>
  <c r="AT685" i="15"/>
  <c r="AU685" i="15"/>
  <c r="AV685" i="15"/>
  <c r="AX685" i="15"/>
  <c r="AZ686" i="15"/>
  <c r="AN686" i="15"/>
  <c r="AT686" i="15"/>
  <c r="AU686" i="15"/>
  <c r="AV686" i="15"/>
  <c r="AX686" i="15"/>
  <c r="AO687" i="15"/>
  <c r="AN687" i="15"/>
  <c r="AT687" i="15"/>
  <c r="AU687" i="15"/>
  <c r="AV687" i="15"/>
  <c r="AX687" i="15"/>
  <c r="AO688" i="15"/>
  <c r="AN688" i="15"/>
  <c r="AT688" i="15"/>
  <c r="AU688" i="15"/>
  <c r="AV688" i="15"/>
  <c r="AX688" i="15"/>
  <c r="AZ689" i="15"/>
  <c r="AN689" i="15"/>
  <c r="AT689" i="15"/>
  <c r="AU689" i="15"/>
  <c r="AV689" i="15"/>
  <c r="AX689" i="15"/>
  <c r="AO690" i="15"/>
  <c r="AN690" i="15"/>
  <c r="AT690" i="15"/>
  <c r="AU690" i="15"/>
  <c r="AV690" i="15"/>
  <c r="AX690" i="15"/>
  <c r="AP691" i="15"/>
  <c r="AN691" i="15"/>
  <c r="AT691" i="15"/>
  <c r="AU691" i="15"/>
  <c r="AV691" i="15"/>
  <c r="AX691" i="15"/>
  <c r="AN692" i="15"/>
  <c r="AT692" i="15"/>
  <c r="AU692" i="15"/>
  <c r="AV692" i="15"/>
  <c r="AX692" i="15"/>
  <c r="AZ693" i="15"/>
  <c r="AN693" i="15"/>
  <c r="AT693" i="15"/>
  <c r="AU693" i="15"/>
  <c r="AV693" i="15"/>
  <c r="AX693" i="15"/>
  <c r="AN694" i="15"/>
  <c r="AT694" i="15"/>
  <c r="AU694" i="15"/>
  <c r="AV694" i="15"/>
  <c r="AX694" i="15"/>
  <c r="AN695" i="15"/>
  <c r="AT695" i="15"/>
  <c r="AU695" i="15"/>
  <c r="AV695" i="15"/>
  <c r="AX695" i="15"/>
  <c r="AN696" i="15"/>
  <c r="AT696" i="15"/>
  <c r="AU696" i="15"/>
  <c r="AV696" i="15"/>
  <c r="AX696" i="15"/>
  <c r="AZ697" i="15"/>
  <c r="AN697" i="15"/>
  <c r="AT697" i="15"/>
  <c r="AU697" i="15"/>
  <c r="AV697" i="15"/>
  <c r="AX697" i="15"/>
  <c r="AZ698" i="15"/>
  <c r="AN698" i="15"/>
  <c r="AT698" i="15"/>
  <c r="AU698" i="15"/>
  <c r="AV698" i="15"/>
  <c r="AX698" i="15"/>
  <c r="AN699" i="15"/>
  <c r="AT699" i="15"/>
  <c r="AU699" i="15"/>
  <c r="AV699" i="15"/>
  <c r="AX699" i="15"/>
  <c r="AO700" i="15"/>
  <c r="AN700" i="15"/>
  <c r="AT700" i="15"/>
  <c r="AU700" i="15"/>
  <c r="AV700" i="15"/>
  <c r="AX700" i="15"/>
  <c r="AZ701" i="15"/>
  <c r="AN701" i="15"/>
  <c r="AT701" i="15"/>
  <c r="AU701" i="15"/>
  <c r="AV701" i="15"/>
  <c r="AX701" i="15"/>
  <c r="AN702" i="15"/>
  <c r="AT702" i="15"/>
  <c r="AU702" i="15"/>
  <c r="AV702" i="15"/>
  <c r="AX702" i="15"/>
  <c r="AN703" i="15"/>
  <c r="AT703" i="15"/>
  <c r="AU703" i="15"/>
  <c r="AV703" i="15"/>
  <c r="AX703" i="15"/>
  <c r="AO704" i="15"/>
  <c r="AN704" i="15"/>
  <c r="AT704" i="15"/>
  <c r="AU704" i="15"/>
  <c r="AV704" i="15"/>
  <c r="AX704" i="15"/>
  <c r="AZ705" i="15"/>
  <c r="AN705" i="15"/>
  <c r="AT705" i="15"/>
  <c r="AU705" i="15"/>
  <c r="AV705" i="15"/>
  <c r="AX705" i="15"/>
  <c r="AQ706" i="15"/>
  <c r="AN706" i="15"/>
  <c r="AT706" i="15"/>
  <c r="AU706" i="15"/>
  <c r="AV706" i="15"/>
  <c r="AX706" i="15"/>
  <c r="AN707" i="15"/>
  <c r="AT707" i="15"/>
  <c r="AU707" i="15"/>
  <c r="AV707" i="15"/>
  <c r="AX707" i="15"/>
  <c r="AP708" i="15"/>
  <c r="AN708" i="15"/>
  <c r="AT708" i="15"/>
  <c r="AU708" i="15"/>
  <c r="AV708" i="15"/>
  <c r="AX708" i="15"/>
  <c r="AZ709" i="15"/>
  <c r="AN709" i="15"/>
  <c r="AT709" i="15"/>
  <c r="AU709" i="15"/>
  <c r="AV709" i="15"/>
  <c r="AX709" i="15"/>
  <c r="AZ710" i="15"/>
  <c r="AN710" i="15"/>
  <c r="AT710" i="15"/>
  <c r="AU710" i="15"/>
  <c r="AV710" i="15"/>
  <c r="AX710" i="15"/>
  <c r="AN711" i="15"/>
  <c r="AP712" i="15"/>
  <c r="AN712" i="15"/>
  <c r="AT712" i="15"/>
  <c r="AU712" i="15"/>
  <c r="AV712" i="15"/>
  <c r="AX712" i="15"/>
  <c r="AZ713" i="15"/>
  <c r="AN713" i="15"/>
  <c r="AT713" i="15"/>
  <c r="AU713" i="15"/>
  <c r="AV713" i="15"/>
  <c r="AX713" i="15"/>
  <c r="AS714" i="15"/>
  <c r="AN714" i="15"/>
  <c r="AT714" i="15"/>
  <c r="AU714" i="15"/>
  <c r="AV714" i="15"/>
  <c r="AX714" i="15"/>
  <c r="AN715" i="15"/>
  <c r="AT715" i="15"/>
  <c r="AU715" i="15"/>
  <c r="AV715" i="15"/>
  <c r="AX715" i="15"/>
  <c r="AP716" i="15"/>
  <c r="AN716" i="15"/>
  <c r="AT716" i="15"/>
  <c r="AU716" i="15"/>
  <c r="AV716" i="15"/>
  <c r="AX716" i="15"/>
  <c r="AZ717" i="15"/>
  <c r="AN717" i="15"/>
  <c r="AT717" i="15"/>
  <c r="AU717" i="15"/>
  <c r="AV717" i="15"/>
  <c r="AX717" i="15"/>
  <c r="AO718" i="15"/>
  <c r="AN718" i="15"/>
  <c r="AT718" i="15"/>
  <c r="AU718" i="15"/>
  <c r="AV718" i="15"/>
  <c r="AX718" i="15"/>
  <c r="AZ719" i="15"/>
  <c r="AN719" i="15"/>
  <c r="AT719" i="15"/>
  <c r="AU719" i="15"/>
  <c r="AV719" i="15"/>
  <c r="AX719" i="15"/>
  <c r="AN720" i="15"/>
  <c r="AT720" i="15"/>
  <c r="AU720" i="15"/>
  <c r="AV720" i="15"/>
  <c r="AX720" i="15"/>
  <c r="AZ721" i="15"/>
  <c r="AN721" i="15"/>
  <c r="AT721" i="15"/>
  <c r="AU721" i="15"/>
  <c r="AV721" i="15"/>
  <c r="AX721" i="15"/>
  <c r="AO722" i="15"/>
  <c r="AN722" i="15"/>
  <c r="AT722" i="15"/>
  <c r="AU722" i="15"/>
  <c r="AV722" i="15"/>
  <c r="AX722" i="15"/>
  <c r="AP723" i="15"/>
  <c r="AN723" i="15"/>
  <c r="AT723" i="15"/>
  <c r="AU723" i="15"/>
  <c r="AV723" i="15"/>
  <c r="AX723" i="15"/>
  <c r="AP724" i="15"/>
  <c r="AN724" i="15"/>
  <c r="AT724" i="15"/>
  <c r="AU724" i="15"/>
  <c r="AV724" i="15"/>
  <c r="AX724" i="15"/>
  <c r="AZ725" i="15"/>
  <c r="AN725" i="15"/>
  <c r="AT725" i="15"/>
  <c r="AU725" i="15"/>
  <c r="AV725" i="15"/>
  <c r="AX725" i="15"/>
  <c r="AS726" i="15"/>
  <c r="AN726" i="15"/>
  <c r="AT726" i="15"/>
  <c r="AU726" i="15"/>
  <c r="AV726" i="15"/>
  <c r="AX726" i="15"/>
  <c r="AN727" i="15"/>
  <c r="AT727" i="15"/>
  <c r="AU727" i="15"/>
  <c r="AV727" i="15"/>
  <c r="AX727" i="15"/>
  <c r="AO728" i="15"/>
  <c r="AN728" i="15"/>
  <c r="AT728" i="15"/>
  <c r="AU728" i="15"/>
  <c r="AV728" i="15"/>
  <c r="AX728" i="15"/>
  <c r="AZ729" i="15"/>
  <c r="AN729" i="15"/>
  <c r="AT729" i="15"/>
  <c r="AU729" i="15"/>
  <c r="AV729" i="15"/>
  <c r="AX729" i="15"/>
  <c r="AO730" i="15"/>
  <c r="AN730" i="15"/>
  <c r="AT730" i="15"/>
  <c r="AU730" i="15"/>
  <c r="AV730" i="15"/>
  <c r="AX730" i="15"/>
  <c r="AO731" i="15"/>
  <c r="AN731" i="15"/>
  <c r="AT731" i="15"/>
  <c r="AU731" i="15"/>
  <c r="AV731" i="15"/>
  <c r="AX731" i="15"/>
  <c r="AP732" i="15"/>
  <c r="AN732" i="15"/>
  <c r="AT732" i="15"/>
  <c r="AU732" i="15"/>
  <c r="AV732" i="15"/>
  <c r="AX732" i="15"/>
  <c r="AZ733" i="15"/>
  <c r="AN733" i="15"/>
  <c r="AT733" i="15"/>
  <c r="AU733" i="15"/>
  <c r="AV733" i="15"/>
  <c r="AX733" i="15"/>
  <c r="AS734" i="15"/>
  <c r="AN734" i="15"/>
  <c r="AT734" i="15"/>
  <c r="AU734" i="15"/>
  <c r="AV734" i="15"/>
  <c r="AX734" i="15"/>
  <c r="AO735" i="15"/>
  <c r="AN735" i="15"/>
  <c r="AT735" i="15"/>
  <c r="AU735" i="15"/>
  <c r="AV735" i="15"/>
  <c r="AX735" i="15"/>
  <c r="AP736" i="15"/>
  <c r="AN736" i="15"/>
  <c r="AT736" i="15"/>
  <c r="AU736" i="15"/>
  <c r="AV736" i="15"/>
  <c r="AX736" i="15"/>
  <c r="AZ737" i="15"/>
  <c r="AN737" i="15"/>
  <c r="AT737" i="15"/>
  <c r="AU737" i="15"/>
  <c r="AV737" i="15"/>
  <c r="AX737" i="15"/>
  <c r="AN738" i="15"/>
  <c r="AT738" i="15"/>
  <c r="AU738" i="15"/>
  <c r="AV738" i="15"/>
  <c r="AX738" i="15"/>
  <c r="AS739" i="15"/>
  <c r="AN739" i="15"/>
  <c r="AT739" i="15"/>
  <c r="AU739" i="15"/>
  <c r="AV739" i="15"/>
  <c r="AX739" i="15"/>
  <c r="AP740" i="15"/>
  <c r="AN740" i="15"/>
  <c r="AT740" i="15"/>
  <c r="AU740" i="15"/>
  <c r="AV740" i="15"/>
  <c r="AX740" i="15"/>
  <c r="AZ741" i="15"/>
  <c r="AN741" i="15"/>
  <c r="AT741" i="15"/>
  <c r="AU741" i="15"/>
  <c r="AV741" i="15"/>
  <c r="AX741" i="15"/>
  <c r="AQ742" i="15"/>
  <c r="AN742" i="15"/>
  <c r="AT742" i="15"/>
  <c r="AU742" i="15"/>
  <c r="AV742" i="15"/>
  <c r="AX742" i="15"/>
  <c r="AO743" i="15"/>
  <c r="AN743" i="15"/>
  <c r="AT743" i="15"/>
  <c r="AU743" i="15"/>
  <c r="AV743" i="15"/>
  <c r="AX743" i="15"/>
  <c r="AP744" i="15"/>
  <c r="AN744" i="15"/>
  <c r="AT744" i="15"/>
  <c r="AU744" i="15"/>
  <c r="AV744" i="15"/>
  <c r="AX744" i="15"/>
  <c r="AZ745" i="15"/>
  <c r="AN745" i="15"/>
  <c r="AT745" i="15"/>
  <c r="AU745" i="15"/>
  <c r="AV745" i="15"/>
  <c r="AX745" i="15"/>
  <c r="AS746" i="15"/>
  <c r="AN746" i="15"/>
  <c r="AT746" i="15"/>
  <c r="AU746" i="15"/>
  <c r="AV746" i="15"/>
  <c r="AX746" i="15"/>
  <c r="AS747" i="15"/>
  <c r="AN747" i="15"/>
  <c r="AT747" i="15"/>
  <c r="AU747" i="15"/>
  <c r="AV747" i="15"/>
  <c r="AX747" i="15"/>
  <c r="AP748" i="15"/>
  <c r="AN748" i="15"/>
  <c r="AT748" i="15"/>
  <c r="AU748" i="15"/>
  <c r="AV748" i="15"/>
  <c r="AX748" i="15"/>
  <c r="AZ749" i="15"/>
  <c r="AN749" i="15"/>
  <c r="AT749" i="15"/>
  <c r="AU749" i="15"/>
  <c r="AV749" i="15"/>
  <c r="AX749" i="15"/>
  <c r="AO750" i="15"/>
  <c r="AN750" i="15"/>
  <c r="AT750" i="15"/>
  <c r="AU750" i="15"/>
  <c r="AV750" i="15"/>
  <c r="AX750" i="15"/>
  <c r="AS751" i="15"/>
  <c r="AN751" i="15"/>
  <c r="AT751" i="15"/>
  <c r="AU751" i="15"/>
  <c r="AV751" i="15"/>
  <c r="AX751" i="15"/>
  <c r="AS752" i="15"/>
  <c r="AN752" i="15"/>
  <c r="AT752" i="15"/>
  <c r="AU752" i="15"/>
  <c r="AV752" i="15"/>
  <c r="AX752" i="15"/>
  <c r="AZ753" i="15"/>
  <c r="AN753" i="15"/>
  <c r="AT753" i="15"/>
  <c r="AU753" i="15"/>
  <c r="AV753" i="15"/>
  <c r="AX753" i="15"/>
  <c r="AZ754" i="15"/>
  <c r="AN754" i="15"/>
  <c r="AT754" i="15"/>
  <c r="AU754" i="15"/>
  <c r="AV754" i="15"/>
  <c r="AX754" i="15"/>
  <c r="AS755" i="15"/>
  <c r="AN755" i="15"/>
  <c r="AT755" i="15"/>
  <c r="AU755" i="15"/>
  <c r="AV755" i="15"/>
  <c r="AX755" i="15"/>
  <c r="AQ756" i="15"/>
  <c r="AN756" i="15"/>
  <c r="AT756" i="15"/>
  <c r="AU756" i="15"/>
  <c r="AV756" i="15"/>
  <c r="AX756" i="15"/>
  <c r="AZ757" i="15"/>
  <c r="AN757" i="15"/>
  <c r="AT757" i="15"/>
  <c r="AU757" i="15"/>
  <c r="AV757" i="15"/>
  <c r="AX757" i="15"/>
  <c r="AN758" i="15"/>
  <c r="AT758" i="15"/>
  <c r="AU758" i="15"/>
  <c r="AV758" i="15"/>
  <c r="AX758" i="15"/>
  <c r="AN759" i="15"/>
  <c r="AT759" i="15"/>
  <c r="AU759" i="15"/>
  <c r="AV759" i="15"/>
  <c r="AX759" i="15"/>
  <c r="AQ760" i="15"/>
  <c r="AN760" i="15"/>
  <c r="AT760" i="15"/>
  <c r="AU760" i="15"/>
  <c r="AV760" i="15"/>
  <c r="AX760" i="15"/>
  <c r="AZ761" i="15"/>
  <c r="AN761" i="15"/>
  <c r="AT761" i="15"/>
  <c r="AU761" i="15"/>
  <c r="AV761" i="15"/>
  <c r="AX761" i="15"/>
  <c r="AN762" i="15"/>
  <c r="AT762" i="15"/>
  <c r="AU762" i="15"/>
  <c r="AV762" i="15"/>
  <c r="AX762" i="15"/>
  <c r="AN763" i="15"/>
  <c r="AT763" i="15"/>
  <c r="AU763" i="15"/>
  <c r="AV763" i="15"/>
  <c r="AX763" i="15"/>
  <c r="AS764" i="15"/>
  <c r="AN764" i="15"/>
  <c r="AT764" i="15"/>
  <c r="AU764" i="15"/>
  <c r="AV764" i="15"/>
  <c r="AX764" i="15"/>
  <c r="AZ765" i="15"/>
  <c r="AN765" i="15"/>
  <c r="AT765" i="15"/>
  <c r="AU765" i="15"/>
  <c r="AV765" i="15"/>
  <c r="AX765" i="15"/>
  <c r="AO766" i="15"/>
  <c r="AN766" i="15"/>
  <c r="AT766" i="15"/>
  <c r="AU766" i="15"/>
  <c r="AV766" i="15"/>
  <c r="AX766" i="15"/>
  <c r="AS767" i="15"/>
  <c r="AN767" i="15"/>
  <c r="AT767" i="15"/>
  <c r="AU767" i="15"/>
  <c r="AV767" i="15"/>
  <c r="AX767" i="15"/>
  <c r="AQ768" i="15"/>
  <c r="AN768" i="15"/>
  <c r="AT768" i="15"/>
  <c r="AU768" i="15"/>
  <c r="AV768" i="15"/>
  <c r="AX768" i="15"/>
  <c r="AZ769" i="15"/>
  <c r="AN769" i="15"/>
  <c r="AT769" i="15"/>
  <c r="AU769" i="15"/>
  <c r="AV769" i="15"/>
  <c r="AX769" i="15"/>
  <c r="AN770" i="15"/>
  <c r="AT770" i="15"/>
  <c r="AU770" i="15"/>
  <c r="AV770" i="15"/>
  <c r="AX770" i="15"/>
  <c r="AS771" i="15"/>
  <c r="AN771" i="15"/>
  <c r="AT771" i="15"/>
  <c r="AU771" i="15"/>
  <c r="AV771" i="15"/>
  <c r="AX771" i="15"/>
  <c r="AQ772" i="15"/>
  <c r="AN772" i="15"/>
  <c r="AT772" i="15"/>
  <c r="AU772" i="15"/>
  <c r="AV772" i="15"/>
  <c r="AX772" i="15"/>
  <c r="AZ773" i="15"/>
  <c r="AN773" i="15"/>
  <c r="AT773" i="15"/>
  <c r="AU773" i="15"/>
  <c r="AV773" i="15"/>
  <c r="AX773" i="15"/>
  <c r="AO774" i="15"/>
  <c r="AN774" i="15"/>
  <c r="AT774" i="15"/>
  <c r="AU774" i="15"/>
  <c r="AV774" i="15"/>
  <c r="AX774" i="15"/>
  <c r="AN775" i="15"/>
  <c r="AT775" i="15"/>
  <c r="AU775" i="15"/>
  <c r="AV775" i="15"/>
  <c r="AX775" i="15"/>
  <c r="AN776" i="15"/>
  <c r="AT776" i="15"/>
  <c r="AU776" i="15"/>
  <c r="AV776" i="15"/>
  <c r="AX776" i="15"/>
  <c r="AZ777" i="15"/>
  <c r="AN777" i="15"/>
  <c r="AT777" i="15"/>
  <c r="AU777" i="15"/>
  <c r="AV777" i="15"/>
  <c r="AX777" i="15"/>
  <c r="AO778" i="15"/>
  <c r="AN778" i="15"/>
  <c r="AT778" i="15"/>
  <c r="AU778" i="15"/>
  <c r="AV778" i="15"/>
  <c r="AX778" i="15"/>
  <c r="AQ779" i="15"/>
  <c r="AN779" i="15"/>
  <c r="AT779" i="15"/>
  <c r="AU779" i="15"/>
  <c r="AV779" i="15"/>
  <c r="AX779" i="15"/>
  <c r="AS780" i="15"/>
  <c r="AN780" i="15"/>
  <c r="AT780" i="15"/>
  <c r="AU780" i="15"/>
  <c r="AV780" i="15"/>
  <c r="AX780" i="15"/>
  <c r="AZ781" i="15"/>
  <c r="AN781" i="15"/>
  <c r="AT781" i="15"/>
  <c r="AU781" i="15"/>
  <c r="AV781" i="15"/>
  <c r="AX781" i="15"/>
  <c r="AN782" i="15"/>
  <c r="AT782" i="15"/>
  <c r="AU782" i="15"/>
  <c r="AV782" i="15"/>
  <c r="AX782" i="15"/>
  <c r="AQ783" i="15"/>
  <c r="AN783" i="15"/>
  <c r="AT783" i="15"/>
  <c r="AU783" i="15"/>
  <c r="AV783" i="15"/>
  <c r="AX783" i="15"/>
  <c r="AS784" i="15"/>
  <c r="AN784" i="15"/>
  <c r="AT784" i="15"/>
  <c r="AU784" i="15"/>
  <c r="AV784" i="15"/>
  <c r="AX784" i="15"/>
  <c r="AZ785" i="15"/>
  <c r="AN785" i="15"/>
  <c r="AT785" i="15"/>
  <c r="AU785" i="15"/>
  <c r="AV785" i="15"/>
  <c r="AX785" i="15"/>
  <c r="AS786" i="15"/>
  <c r="AN786" i="15"/>
  <c r="AT786" i="15"/>
  <c r="AU786" i="15"/>
  <c r="AV786" i="15"/>
  <c r="AX786" i="15"/>
  <c r="AQ787" i="15"/>
  <c r="AN787" i="15"/>
  <c r="AT787" i="15"/>
  <c r="AU787" i="15"/>
  <c r="AV787" i="15"/>
  <c r="AX787" i="15"/>
  <c r="AQ788" i="15"/>
  <c r="AN788" i="15"/>
  <c r="AT788" i="15"/>
  <c r="AU788" i="15"/>
  <c r="AV788" i="15"/>
  <c r="AX788" i="15"/>
  <c r="AO789" i="15"/>
  <c r="AN789" i="15"/>
  <c r="AT789" i="15"/>
  <c r="AU789" i="15"/>
  <c r="AV789" i="15"/>
  <c r="AX789" i="15"/>
  <c r="AO790" i="15"/>
  <c r="AN790" i="15"/>
  <c r="AT790" i="15"/>
  <c r="AU790" i="15"/>
  <c r="AV790" i="15"/>
  <c r="AX790" i="15"/>
  <c r="AO791" i="15"/>
  <c r="AN791" i="15"/>
  <c r="AT791" i="15"/>
  <c r="AU791" i="15"/>
  <c r="AV791" i="15"/>
  <c r="AX791" i="15"/>
  <c r="AP792" i="15"/>
  <c r="AN792" i="15"/>
  <c r="AT792" i="15"/>
  <c r="AU792" i="15"/>
  <c r="AV792" i="15"/>
  <c r="AX792" i="15"/>
  <c r="AO793" i="15"/>
  <c r="AN793" i="15"/>
  <c r="AT793" i="15"/>
  <c r="AU793" i="15"/>
  <c r="AV793" i="15"/>
  <c r="AX793"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358" i="12" l="1"/>
  <c r="L446" i="9"/>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Q353" i="12" l="1"/>
  <c r="Q470" i="12"/>
  <c r="Q357" i="12"/>
  <c r="Q346" i="12"/>
  <c r="Q468" i="12"/>
  <c r="Q348" i="12"/>
  <c r="Q343" i="12"/>
  <c r="Q344" i="12"/>
  <c r="Q352" i="12"/>
  <c r="Q481" i="12"/>
  <c r="Q466" i="12"/>
  <c r="Q480" i="12"/>
  <c r="Q463" i="12"/>
  <c r="Q360" i="12"/>
  <c r="Q460" i="12"/>
  <c r="Q479" i="12"/>
  <c r="Q461" i="12"/>
  <c r="Q334" i="12"/>
  <c r="Q478" i="12"/>
  <c r="Q477" i="12"/>
  <c r="Q459" i="12"/>
  <c r="Q358" i="12"/>
  <c r="S358" i="12" s="1"/>
  <c r="Q453" i="12"/>
  <c r="Q475" i="12"/>
  <c r="Q458" i="12"/>
  <c r="Q351" i="12"/>
  <c r="Q455" i="12"/>
  <c r="Q359" i="12"/>
  <c r="Q474" i="12"/>
  <c r="Q457" i="12"/>
  <c r="Q349" i="12"/>
  <c r="Q336" i="12"/>
  <c r="Q333" i="12"/>
  <c r="Q473" i="12"/>
  <c r="Q456" i="12"/>
  <c r="Q341" i="12"/>
  <c r="Q472" i="12"/>
  <c r="Q471" i="12"/>
  <c r="Q454" i="12"/>
  <c r="Q335" i="12"/>
  <c r="Q469" i="12"/>
  <c r="Q467" i="12"/>
  <c r="Q452" i="12"/>
  <c r="Q462" i="12"/>
  <c r="Q345" i="12"/>
  <c r="Q337" i="12"/>
  <c r="Q339" i="12"/>
  <c r="Q347" i="12"/>
  <c r="Q330" i="12"/>
  <c r="Q332" i="12"/>
  <c r="Q331" i="12"/>
  <c r="Q476" i="12"/>
  <c r="Q465" i="12"/>
  <c r="Q338" i="12"/>
  <c r="Q350" i="12"/>
  <c r="Q356" i="12"/>
  <c r="Q354" i="12"/>
  <c r="Q340" i="12"/>
  <c r="Q355" i="12"/>
  <c r="AL584" i="9"/>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Q464" i="12" l="1"/>
  <c r="Q361" i="12"/>
  <c r="Q482" i="12"/>
  <c r="P439" i="9"/>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Q484" i="12" l="1"/>
  <c r="S448" i="12"/>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K96" i="9"/>
  <c r="R96" i="9"/>
  <c r="K101" i="9"/>
  <c r="L106" i="9"/>
  <c r="V106" i="9" s="1"/>
  <c r="K94" i="9"/>
  <c r="K95" i="9"/>
  <c r="C8" i="25" l="1"/>
  <c r="K160" i="9"/>
  <c r="J113" i="9"/>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F358" i="12" l="1"/>
  <c r="N358" i="12" s="1"/>
  <c r="E192" i="9"/>
  <c r="E186" i="9"/>
  <c r="E188" i="9"/>
  <c r="D437" i="12"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J160" i="9"/>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S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S339" i="12"/>
  <c r="S296" i="12"/>
  <c r="S292" i="12"/>
  <c r="S272" i="12"/>
  <c r="S423" i="12"/>
  <c r="S419" i="12"/>
  <c r="S415" i="12"/>
  <c r="S405" i="12"/>
  <c r="S401" i="12"/>
  <c r="S397" i="12"/>
  <c r="S383" i="12"/>
  <c r="S376" i="12"/>
  <c r="S374" i="12"/>
  <c r="S360" i="12"/>
  <c r="S356" i="12"/>
  <c r="S347" i="12"/>
  <c r="S343" i="12"/>
  <c r="S335" i="12"/>
  <c r="S332" i="12"/>
  <c r="S288" i="12"/>
  <c r="S283" i="12"/>
  <c r="S279" i="12"/>
  <c r="S105" i="12"/>
  <c r="S101" i="12"/>
  <c r="S80" i="12"/>
  <c r="S71" i="12"/>
  <c r="R383" i="12"/>
  <c r="R376" i="12"/>
  <c r="S338" i="12"/>
  <c r="S299" i="12"/>
  <c r="S255" i="12"/>
  <c r="R252" i="12"/>
  <c r="R249" i="12"/>
  <c r="S422" i="12"/>
  <c r="S418" i="12"/>
  <c r="S414" i="12"/>
  <c r="S409" i="12"/>
  <c r="S404" i="12"/>
  <c r="S400" i="12"/>
  <c r="S396" i="12"/>
  <c r="S359" i="12"/>
  <c r="S355" i="12"/>
  <c r="S351" i="12"/>
  <c r="S346" i="12"/>
  <c r="S302" i="12"/>
  <c r="S287" i="12"/>
  <c r="S282" i="12"/>
  <c r="S278" i="12"/>
  <c r="S103" i="12"/>
  <c r="S96" i="12"/>
  <c r="S337" i="12"/>
  <c r="S334" i="12"/>
  <c r="S331" i="12"/>
  <c r="S294" i="12"/>
  <c r="S274" i="12"/>
  <c r="S262" i="12"/>
  <c r="S263" i="12" s="1"/>
  <c r="S479" i="12"/>
  <c r="S417" i="12"/>
  <c r="S412" i="12"/>
  <c r="S408" i="12"/>
  <c r="S403" i="12"/>
  <c r="S399" i="12"/>
  <c r="S395" i="12"/>
  <c r="S384" i="12"/>
  <c r="S379" i="12"/>
  <c r="S377" i="12"/>
  <c r="S375" i="12"/>
  <c r="S373" i="12"/>
  <c r="S371" i="12"/>
  <c r="S354" i="12"/>
  <c r="S350" i="12"/>
  <c r="S345" i="12"/>
  <c r="S340" i="12"/>
  <c r="S301" i="12"/>
  <c r="S286" i="12"/>
  <c r="S281" i="12"/>
  <c r="S277" i="12"/>
  <c r="R384" i="12"/>
  <c r="R375" i="12"/>
  <c r="R373" i="12"/>
  <c r="R371" i="12"/>
  <c r="S330" i="12"/>
  <c r="S293" i="12"/>
  <c r="S273" i="12"/>
  <c r="S104" i="12"/>
  <c r="S424" i="12"/>
  <c r="S420" i="12"/>
  <c r="S416" i="12"/>
  <c r="S411" i="12"/>
  <c r="S407" i="12"/>
  <c r="S333" i="12"/>
  <c r="S285" i="12"/>
  <c r="S51" i="12"/>
  <c r="S45" i="12"/>
  <c r="S402" i="12"/>
  <c r="S280" i="12"/>
  <c r="R94" i="12"/>
  <c r="R97" i="12" s="1"/>
  <c r="R98" i="12" s="1"/>
  <c r="S69" i="12"/>
  <c r="S66" i="12"/>
  <c r="S63" i="12"/>
  <c r="S53" i="12"/>
  <c r="S22" i="12"/>
  <c r="S7" i="12"/>
  <c r="S398" i="12"/>
  <c r="S357" i="12"/>
  <c r="S276" i="12"/>
  <c r="S60" i="12"/>
  <c r="S57" i="12"/>
  <c r="S15" i="12"/>
  <c r="S10" i="12"/>
  <c r="R7" i="12"/>
  <c r="S394" i="12"/>
  <c r="S353" i="12"/>
  <c r="S79" i="12"/>
  <c r="S50" i="12"/>
  <c r="S47" i="12"/>
  <c r="S44" i="12"/>
  <c r="S40" i="12"/>
  <c r="S8" i="12"/>
  <c r="S348" i="12"/>
  <c r="S300" i="12"/>
  <c r="S68" i="12"/>
  <c r="S62" i="12"/>
  <c r="S59" i="12"/>
  <c r="S52" i="12"/>
  <c r="S21" i="12"/>
  <c r="S17" i="12"/>
  <c r="R15" i="12"/>
  <c r="S344" i="12"/>
  <c r="S258" i="12"/>
  <c r="S56" i="12"/>
  <c r="S46" i="12"/>
  <c r="R17" i="12"/>
  <c r="S95" i="12"/>
  <c r="S70" i="12"/>
  <c r="S43" i="12"/>
  <c r="S9" i="12"/>
  <c r="S6" i="12"/>
  <c r="S12" i="12"/>
  <c r="S336" i="12"/>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P482" i="12"/>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Z499" i="12"/>
  <c r="F342" i="12"/>
  <c r="F326" i="12"/>
  <c r="F319" i="12"/>
  <c r="F303" i="12"/>
  <c r="Q316" i="12"/>
  <c r="AL553" i="12"/>
  <c r="AN553" i="12" s="1"/>
  <c r="AO553" i="12" s="1"/>
  <c r="F380" i="12"/>
  <c r="F385" i="12" s="1"/>
  <c r="F390" i="12" s="1"/>
  <c r="Z528" i="12"/>
  <c r="E95" i="12"/>
  <c r="D97" i="12"/>
  <c r="F482" i="12"/>
  <c r="E482" i="12" s="1"/>
  <c r="D380" i="12"/>
  <c r="E371"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<sst xmlns="http://schemas.openxmlformats.org/spreadsheetml/2006/main" count="25401" uniqueCount="3552">
  <si>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</si>
  <si>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</si>
  <si>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</si>
  <si>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</si>
  <si>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</si>
  <si>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</si>
  <si>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</si>
  <si>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</si>
  <si>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</si>
  <si>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</si>
  <si>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</si>
  <si>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</si>
  <si>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</si>
  <si>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</si>
  <si>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</si>
  <si>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</si>
  <si>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</si>
  <si>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</si>
  <si>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</si>
  <si>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</si>
  <si>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</si>
  <si>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</si>
  <si>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</si>
  <si>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</si>
  <si>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</si>
  <si>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</si>
  <si>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</si>
  <si>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</si>
  <si>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</si>
  <si>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</si>
  <si>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</si>
  <si>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</si>
  <si>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</si>
  <si>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</si>
  <si>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</si>
  <si>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</si>
  <si>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</si>
  <si>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</si>
  <si>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</si>
  <si>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</si>
  <si>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</si>
  <si>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</si>
  <si>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</si>
  <si>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</si>
  <si>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</si>
  <si>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</si>
  <si>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</si>
  <si>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</si>
  <si>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</si>
  <si>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</si>
  <si>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</si>
  <si>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</si>
  <si>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</si>
  <si>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</si>
  <si>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</si>
  <si>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</si>
  <si>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</si>
  <si>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</si>
  <si>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</si>
  <si>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</si>
  <si>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</si>
  <si>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</si>
  <si>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</si>
  <si>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</si>
  <si>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</si>
  <si>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</si>
  <si>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</si>
  <si>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</si>
  <si>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</si>
  <si>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</si>
  <si>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</si>
  <si>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</si>
  <si>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</si>
  <si>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</si>
  <si>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</si>
  <si>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</si>
  <si>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</si>
  <si>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</si>
  <si>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</si>
  <si>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</si>
  <si>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</si>
  <si>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</si>
  <si>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</si>
  <si>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</si>
  <si>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</si>
  <si>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</si>
  <si>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</si>
  <si>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</si>
  <si>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</si>
  <si>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</si>
  <si>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</si>
  <si>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</si>
  <si>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</si>
  <si>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</si>
  <si>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</si>
  <si>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</si>
  <si>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</si>
  <si>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</si>
  <si>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</si>
  <si>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</si>
  <si>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</si>
  <si>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</si>
  <si>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</si>
  <si>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</si>
  <si>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</si>
  <si>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</si>
  <si>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</si>
  <si>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</si>
  <si>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</si>
  <si>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</si>
  <si>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</si>
  <si>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</si>
  <si>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</si>
  <si>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</si>
  <si>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</si>
  <si>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</si>
  <si>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</si>
  <si>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</si>
  <si>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</si>
  <si>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</si>
  <si>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</si>
  <si>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</si>
  <si>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</si>
  <si>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</si>
  <si>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</si>
  <si>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</si>
  <si>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</si>
  <si>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</si>
  <si>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</si>
  <si>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</si>
  <si>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</si>
  <si>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</si>
  <si>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</si>
  <si>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</si>
  <si>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</si>
  <si>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</si>
  <si>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</si>
  <si>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</si>
  <si>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</si>
  <si>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</si>
  <si>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</si>
  <si>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</si>
  <si>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</si>
  <si>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</si>
  <si>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</si>
  <si>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</si>
  <si>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</si>
  <si>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</si>
  <si>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</si>
  <si>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</si>
  <si>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</si>
  <si>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</si>
  <si>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</si>
  <si>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</si>
  <si>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</si>
  <si>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</si>
  <si>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</si>
  <si>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</si>
  <si>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</si>
  <si>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</si>
  <si>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</si>
  <si>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</si>
  <si>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</si>
  <si>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</si>
  <si>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</si>
  <si>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</si>
  <si>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</si>
  <si>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</si>
  <si>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</si>
  <si>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</si>
  <si>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</si>
  <si>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</si>
  <si>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</si>
  <si>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</si>
  <si>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</si>
  <si>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</si>
  <si>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</si>
  <si>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</si>
  <si>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</si>
  <si>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</si>
  <si>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</si>
  <si>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</si>
  <si>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</si>
  <si>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</si>
  <si>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</si>
  <si>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</si>
  <si>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</si>
  <si>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</si>
  <si>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</si>
  <si>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</si>
  <si>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</si>
  <si>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</si>
  <si>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</si>
  <si>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</si>
  <si>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</si>
  <si>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</si>
  <si>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</si>
  <si>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</si>
  <si>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</si>
  <si>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</si>
  <si>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</si>
  <si>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</si>
  <si>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</si>
  <si>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</si>
  <si>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</si>
  <si>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</si>
  <si>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</si>
  <si>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</si>
  <si>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</si>
  <si>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</si>
  <si>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</si>
  <si>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</si>
  <si>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</si>
  <si>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</si>
  <si>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</si>
  <si>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</si>
  <si>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</si>
  <si>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</si>
  <si>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</si>
  <si>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</si>
  <si>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</si>
  <si>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</si>
  <si>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</si>
  <si>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</si>
  <si>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</si>
  <si>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</si>
  <si>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</si>
  <si>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</si>
  <si>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</si>
  <si>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</si>
  <si>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</si>
  <si>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</si>
  <si>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</si>
  <si>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</si>
  <si>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</si>
  <si>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</si>
  <si>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</si>
  <si>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</si>
  <si>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</si>
  <si>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</si>
  <si>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</si>
  <si>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</si>
  <si>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</si>
  <si>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</si>
  <si>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</si>
  <si>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</si>
  <si>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</si>
  <si>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</si>
  <si>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</si>
  <si>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</si>
  <si>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</si>
  <si>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</si>
  <si>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</si>
  <si>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</si>
  <si>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</si>
  <si>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</si>
  <si>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</si>
  <si>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</si>
  <si>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</si>
  <si>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</si>
  <si>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</si>
  <si>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</si>
  <si>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</si>
  <si>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</si>
  <si>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</si>
  <si>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</si>
  <si>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</si>
  <si>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</si>
  <si>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</si>
  <si>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</si>
  <si>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</si>
  <si>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</si>
  <si>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</si>
  <si>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</si>
  <si>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</si>
  <si>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</si>
  <si>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</si>
  <si>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</si>
  <si>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</si>
  <si>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</si>
  <si>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</si>
  <si>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</si>
  <si>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</si>
  <si>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</si>
  <si>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</si>
  <si>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</si>
  <si>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</si>
  <si>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</si>
  <si>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</si>
  <si>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</si>
  <si>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</si>
  <si>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</si>
  <si>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</si>
  <si>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</si>
  <si>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</si>
  <si>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</si>
  <si>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</si>
  <si>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</si>
  <si>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</si>
  <si>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</si>
  <si>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</si>
  <si>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</si>
  <si>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</si>
  <si>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</si>
  <si>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</si>
  <si>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</si>
  <si>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</si>
  <si>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</si>
  <si>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</si>
  <si>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</si>
  <si>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</si>
  <si>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</si>
  <si>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</si>
  <si>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</si>
  <si>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</si>
  <si>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</si>
  <si>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</si>
  <si>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</si>
  <si>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</si>
  <si>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</si>
  <si>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</si>
  <si>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</si>
  <si>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</si>
  <si>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</si>
  <si>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</si>
  <si>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</si>
  <si>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</si>
  <si>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</si>
  <si>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</si>
  <si>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</si>
  <si>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</si>
  <si>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</si>
  <si>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</si>
  <si>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</si>
  <si>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</si>
  <si>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</si>
  <si>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</si>
  <si>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</si>
  <si>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</si>
  <si>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</si>
  <si>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</si>
  <si>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</si>
  <si>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</si>
  <si>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</si>
  <si>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</si>
  <si>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</si>
  <si>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</si>
  <si>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</si>
  <si>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</si>
  <si>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</si>
  <si>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</si>
  <si>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</si>
  <si>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</si>
  <si>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</si>
  <si>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</si>
  <si>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</si>
  <si>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</si>
  <si>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</si>
  <si>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</si>
  <si>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</si>
  <si>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</si>
  <si>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</si>
  <si>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</si>
  <si>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</si>
  <si>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</si>
  <si>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</si>
  <si>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</si>
  <si>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</si>
  <si>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</si>
  <si>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</si>
  <si>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</si>
  <si>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</si>
  <si>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</si>
  <si>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</si>
  <si>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</si>
  <si>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</si>
  <si>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</si>
  <si>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</si>
  <si>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</si>
  <si>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</si>
  <si>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</si>
  <si>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</si>
  <si>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</si>
  <si>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</si>
  <si>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</si>
  <si>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</si>
  <si>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</si>
  <si>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</si>
  <si>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</si>
  <si>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</si>
  <si>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</si>
  <si>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</si>
  <si>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</si>
  <si>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</si>
  <si>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</si>
  <si>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</si>
  <si>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</si>
  <si>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</si>
  <si>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</si>
  <si>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</si>
  <si>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</si>
  <si>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</si>
  <si>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</si>
  <si>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</si>
  <si>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</si>
  <si>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</si>
  <si>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</si>
  <si>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</si>
  <si>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</si>
  <si>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</si>
  <si>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</si>
  <si>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</si>
  <si>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</si>
  <si>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</si>
  <si>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</si>
  <si>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</si>
  <si>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</si>
  <si>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</si>
  <si>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</si>
  <si>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</si>
  <si>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</si>
  <si>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</si>
  <si>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</si>
  <si>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</si>
  <si>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</si>
  <si>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</si>
  <si>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</si>
  <si>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</si>
  <si>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</si>
  <si>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</si>
  <si>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</si>
  <si>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</si>
  <si>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</si>
  <si>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</si>
  <si>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</si>
  <si>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</si>
  <si>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</si>
  <si>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</si>
  <si>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</si>
  <si>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</si>
  <si>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</si>
  <si>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</si>
  <si>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</si>
  <si>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</si>
  <si>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</si>
  <si>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</si>
  <si>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</si>
  <si>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</si>
  <si>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</si>
  <si>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</si>
  <si>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</si>
  <si>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</si>
  <si>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</si>
  <si>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</si>
  <si>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</si>
  <si>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</si>
  <si>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</si>
  <si>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</si>
  <si>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</si>
  <si>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</si>
  <si>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</si>
  <si>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</si>
  <si>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</si>
  <si>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</si>
  <si>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</si>
  <si>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</si>
  <si>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</si>
  <si>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</si>
  <si>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</si>
  <si>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</si>
  <si>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</si>
  <si>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</si>
  <si>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</si>
  <si>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</si>
  <si>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</si>
  <si>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</si>
  <si>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</si>
  <si>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</si>
  <si>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</si>
  <si>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</si>
  <si>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</si>
  <si>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</si>
  <si>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</si>
  <si>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</si>
  <si>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</si>
  <si>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</si>
  <si>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</si>
  <si>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</si>
  <si>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</si>
  <si>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</si>
  <si>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</si>
  <si>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</si>
  <si>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</si>
  <si>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</si>
  <si>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</si>
  <si>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</si>
  <si>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</si>
  <si>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</si>
  <si>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</si>
  <si>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</si>
  <si>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</si>
  <si>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</si>
  <si>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</si>
  <si>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</si>
  <si>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</si>
  <si>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</si>
  <si>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</si>
  <si>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</si>
  <si>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</si>
  <si>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</si>
  <si>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</si>
  <si>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</si>
  <si>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</si>
  <si>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</si>
  <si>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</si>
  <si>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</si>
  <si>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</si>
  <si>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</si>
  <si>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</si>
  <si>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</si>
  <si>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</si>
  <si>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</si>
  <si>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</si>
  <si>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</si>
  <si>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</si>
  <si>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</si>
  <si>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</si>
  <si>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</si>
  <si>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</si>
  <si>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</si>
  <si>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</si>
  <si>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</si>
  <si>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</si>
  <si>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</si>
  <si>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</si>
  <si>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</si>
  <si>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</si>
  <si>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</si>
  <si>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</si>
  <si>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</si>
  <si>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</si>
  <si>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</si>
  <si>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</si>
  <si>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</si>
  <si>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</si>
  <si>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</si>
  <si>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</si>
  <si>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</si>
  <si>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</si>
  <si>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</si>
  <si>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</si>
  <si>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</si>
  <si>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</si>
  <si>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</si>
  <si>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</si>
  <si>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</si>
  <si>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</si>
  <si>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</si>
  <si>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</si>
  <si>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</si>
  <si>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</si>
  <si>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</si>
  <si>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</si>
  <si>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</si>
  <si>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</si>
  <si>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</si>
  <si>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</si>
  <si>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</si>
  <si>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</si>
  <si>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</si>
  <si>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</si>
  <si>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</si>
  <si>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</si>
  <si>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</si>
  <si>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</si>
  <si>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</si>
  <si>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</si>
  <si>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</si>
  <si>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</si>
  <si>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</si>
  <si>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</si>
  <si>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</si>
  <si>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</si>
  <si>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</si>
  <si>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</si>
  <si>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</si>
  <si>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</si>
  <si>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</si>
  <si>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</si>
  <si>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</si>
  <si>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</si>
  <si>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</si>
  <si>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</si>
  <si>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</si>
  <si>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</si>
  <si>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</si>
  <si>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</si>
  <si>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</si>
  <si>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</si>
  <si>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</si>
  <si>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</si>
  <si>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</si>
  <si>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</si>
  <si>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</si>
  <si>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</si>
  <si>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</si>
  <si>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</si>
  <si>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</si>
  <si>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</si>
  <si>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</si>
  <si>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</si>
  <si>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</si>
  <si>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</si>
  <si>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</si>
  <si>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</si>
  <si>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</si>
  <si>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</si>
  <si>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</si>
  <si>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</si>
  <si>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</si>
  <si>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</si>
  <si>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</si>
  <si>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</si>
  <si>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</si>
  <si>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</si>
  <si>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</si>
  <si>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</si>
  <si>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</si>
  <si>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</si>
  <si>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</si>
  <si>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</si>
  <si>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</si>
  <si>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</si>
  <si>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</si>
  <si>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</si>
  <si>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</si>
  <si>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</si>
  <si>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</si>
  <si>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</si>
  <si>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</si>
  <si>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</si>
  <si>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</si>
  <si>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</si>
  <si>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</si>
  <si>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</si>
  <si>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</si>
  <si>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</si>
  <si>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</si>
  <si>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</si>
  <si>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</si>
  <si>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</si>
  <si>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</si>
  <si>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</si>
  <si>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</si>
  <si>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</si>
  <si>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</si>
  <si>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</si>
  <si>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</si>
  <si>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</si>
  <si>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</si>
  <si>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</si>
  <si>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</si>
  <si>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</si>
  <si>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</si>
  <si>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</si>
  <si>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</si>
  <si>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</si>
  <si>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</si>
  <si>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</si>
  <si>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</si>
  <si>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</si>
  <si>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</si>
  <si>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</si>
  <si>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</si>
  <si>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</si>
  <si>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</si>
  <si>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</si>
  <si>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</si>
  <si>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</si>
  <si>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</si>
  <si>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</si>
  <si>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</si>
  <si>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</si>
  <si>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</si>
  <si>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</si>
  <si>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</si>
  <si>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</si>
  <si>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</si>
  <si>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</si>
  <si>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</si>
  <si>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</si>
  <si>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</si>
  <si>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</si>
  <si>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</si>
  <si>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</si>
  <si>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</si>
  <si>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</si>
  <si>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</si>
  <si>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</si>
  <si>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</si>
  <si>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</si>
  <si>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</si>
  <si>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</si>
  <si>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</si>
  <si>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</si>
  <si>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</si>
  <si>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</si>
  <si>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</si>
  <si>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</si>
  <si>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</si>
  <si>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</si>
  <si>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</si>
  <si>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</si>
  <si>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</si>
  <si>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</si>
  <si>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</si>
  <si>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</si>
  <si>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</si>
  <si>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</si>
  <si>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</si>
  <si>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</si>
  <si>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</si>
  <si>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</si>
  <si>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</si>
  <si>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</si>
  <si>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</si>
  <si>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</si>
  <si>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</si>
  <si>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</si>
  <si>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</si>
  <si>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</si>
  <si>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</si>
  <si>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</si>
  <si>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</si>
  <si>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</si>
  <si>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</si>
  <si>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</si>
  <si>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</si>
  <si>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</si>
  <si>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</si>
  <si>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</si>
  <si>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</si>
  <si>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</si>
  <si>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</si>
  <si>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</si>
  <si>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</si>
  <si>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</si>
  <si>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</si>
  <si>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</si>
  <si>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</si>
  <si>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</si>
  <si>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</si>
  <si>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</si>
  <si>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</si>
  <si>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</si>
  <si>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</si>
  <si>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</si>
  <si>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</si>
  <si>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</si>
  <si>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</si>
  <si>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</si>
  <si>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</si>
  <si>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</si>
  <si>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</si>
  <si>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</si>
  <si>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</si>
  <si>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</si>
  <si>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</si>
  <si>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</si>
  <si>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</si>
  <si>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</si>
  <si>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</si>
  <si>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</si>
  <si>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</si>
  <si>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</si>
  <si>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</si>
  <si>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</si>
  <si>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</si>
  <si>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</si>
  <si>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</si>
  <si>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</si>
  <si>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</si>
  <si>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</si>
  <si>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</si>
  <si>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</si>
  <si>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</si>
  <si>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</si>
  <si>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</si>
  <si>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</si>
  <si>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</si>
  <si>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</si>
  <si>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</si>
  <si>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</si>
  <si>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</si>
  <si>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</si>
  <si>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</si>
  <si>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</si>
  <si>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</si>
  <si>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</si>
  <si>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</si>
  <si>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</si>
  <si>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</si>
  <si>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</si>
  <si>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</si>
  <si>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</si>
  <si>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</si>
  <si>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</si>
  <si>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</si>
  <si>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</si>
  <si>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</si>
  <si>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</si>
  <si>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</si>
  <si>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</si>
  <si>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</si>
  <si>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</si>
  <si>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</si>
  <si>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</si>
  <si>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</si>
  <si>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</si>
  <si>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</si>
  <si>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</si>
  <si>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</si>
  <si>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</si>
  <si>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</si>
  <si>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</si>
  <si>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</si>
  <si>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</si>
  <si>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</si>
  <si>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</si>
  <si>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</si>
  <si>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</si>
  <si>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</si>
  <si>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</si>
  <si>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</si>
  <si>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</si>
  <si>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</si>
  <si>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</si>
  <si>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</si>
  <si>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</si>
  <si>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</si>
  <si>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</si>
  <si>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</si>
  <si>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</si>
  <si>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</si>
  <si>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</si>
  <si>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</si>
  <si>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</si>
  <si>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</si>
  <si>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</si>
  <si>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</si>
  <si>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</si>
  <si>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</si>
  <si>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</si>
  <si>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</si>
  <si>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</si>
  <si>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</si>
  <si>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</si>
  <si>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</si>
  <si>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</si>
  <si>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</si>
  <si>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</si>
  <si>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</si>
  <si>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</si>
  <si>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</si>
  <si>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</si>
  <si>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</si>
  <si>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</si>
  <si>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</si>
  <si>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</si>
  <si>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</si>
  <si>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</si>
  <si>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</si>
  <si>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</si>
  <si>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</si>
  <si>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</si>
  <si>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</si>
  <si>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</si>
  <si>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</si>
  <si>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</si>
  <si>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</si>
  <si>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</si>
  <si>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</si>
  <si>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</si>
  <si>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</si>
  <si>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</si>
  <si>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</si>
  <si>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</si>
  <si>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</si>
  <si>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</si>
  <si>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</si>
  <si>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</si>
  <si>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</si>
  <si>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</si>
  <si>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</si>
  <si>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</si>
  <si>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</si>
  <si>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</si>
  <si>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</si>
  <si>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</si>
  <si>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</si>
  <si>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</si>
  <si>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</si>
  <si>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</si>
  <si>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</si>
  <si>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</si>
  <si>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</si>
  <si>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</si>
  <si>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</si>
  <si>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</si>
  <si>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</si>
  <si>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</si>
  <si>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</si>
  <si>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</si>
  <si>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</si>
  <si>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</si>
  <si>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</si>
  <si>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</si>
  <si>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</si>
  <si>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</si>
  <si>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</si>
  <si>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</si>
  <si>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</si>
  <si>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</si>
  <si>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</si>
  <si>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</si>
  <si>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</si>
  <si>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</si>
  <si>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</si>
  <si>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</si>
  <si>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</si>
  <si>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</si>
  <si>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</si>
  <si>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</si>
  <si>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</si>
  <si>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</si>
  <si>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</si>
  <si>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</si>
  <si>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</si>
  <si>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</si>
  <si>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</si>
  <si>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</si>
  <si>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</si>
  <si>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</si>
  <si>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</si>
  <si>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</si>
  <si>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</si>
  <si>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</si>
  <si>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</si>
  <si>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</si>
  <si>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</si>
  <si>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</si>
  <si>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</si>
  <si>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</si>
  <si>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</si>
  <si>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</si>
  <si>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</si>
  <si>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</si>
  <si>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</si>
  <si>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</si>
  <si>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</si>
  <si>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</si>
  <si>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</si>
  <si>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</si>
  <si>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</si>
  <si>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</si>
  <si>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</si>
  <si>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</si>
  <si>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</si>
  <si>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</si>
  <si>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</si>
  <si>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</si>
  <si>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</si>
  <si>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</si>
  <si>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</si>
  <si>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</si>
  <si>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</si>
  <si>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</si>
  <si>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</si>
  <si>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</si>
  <si>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</si>
  <si>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</si>
  <si>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</si>
  <si>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</si>
  <si>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</si>
  <si>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</si>
  <si>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</si>
  <si>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</si>
  <si>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</si>
  <si>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</si>
  <si>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</si>
  <si>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</si>
  <si>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</si>
  <si>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</si>
  <si>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</si>
  <si>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</si>
  <si>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</si>
  <si>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</si>
  <si>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</si>
  <si>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</si>
  <si>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</si>
  <si>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</si>
  <si>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</si>
  <si>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</si>
  <si>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</si>
  <si>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</si>
  <si>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</si>
  <si>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</si>
  <si>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</si>
  <si>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</si>
  <si>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</si>
  <si>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</si>
  <si>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</si>
  <si>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</si>
  <si>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</si>
  <si>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</si>
  <si>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</si>
  <si>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</si>
  <si>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</si>
  <si>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</si>
  <si>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</si>
  <si>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</si>
  <si>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</si>
  <si>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</si>
  <si>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</si>
  <si>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</si>
  <si>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</si>
  <si>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</si>
  <si>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</si>
  <si>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</si>
  <si>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</si>
  <si>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</si>
  <si>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</si>
  <si>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</si>
  <si>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</si>
  <si>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</si>
  <si>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</si>
  <si>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</si>
  <si>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</si>
  <si>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</si>
  <si>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</si>
  <si>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</si>
  <si>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</si>
  <si>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</si>
  <si>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</si>
  <si>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</si>
  <si>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</si>
  <si>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</si>
  <si>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</si>
  <si>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</si>
  <si>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</si>
  <si>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</si>
  <si>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</si>
  <si>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</si>
  <si>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</si>
  <si>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</si>
  <si>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</si>
  <si>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</si>
  <si>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</si>
  <si>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</si>
  <si>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</si>
  <si>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</si>
  <si>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</si>
  <si>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</si>
  <si>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</si>
  <si>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</si>
  <si>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</si>
  <si>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</si>
  <si>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</si>
  <si>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</si>
  <si>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</si>
  <si>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</si>
  <si>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</si>
  <si>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</si>
  <si>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</si>
  <si>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</si>
  <si>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</si>
  <si>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</si>
  <si>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</si>
  <si>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</si>
  <si>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</si>
  <si>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</si>
  <si>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</si>
  <si>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</si>
  <si>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</si>
  <si>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</si>
  <si>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</si>
  <si>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</si>
  <si>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</si>
  <si>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</si>
  <si>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</si>
  <si>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</si>
  <si>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</si>
  <si>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</si>
  <si>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</si>
  <si>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</si>
  <si>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</si>
  <si>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</si>
  <si>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</si>
  <si>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</si>
  <si>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</si>
  <si>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</si>
  <si>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</si>
  <si>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</si>
  <si>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</si>
  <si>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</si>
  <si>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</si>
  <si>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</si>
  <si>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</si>
  <si>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</si>
  <si>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</si>
  <si>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</si>
  <si>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</si>
  <si>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</si>
  <si>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</si>
  <si>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</si>
  <si>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</si>
  <si>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</si>
  <si>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</si>
  <si>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</si>
  <si>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</si>
  <si>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</si>
  <si>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</si>
  <si>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</si>
  <si>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</si>
  <si>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</si>
  <si>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</si>
  <si>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</si>
  <si>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</si>
  <si>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</si>
  <si>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</si>
  <si>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</si>
  <si>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</si>
  <si>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</si>
  <si>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</si>
  <si>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</si>
  <si>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</si>
  <si>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</si>
  <si>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</si>
  <si>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</si>
  <si>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</si>
  <si>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</si>
  <si>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</si>
  <si>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</si>
  <si>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</si>
  <si>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</si>
  <si>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</si>
  <si>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</si>
  <si>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</si>
  <si>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</si>
  <si>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</si>
  <si>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</si>
  <si>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</si>
  <si>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</si>
  <si>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</si>
  <si>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</si>
  <si>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</si>
  <si>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</si>
  <si>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</si>
  <si>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</si>
  <si>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</si>
  <si>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</si>
  <si>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</si>
  <si>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</si>
  <si>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</si>
  <si>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</si>
  <si>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</si>
  <si>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</si>
  <si>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</si>
  <si>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</si>
  <si>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</si>
  <si>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</si>
  <si>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</si>
  <si>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</si>
  <si>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</si>
  <si>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</si>
  <si>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</si>
  <si>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</si>
  <si>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</si>
  <si>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</si>
  <si>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</si>
  <si>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</si>
  <si>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</si>
  <si>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</si>
  <si>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</si>
  <si>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</si>
  <si>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</si>
  <si>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</si>
  <si>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</si>
  <si>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</si>
  <si>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</si>
  <si>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</si>
  <si>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</si>
  <si>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</si>
  <si>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</si>
  <si>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</si>
  <si>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</si>
  <si>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</si>
  <si>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</si>
  <si>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</si>
  <si>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</si>
  <si>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</si>
  <si>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</si>
  <si>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</si>
  <si>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</si>
  <si>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</si>
  <si>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</si>
  <si>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</si>
  <si>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</si>
  <si>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</si>
  <si>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</si>
  <si>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</si>
  <si>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</si>
  <si>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</si>
  <si>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</si>
  <si>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</si>
  <si>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</si>
  <si>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</si>
  <si>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</si>
  <si>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</si>
  <si>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</si>
  <si>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</si>
  <si>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</si>
  <si>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</si>
  <si>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</si>
  <si>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</si>
  <si>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</si>
  <si>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</si>
  <si>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</si>
  <si>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</si>
  <si>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</si>
  <si>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</si>
  <si>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</si>
  <si>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</si>
  <si>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</si>
  <si>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</si>
  <si>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</si>
  <si>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</si>
  <si>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</si>
  <si>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</si>
  <si>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</si>
  <si>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</si>
  <si>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</si>
  <si>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</si>
  <si>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</si>
  <si>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</si>
  <si>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</si>
  <si>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</si>
  <si>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</si>
  <si>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</si>
  <si>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</si>
  <si>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</si>
  <si>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</si>
  <si>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</si>
  <si>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</si>
  <si>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</si>
  <si>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</si>
  <si>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</si>
  <si>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</si>
  <si>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</si>
  <si>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</si>
  <si>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</si>
  <si>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</si>
  <si>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</si>
  <si>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</si>
  <si>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</si>
  <si>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</si>
  <si>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</si>
  <si>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</si>
  <si>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</si>
  <si>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</si>
  <si>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</si>
  <si>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</si>
  <si>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</si>
  <si>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</si>
  <si>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</si>
  <si>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</si>
  <si>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</si>
  <si>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</si>
  <si>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</si>
  <si>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</si>
  <si>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</si>
  <si>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</si>
  <si>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</si>
  <si>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</si>
  <si>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</si>
  <si>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</si>
  <si>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</si>
  <si>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</si>
  <si>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</si>
  <si>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</si>
  <si>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</si>
  <si>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</si>
  <si>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</si>
  <si>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</si>
  <si>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</si>
  <si>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</si>
  <si>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</si>
  <si>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</si>
  <si>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</si>
  <si>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</si>
  <si>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</si>
  <si>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</si>
  <si>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</si>
  <si>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</si>
  <si>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</si>
  <si>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</si>
  <si>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</si>
  <si>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</si>
  <si>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</si>
  <si>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</si>
  <si>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</si>
  <si>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</si>
  <si>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</si>
  <si>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</si>
  <si>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</si>
  <si>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</si>
  <si>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</si>
  <si>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</si>
  <si>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</si>
  <si>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</si>
  <si>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</si>
  <si>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</si>
  <si>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</si>
  <si>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</si>
  <si>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</si>
  <si>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</si>
  <si>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</si>
  <si>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</si>
  <si>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</si>
  <si>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</si>
  <si>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</si>
  <si>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</si>
  <si>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</si>
  <si>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</si>
  <si>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</si>
  <si>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</si>
  <si>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</si>
  <si>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</si>
  <si>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</si>
  <si>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</si>
  <si>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</si>
  <si>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</si>
  <si>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</si>
  <si>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</si>
  <si>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</si>
  <si>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</si>
  <si>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</si>
  <si>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</si>
  <si>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</si>
  <si>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</si>
  <si>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</si>
  <si>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</si>
  <si>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</si>
  <si>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</si>
  <si>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</si>
  <si>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</si>
  <si>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</si>
  <si>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</si>
  <si>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</si>
  <si>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</si>
  <si>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</si>
  <si>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</si>
  <si>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</si>
  <si>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</si>
  <si>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</si>
  <si>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</si>
  <si>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</si>
  <si>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</si>
  <si>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</si>
  <si>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</si>
  <si>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</si>
  <si>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</si>
  <si>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</si>
  <si>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</si>
  <si>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</si>
  <si>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</si>
  <si>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</si>
  <si>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</si>
  <si>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</si>
  <si>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</si>
  <si>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</si>
  <si>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</si>
  <si>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</si>
  <si>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</si>
  <si>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</si>
  <si>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</si>
  <si>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</si>
  <si>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</si>
  <si>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</si>
  <si>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</si>
  <si>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</si>
  <si>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</si>
  <si>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</si>
  <si>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</si>
  <si>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</si>
  <si>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</si>
  <si>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</si>
  <si>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</si>
  <si>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</si>
  <si>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</si>
  <si>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</si>
  <si>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</si>
  <si>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</si>
  <si>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</si>
  <si>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</si>
  <si>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</si>
  <si>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</si>
  <si>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</si>
  <si>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</si>
  <si>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</si>
  <si>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</si>
  <si>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</si>
  <si>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</si>
  <si>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</si>
  <si>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</si>
  <si>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</si>
  <si>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</si>
  <si>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</si>
  <si>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</si>
  <si>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</si>
  <si>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</si>
  <si>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</si>
  <si>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</si>
  <si>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</si>
  <si>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</si>
  <si>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</si>
  <si>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</si>
  <si>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</si>
  <si>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</si>
  <si>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</si>
  <si>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</si>
  <si>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</si>
  <si>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</si>
  <si>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</si>
  <si>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</si>
  <si>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</si>
  <si>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</si>
  <si>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</si>
  <si>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</si>
  <si>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</si>
  <si>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</si>
  <si>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</si>
  <si>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</si>
  <si>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</si>
  <si>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</si>
  <si>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</si>
  <si>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</si>
  <si>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</si>
  <si>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</si>
  <si>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</si>
  <si>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</si>
  <si>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</si>
  <si>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</si>
  <si>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</si>
  <si>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</si>
  <si>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</si>
  <si>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</si>
  <si>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</si>
  <si>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</si>
  <si>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</si>
  <si>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</si>
  <si>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</si>
  <si>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</si>
  <si>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</si>
  <si>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</si>
  <si>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</si>
  <si>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</si>
  <si>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</si>
  <si>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</si>
  <si>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</si>
  <si>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</si>
  <si>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</si>
  <si>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</si>
  <si>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</si>
  <si>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</si>
  <si>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</si>
  <si>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</si>
  <si>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</si>
  <si>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</si>
  <si>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</si>
  <si>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</si>
  <si>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</si>
  <si>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</si>
  <si>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</si>
  <si>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</si>
  <si>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</si>
  <si>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</si>
  <si>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</si>
  <si>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</si>
  <si>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</si>
  <si>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</si>
  <si>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</si>
  <si>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</si>
  <si>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</si>
  <si>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</si>
  <si>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</si>
  <si>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</si>
  <si>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</si>
  <si>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</si>
  <si>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</si>
  <si>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</si>
  <si>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</si>
  <si>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</si>
  <si>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</si>
  <si>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</si>
  <si>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</si>
  <si>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</si>
  <si>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</si>
  <si>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</si>
  <si>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</si>
  <si>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</si>
  <si>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</si>
  <si>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</si>
  <si>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</si>
  <si>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</si>
  <si>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</si>
  <si>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</si>
  <si>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</si>
  <si>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</si>
  <si>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</si>
  <si>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</si>
  <si>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</si>
  <si>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</si>
  <si>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</si>
  <si>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</si>
  <si>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</si>
  <si>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</si>
  <si>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</si>
  <si>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</si>
  <si>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</si>
  <si>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</si>
  <si>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</si>
  <si>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</si>
  <si>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</si>
  <si>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</si>
  <si>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</si>
  <si>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</si>
  <si>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</si>
  <si>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</si>
  <si>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</si>
  <si>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</si>
  <si>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</si>
  <si>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</si>
  <si>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</si>
  <si>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</si>
  <si>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</si>
  <si>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</si>
  <si>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</si>
  <si>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</si>
  <si>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</si>
  <si>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</si>
  <si>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</si>
  <si>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</si>
  <si>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</si>
  <si>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</si>
  <si>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</si>
  <si>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</si>
  <si>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</si>
  <si>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</si>
  <si>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</si>
  <si>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</si>
  <si>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</si>
  <si>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</si>
  <si>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</si>
  <si>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</si>
  <si>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</si>
  <si>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</si>
  <si>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</si>
  <si>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</si>
  <si>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</si>
  <si>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</si>
  <si>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</si>
  <si>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</si>
  <si>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</si>
  <si>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</si>
  <si>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</si>
  <si>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</si>
  <si>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</si>
  <si>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</si>
  <si>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</si>
  <si>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</si>
  <si>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</si>
  <si>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</si>
  <si>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</si>
  <si>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</si>
  <si>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</si>
  <si>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</si>
  <si>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</si>
  <si>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</si>
  <si>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</si>
  <si>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</si>
  <si>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</si>
  <si>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</si>
  <si>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</si>
  <si>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</si>
  <si>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</si>
  <si>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</si>
  <si>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</si>
  <si>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</si>
  <si>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</si>
  <si>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</si>
  <si>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</si>
  <si>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</si>
  <si>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</si>
  <si>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</si>
  <si>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</si>
  <si>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</si>
  <si>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</si>
  <si>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</si>
  <si>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</si>
  <si>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</si>
  <si>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</si>
  <si>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</si>
  <si>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</si>
  <si>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</si>
  <si>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</si>
  <si>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</si>
  <si>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</si>
  <si>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</si>
  <si>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</si>
  <si>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</si>
  <si>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</si>
  <si>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</si>
  <si>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</si>
  <si>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</si>
  <si>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</si>
  <si>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</si>
  <si>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</si>
  <si>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</si>
  <si>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</si>
  <si>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</si>
  <si>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</si>
  <si>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</si>
  <si>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</si>
  <si>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</si>
  <si>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</si>
  <si>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</si>
  <si>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</si>
  <si>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</si>
  <si>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</si>
  <si>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</si>
  <si>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</si>
  <si>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</si>
  <si>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</si>
  <si>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</si>
  <si>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</si>
  <si>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</si>
  <si>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</si>
  <si>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</si>
  <si>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</si>
  <si>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</si>
  <si>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</si>
  <si>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</si>
  <si>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</si>
  <si>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</si>
  <si>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</si>
  <si>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</si>
  <si>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</si>
  <si>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</si>
  <si>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</si>
  <si>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</si>
  <si>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</si>
  <si>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</si>
  <si>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</si>
  <si>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</si>
  <si>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</si>
  <si>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</si>
  <si>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</si>
  <si>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</si>
  <si>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</si>
  <si>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</si>
  <si>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</si>
  <si>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</si>
  <si>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</si>
  <si>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</si>
  <si>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</si>
  <si>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</si>
  <si>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</si>
  <si>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</si>
  <si>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</si>
  <si>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</si>
  <si>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</si>
  <si>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</si>
  <si>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</si>
  <si>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</si>
  <si>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</si>
  <si>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</si>
  <si>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</si>
  <si>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</si>
  <si>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</si>
  <si>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</si>
  <si>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</si>
  <si>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</si>
  <si>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</si>
  <si>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</si>
  <si>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</si>
  <si>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</si>
  <si>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</si>
  <si>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</si>
  <si>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</si>
  <si>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</si>
  <si>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</si>
  <si>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</si>
  <si>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</si>
  <si>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</si>
  <si>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</si>
  <si>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</si>
  <si>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</si>
  <si>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</si>
  <si>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</si>
  <si>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</si>
  <si>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</si>
  <si>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</si>
  <si>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</si>
  <si>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</si>
  <si>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</si>
  <si>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</si>
  <si>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</si>
  <si>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</si>
  <si>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</si>
  <si>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</si>
  <si>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</si>
  <si>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</si>
  <si>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</si>
  <si>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</si>
  <si>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</si>
  <si>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</si>
  <si>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</si>
  <si>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</si>
  <si>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</si>
  <si>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</si>
  <si>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</si>
  <si>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</si>
  <si>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</si>
  <si>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</si>
  <si>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</si>
  <si>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</si>
  <si>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</si>
  <si>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</si>
  <si>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</si>
  <si>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</si>
  <si>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</si>
  <si>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</si>
  <si>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</si>
  <si>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</si>
  <si>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</si>
  <si>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</si>
  <si>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</si>
  <si>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</si>
  <si>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</si>
  <si>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</si>
  <si>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</si>
  <si>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</si>
  <si>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</si>
  <si>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</si>
  <si>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</si>
  <si>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</si>
  <si>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</si>
  <si>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</si>
  <si>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</si>
  <si>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</si>
  <si>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</si>
  <si>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</si>
  <si>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</si>
  <si>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</si>
  <si>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</si>
  <si>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</si>
  <si>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</si>
  <si>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</si>
  <si>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</si>
  <si>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</si>
  <si>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</si>
  <si>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</si>
  <si>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</si>
  <si>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</si>
  <si>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</si>
  <si>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</si>
  <si>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</si>
  <si>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</si>
  <si>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</si>
  <si>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</si>
  <si>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</si>
  <si>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</si>
  <si>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</si>
  <si>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</si>
  <si>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</si>
  <si>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</si>
  <si>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</si>
  <si>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</si>
  <si>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</si>
  <si>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</si>
  <si>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</si>
  <si>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</si>
  <si>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</si>
  <si>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</si>
  <si>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</si>
  <si>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</si>
  <si>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</si>
  <si>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</si>
  <si>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</si>
  <si>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</si>
  <si>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</si>
  <si>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</si>
  <si>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</si>
  <si>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</si>
  <si>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</si>
  <si>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</si>
  <si>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</si>
  <si>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</si>
  <si>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</si>
  <si>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</si>
  <si>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</si>
  <si>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</si>
  <si>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</si>
  <si>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</si>
  <si>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</si>
  <si>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</si>
  <si>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</si>
  <si>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</si>
  <si>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</si>
  <si>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</si>
  <si>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</si>
  <si>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</si>
  <si>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</si>
  <si>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</si>
  <si>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</si>
  <si>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</si>
  <si>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</si>
  <si>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</si>
  <si>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</si>
  <si>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</si>
  <si>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</si>
  <si>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</si>
  <si>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</si>
  <si>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</si>
  <si>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</si>
  <si>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</si>
  <si>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</si>
  <si>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</si>
  <si>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</si>
  <si>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</si>
  <si>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</si>
  <si>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</si>
  <si>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</si>
  <si>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</si>
  <si>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</si>
  <si>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</si>
  <si>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</si>
  <si>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</si>
  <si>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</si>
  <si>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</si>
  <si>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</si>
  <si>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</si>
  <si>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</si>
  <si>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</si>
  <si>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</si>
  <si>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</si>
  <si>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</si>
  <si>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</si>
  <si>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</si>
  <si>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</si>
  <si>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</si>
  <si>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</si>
  <si>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</si>
  <si>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</si>
  <si>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</si>
  <si>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</si>
  <si>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</si>
  <si>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</si>
  <si>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</si>
  <si>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</si>
  <si>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</si>
  <si>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</si>
  <si>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</si>
  <si>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</si>
  <si>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</si>
  <si>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</si>
  <si>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</si>
  <si>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</si>
  <si>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</si>
  <si>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</si>
  <si>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</si>
  <si>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</si>
  <si>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</si>
  <si>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</si>
  <si>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</si>
  <si>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</si>
  <si>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</si>
  <si>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</si>
  <si>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</si>
  <si>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</si>
  <si>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</si>
  <si>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</si>
  <si>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</si>
  <si>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</si>
  <si>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</si>
  <si>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</si>
  <si>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</si>
  <si>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</si>
  <si>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</si>
  <si>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</si>
  <si>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</si>
  <si>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</si>
  <si>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</si>
  <si>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</si>
  <si>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</si>
  <si>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</si>
  <si>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</si>
  <si>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</si>
  <si>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</si>
  <si>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</si>
  <si>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</si>
  <si>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</si>
  <si>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</si>
  <si>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</si>
  <si>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</si>
  <si>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</si>
  <si>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</si>
  <si>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</si>
  <si>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</si>
  <si>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</si>
  <si>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</si>
  <si>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</si>
  <si>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</si>
  <si>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</si>
  <si>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</si>
  <si>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</si>
  <si>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</si>
  <si>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</si>
  <si>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</si>
  <si>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</si>
  <si>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</si>
  <si>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</si>
  <si>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</si>
  <si>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</si>
  <si>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</si>
  <si>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</si>
  <si>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</si>
  <si>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</si>
  <si>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</si>
  <si>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</si>
  <si>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</si>
  <si>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</si>
  <si>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</si>
  <si>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</si>
  <si>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</si>
  <si>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</si>
  <si>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</si>
  <si>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</si>
  <si>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</si>
  <si>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</si>
  <si>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</si>
  <si>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</si>
  <si>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</si>
  <si>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</si>
  <si>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</si>
  <si>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</si>
  <si>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</si>
  <si>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</si>
  <si>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</si>
  <si>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</si>
  <si>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</si>
  <si>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</si>
  <si>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</si>
  <si>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</si>
  <si>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</si>
  <si>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</si>
  <si>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</si>
  <si>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</si>
  <si>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</si>
  <si>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</si>
  <si>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</si>
  <si>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</si>
  <si>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</si>
  <si>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</si>
  <si>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</si>
  <si>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</si>
  <si>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</si>
  <si>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</si>
  <si>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</si>
  <si>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</si>
  <si>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</si>
  <si>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</si>
  <si>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</si>
  <si>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</si>
  <si>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</si>
  <si>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</si>
  <si>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</si>
  <si>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</si>
  <si>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</si>
  <si>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</si>
  <si>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</si>
  <si>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</si>
  <si>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</si>
  <si>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</si>
  <si>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</si>
  <si>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</si>
  <si>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</si>
  <si>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</si>
  <si>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</si>
  <si>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</si>
  <si>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</si>
  <si>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</si>
  <si>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</si>
  <si>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</si>
  <si>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</si>
  <si>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</si>
  <si>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</si>
  <si>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</si>
  <si>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</si>
  <si>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</si>
  <si>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</si>
  <si>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</si>
  <si>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</si>
  <si>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</si>
  <si>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</si>
  <si>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</si>
  <si>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</si>
  <si>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</si>
  <si>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</si>
  <si>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</si>
  <si>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</si>
  <si>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</si>
  <si>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</si>
  <si>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</si>
  <si>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</si>
  <si>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</si>
  <si>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</si>
  <si>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</si>
  <si>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</si>
  <si>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</si>
  <si>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</si>
  <si>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</si>
  <si>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</si>
  <si>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</si>
  <si>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</si>
  <si>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</si>
  <si>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</si>
  <si>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</si>
  <si>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</si>
  <si>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</si>
  <si>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</si>
  <si>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</si>
  <si>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</si>
  <si>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</si>
  <si>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</si>
  <si>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</si>
  <si>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</si>
  <si>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</si>
  <si>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</si>
  <si>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</si>
  <si>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</si>
  <si>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</si>
  <si>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</si>
  <si>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</si>
  <si>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</si>
  <si>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</si>
  <si>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</si>
  <si>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</si>
  <si>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</si>
  <si>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</si>
  <si>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</si>
  <si>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</si>
  <si>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</si>
  <si>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</si>
  <si>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</si>
  <si>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</si>
  <si>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</si>
  <si>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</si>
  <si>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</si>
  <si>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</si>
  <si>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</si>
  <si>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</si>
  <si>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</si>
  <si>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</si>
  <si>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</si>
  <si>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</si>
  <si>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</si>
  <si>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</si>
  <si>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</si>
  <si>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</si>
  <si>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</si>
  <si>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</si>
  <si>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</si>
  <si>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</si>
  <si>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</si>
  <si>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</si>
  <si>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</si>
  <si>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</si>
  <si>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</si>
  <si>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</si>
  <si>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</si>
  <si>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</si>
  <si>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</si>
  <si>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</si>
  <si>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</si>
  <si>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</si>
  <si>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</si>
  <si>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</si>
  <si>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</si>
  <si>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</si>
  <si>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</si>
  <si>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</si>
  <si>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</si>
  <si>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</si>
  <si>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</si>
  <si>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</si>
  <si>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</si>
  <si>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</si>
  <si>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</si>
  <si>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</si>
  <si>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</si>
  <si>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</si>
  <si>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</si>
  <si>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</si>
  <si>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</si>
  <si>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</si>
  <si>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</si>
  <si>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</si>
  <si>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</si>
  <si>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</si>
  <si>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</si>
  <si>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</si>
  <si>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</si>
  <si>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</si>
  <si>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</si>
  <si>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</si>
  <si>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</si>
  <si>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</si>
  <si>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</si>
  <si>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</si>
  <si>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</si>
  <si>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</si>
  <si>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</si>
  <si>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</si>
  <si>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</si>
  <si>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</si>
  <si>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</si>
  <si>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</si>
  <si>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</si>
  <si>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</si>
  <si>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</si>
  <si>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</si>
  <si>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</si>
  <si>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</si>
  <si>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</si>
  <si>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</si>
  <si>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</si>
  <si>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</si>
  <si>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</si>
  <si>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</si>
  <si>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</si>
  <si>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</si>
  <si>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</si>
  <si>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</si>
  <si>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</si>
  <si>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</si>
  <si>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</si>
  <si>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</si>
  <si>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</si>
  <si>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</si>
  <si>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</si>
  <si>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</si>
  <si>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</si>
  <si>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</si>
  <si>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</si>
  <si>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</si>
  <si>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</si>
  <si>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</si>
  <si>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</si>
  <si>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</si>
  <si>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</si>
  <si>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</si>
  <si>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</si>
  <si>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</si>
  <si>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</si>
  <si>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</si>
  <si>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</si>
  <si>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</si>
  <si>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</si>
  <si>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</si>
  <si>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</si>
  <si>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</si>
  <si>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</si>
  <si>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</si>
  <si>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</si>
  <si>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</si>
  <si>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</si>
  <si>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</si>
  <si>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</si>
  <si>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</si>
  <si>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</si>
  <si>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</si>
  <si>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</si>
  <si>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</si>
  <si>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</si>
  <si>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</si>
  <si>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</si>
  <si>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</si>
  <si>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</si>
  <si>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</si>
  <si>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</si>
  <si>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</si>
  <si>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</si>
  <si>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</si>
  <si>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</si>
  <si>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</si>
  <si>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</si>
  <si>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</si>
  <si>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</si>
  <si>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</si>
  <si>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</si>
  <si>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</si>
  <si>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</si>
  <si>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</si>
  <si>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</si>
  <si>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</si>
  <si>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</si>
  <si>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</si>
  <si>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</si>
  <si>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</si>
  <si>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</si>
  <si>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</si>
  <si>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</si>
  <si>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</si>
  <si>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</si>
  <si>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</si>
  <si>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</si>
  <si>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</si>
  <si>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</si>
  <si>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</si>
  <si>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</si>
  <si>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</si>
  <si>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</si>
  <si>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</si>
  <si>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</si>
  <si>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</si>
  <si>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</si>
  <si>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</si>
  <si>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</si>
  <si>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</si>
  <si>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</si>
  <si>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</si>
  <si>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</si>
  <si>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</si>
  <si>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</si>
  <si>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</si>
  <si>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</si>
  <si>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</si>
  <si>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</si>
  <si>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</si>
  <si>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</si>
  <si>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</si>
  <si>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</si>
  <si>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</si>
  <si>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</si>
  <si>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</si>
  <si>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</si>
  <si>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</si>
  <si>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</si>
  <si>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</si>
  <si>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</si>
  <si>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</si>
  <si>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</si>
  <si>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</si>
  <si>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</si>
  <si>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</si>
  <si>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</si>
  <si>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</si>
  <si>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</si>
  <si>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</si>
  <si>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</si>
  <si>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</si>
  <si>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</si>
  <si>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</si>
  <si>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</si>
  <si>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</si>
  <si>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</si>
  <si>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</si>
  <si>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</si>
  <si>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</si>
  <si>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</si>
  <si>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</si>
  <si>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</si>
  <si>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</si>
  <si>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</si>
  <si>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</si>
  <si>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</si>
  <si>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</si>
  <si>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</si>
  <si>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</si>
  <si>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</si>
  <si>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</si>
  <si>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</si>
  <si>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</si>
  <si>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</si>
  <si>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</si>
  <si>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</si>
  <si>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</si>
  <si>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</si>
  <si>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</si>
  <si>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</si>
  <si>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</si>
  <si>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</si>
  <si>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</si>
  <si>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</si>
  <si>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</si>
  <si>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</si>
  <si>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</si>
  <si>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</si>
  <si>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</si>
  <si>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</si>
  <si>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</si>
  <si>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</si>
  <si>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</si>
  <si>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</si>
  <si>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</si>
  <si>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</si>
  <si>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</si>
  <si>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</si>
  <si>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</si>
  <si>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</si>
  <si>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</si>
  <si>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</si>
  <si>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</si>
  <si>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</si>
  <si>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</si>
  <si>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</si>
  <si>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</si>
  <si>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</si>
  <si>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</si>
  <si>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</si>
  <si>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</si>
  <si>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</si>
  <si>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</si>
  <si>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</si>
  <si>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</si>
  <si>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</si>
  <si>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</si>
  <si>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</si>
  <si>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</si>
  <si>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</si>
  <si>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</si>
  <si>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</si>
  <si>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</si>
  <si>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</si>
  <si>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</si>
  <si>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</si>
  <si>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</si>
  <si>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</si>
  <si>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</si>
  <si>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</si>
  <si>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</si>
  <si>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</si>
  <si>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</si>
  <si>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</si>
  <si>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</si>
  <si>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</si>
  <si>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</si>
  <si>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</si>
  <si>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</si>
  <si>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</si>
  <si>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</si>
  <si>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</si>
  <si>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</si>
  <si>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</si>
  <si>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</si>
  <si>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</si>
  <si>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</si>
  <si>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</si>
  <si>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</si>
  <si>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</si>
  <si>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</si>
  <si>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</si>
  <si>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</si>
  <si>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</si>
  <si>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</si>
  <si>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</si>
  <si>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</si>
  <si>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</si>
  <si>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</si>
  <si>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</si>
  <si>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</si>
  <si>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</si>
  <si>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</si>
  <si>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</si>
  <si>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</si>
  <si>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</si>
  <si>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</si>
  <si>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</si>
  <si>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</si>
  <si>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</si>
  <si>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</si>
  <si>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</si>
  <si>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</si>
  <si>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</si>
  <si>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</si>
  <si>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</si>
  <si>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</si>
  <si>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</si>
  <si>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</si>
  <si>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</si>
  <si>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</si>
  <si>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</si>
  <si>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</si>
  <si>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</si>
  <si>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</si>
  <si>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</si>
  <si>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</si>
  <si>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</si>
  <si>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</si>
  <si>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</si>
  <si>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</si>
  <si>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</si>
  <si>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</si>
  <si>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</si>
  <si>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</si>
  <si>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</si>
  <si>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</si>
  <si>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</si>
  <si>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</si>
  <si>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</si>
  <si>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</si>
  <si>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</si>
  <si>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</si>
  <si>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</si>
  <si>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</si>
  <si>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</si>
  <si>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</si>
  <si>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</si>
  <si>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</si>
  <si>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</si>
  <si>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</si>
  <si>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</si>
  <si>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</si>
  <si>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</si>
  <si>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</si>
  <si>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</si>
  <si>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</si>
  <si>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</si>
  <si>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</si>
  <si>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</si>
  <si>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</si>
  <si>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</si>
  <si>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</si>
  <si>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</si>
  <si>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</si>
  <si>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</si>
  <si>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</si>
  <si>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</si>
  <si>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</si>
  <si>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</si>
  <si>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</si>
  <si>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</si>
  <si>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</si>
  <si>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</si>
  <si>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</si>
  <si>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</si>
  <si>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</si>
  <si>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</si>
  <si>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</si>
  <si>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</si>
  <si>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</si>
  <si>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</si>
  <si>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</si>
  <si>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</si>
  <si>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</si>
  <si>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</si>
  <si>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</si>
  <si>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</si>
  <si>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</si>
  <si>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</si>
  <si>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</si>
  <si>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</si>
  <si>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</si>
  <si>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</si>
  <si>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</si>
  <si>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</si>
  <si>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</si>
  <si>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</si>
  <si>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</si>
  <si>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</si>
  <si>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</si>
  <si>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</si>
  <si>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</si>
  <si>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</si>
  <si>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</si>
  <si>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</si>
  <si>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</si>
  <si>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</si>
  <si>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</si>
  <si>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</si>
  <si>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</si>
  <si>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</si>
  <si>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</si>
  <si>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</si>
  <si>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</si>
  <si>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</si>
  <si>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</si>
  <si>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</si>
  <si>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</si>
  <si>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</si>
  <si>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</si>
  <si>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</si>
  <si>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</si>
  <si>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</si>
  <si>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</si>
  <si>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</si>
  <si>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</si>
  <si>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</si>
  <si>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</si>
  <si>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</si>
  <si>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</si>
  <si>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</si>
  <si>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</si>
  <si>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</si>
  <si>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</si>
  <si>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</si>
  <si>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</si>
  <si>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</si>
  <si>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</si>
  <si>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</si>
  <si>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</si>
  <si>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</si>
  <si>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</si>
  <si>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</si>
  <si>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</si>
  <si>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</si>
  <si>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</si>
  <si>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</si>
  <si>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</si>
  <si>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</si>
  <si>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</si>
  <si>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</si>
  <si>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</si>
  <si>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</si>
  <si>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</si>
  <si>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</si>
  <si>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</si>
  <si>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</si>
  <si>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</si>
  <si>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</si>
  <si>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</si>
  <si>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</si>
  <si>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</si>
  <si>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</si>
  <si>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</si>
  <si>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</si>
  <si>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</si>
  <si>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</si>
  <si>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</si>
  <si>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</si>
  <si>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</si>
  <si>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</si>
  <si>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</si>
  <si>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</si>
  <si>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</si>
  <si>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</si>
  <si>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</si>
  <si>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</si>
  <si>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</si>
  <si>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</si>
  <si>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</si>
  <si>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</si>
  <si>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</si>
  <si>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</si>
  <si>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</si>
  <si>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</si>
  <si>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</si>
  <si>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</si>
  <si>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</si>
  <si>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</si>
  <si>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</si>
  <si>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</si>
  <si>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</si>
  <si>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</si>
  <si>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</si>
  <si>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</si>
  <si>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</si>
  <si>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</si>
  <si>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</si>
  <si>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</si>
  <si>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</si>
  <si>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</si>
  <si>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</si>
  <si>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</si>
  <si>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</si>
  <si>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</si>
  <si>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</si>
  <si>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</si>
  <si>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</si>
  <si>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</si>
  <si>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</si>
  <si>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</si>
  <si>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</si>
  <si>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</si>
  <si>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</si>
  <si>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</si>
  <si>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</si>
  <si>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</si>
  <si>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</si>
  <si>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</si>
  <si>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</si>
  <si>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</si>
  <si>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</si>
  <si>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</si>
  <si>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</si>
  <si>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</si>
  <si>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</si>
  <si>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</si>
  <si>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</si>
  <si>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</si>
  <si>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</si>
  <si>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</si>
  <si>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</si>
  <si>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</si>
  <si>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</si>
  <si>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</si>
  <si>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</si>
  <si>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</si>
  <si>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</si>
  <si>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</si>
  <si>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</si>
  <si>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</si>
  <si>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</si>
  <si>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</si>
  <si>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</si>
  <si>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</si>
  <si>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</si>
  <si>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</si>
  <si>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</si>
  <si>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</si>
  <si>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</si>
  <si>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</si>
  <si>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</si>
  <si>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</si>
  <si>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</si>
  <si>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</si>
  <si>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</si>
  <si>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</si>
  <si>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</si>
  <si>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</si>
  <si>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</si>
  <si>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</si>
  <si>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</si>
  <si>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</si>
  <si>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</si>
  <si>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</si>
  <si>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</si>
  <si>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</si>
  <si>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</si>
  <si>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</si>
  <si>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</si>
  <si>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</si>
  <si>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</si>
  <si>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</si>
  <si>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</si>
  <si>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</si>
  <si>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</si>
  <si>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</si>
  <si>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</si>
  <si>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</si>
  <si>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</si>
  <si>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</si>
  <si>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</si>
  <si>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</si>
  <si>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</si>
  <si>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</si>
  <si>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</si>
  <si>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</si>
  <si>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</si>
  <si>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</si>
  <si>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</si>
  <si>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</si>
  <si>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</si>
  <si>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</si>
  <si>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</si>
  <si>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</si>
  <si>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</si>
  <si>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</si>
  <si>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</si>
  <si>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</si>
  <si>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</si>
  <si>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</si>
  <si>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</si>
  <si>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</si>
  <si>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</si>
  <si>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</si>
  <si>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</si>
  <si>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</si>
  <si>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</si>
  <si>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</si>
  <si>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</si>
  <si>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</si>
  <si>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</si>
  <si>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</si>
  <si>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</si>
  <si>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</si>
  <si>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</si>
  <si>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</si>
  <si>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</si>
  <si>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</si>
  <si>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</si>
  <si>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</si>
  <si>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</si>
  <si>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</si>
  <si>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</si>
  <si>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</si>
  <si>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</si>
  <si>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</si>
  <si>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</si>
  <si>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</si>
  <si>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</si>
  <si>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</si>
  <si>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</si>
  <si>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</si>
  <si>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</si>
  <si>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</si>
  <si>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</si>
  <si>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</si>
  <si>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</si>
  <si>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</si>
  <si>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</si>
  <si>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</si>
  <si>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</si>
  <si>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</si>
  <si>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</si>
  <si>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</si>
  <si>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</si>
  <si>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</si>
  <si>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</si>
  <si>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</si>
  <si>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</si>
  <si>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</si>
  <si>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</si>
  <si>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</si>
  <si>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</si>
  <si>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</si>
  <si>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</si>
  <si>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</si>
  <si>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</si>
  <si>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</si>
  <si>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</si>
  <si>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</si>
  <si>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</si>
  <si>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</si>
  <si>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</si>
  <si>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</si>
  <si>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</si>
  <si>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</si>
  <si>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</si>
  <si>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</si>
  <si>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</si>
  <si>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</si>
  <si>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</si>
  <si>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</si>
  <si>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</si>
  <si>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</si>
  <si>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</si>
  <si>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</si>
  <si>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</si>
  <si>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</si>
  <si>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</si>
  <si>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</si>
  <si>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</si>
  <si>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</si>
  <si>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</si>
  <si>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</si>
  <si>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</si>
  <si>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</si>
  <si>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</si>
  <si>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</si>
  <si>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</si>
  <si>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</si>
  <si>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</si>
  <si>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</si>
  <si>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</si>
  <si>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</si>
  <si>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</si>
  <si>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</si>
  <si>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</si>
  <si>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</si>
  <si>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</si>
  <si>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</si>
  <si>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</si>
  <si>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</si>
  <si>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</si>
  <si>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</si>
  <si>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</si>
  <si>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</si>
  <si>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</si>
  <si>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</si>
  <si>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</si>
  <si>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</si>
  <si>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</si>
  <si>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</si>
  <si>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</si>
  <si>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</si>
  <si>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</si>
  <si>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</si>
  <si>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</si>
  <si>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</si>
  <si>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</si>
  <si>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</si>
  <si>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</si>
  <si>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</si>
  <si>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</si>
  <si>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</si>
  <si>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</si>
  <si>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</si>
  <si>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</si>
  <si>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</si>
  <si>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</si>
  <si>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</si>
  <si>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</si>
  <si>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</si>
  <si>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</si>
  <si>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</si>
  <si>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</si>
  <si>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</si>
  <si>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</si>
  <si>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</si>
  <si>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</si>
  <si>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</si>
  <si>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</si>
  <si>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</si>
  <si>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</si>
  <si>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</si>
  <si>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</si>
  <si>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</si>
  <si>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</si>
  <si>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</si>
  <si>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</si>
  <si>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</si>
  <si>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</si>
  <si>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</si>
  <si>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</si>
  <si>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</si>
  <si>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</si>
  <si>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</si>
  <si>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</si>
  <si>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</si>
  <si>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</si>
  <si>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</si>
  <si>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</si>
  <si>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</si>
  <si>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</si>
  <si>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</si>
  <si>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</si>
  <si>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</si>
  <si>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</si>
  <si>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</si>
  <si>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</si>
  <si>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</si>
  <si>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</si>
  <si>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</si>
  <si>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</si>
  <si>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</si>
  <si>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</si>
  <si>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</si>
  <si>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</si>
  <si>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</si>
  <si>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</si>
  <si>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</si>
  <si>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</si>
  <si>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</si>
  <si>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</si>
  <si>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</si>
  <si>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</si>
  <si>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</si>
  <si>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</si>
  <si>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</si>
  <si>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</si>
  <si>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</si>
  <si>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</si>
  <si>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</si>
  <si>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</si>
  <si>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</si>
  <si>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</si>
  <si>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</si>
  <si>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</si>
  <si>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</si>
  <si>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</si>
  <si>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</si>
  <si>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</si>
  <si>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</si>
  <si>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</si>
  <si>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</si>
  <si>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</si>
  <si>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</si>
  <si>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</si>
  <si>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</si>
  <si>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</si>
  <si>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</si>
  <si>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</si>
  <si>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</si>
  <si>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</si>
  <si>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</si>
  <si>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</si>
  <si>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</si>
  <si>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</si>
  <si>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</si>
  <si>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</si>
  <si>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</si>
  <si>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</si>
  <si>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</si>
  <si>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</si>
  <si>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</si>
  <si>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</si>
  <si>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</si>
  <si>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</si>
  <si>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</si>
  <si>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</si>
  <si>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</si>
  <si>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</si>
  <si>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</si>
  <si>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</si>
  <si>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</si>
  <si>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</si>
  <si>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</si>
  <si>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</si>
  <si>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</si>
  <si>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</si>
  <si>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</si>
  <si>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</si>
  <si>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</si>
  <si>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</si>
  <si>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</si>
  <si>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</si>
  <si>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</si>
  <si>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</si>
  <si>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</si>
  <si>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</si>
  <si>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</si>
  <si>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</si>
  <si>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</si>
  <si>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</si>
  <si>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</si>
  <si>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</si>
  <si>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</si>
  <si>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</si>
  <si>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</si>
  <si>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</si>
  <si>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</si>
  <si>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</si>
  <si>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</si>
  <si>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</si>
  <si>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</si>
  <si>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</si>
  <si>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</si>
  <si>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</si>
  <si>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</si>
  <si>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</si>
  <si>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</si>
  <si>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</si>
  <si>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</si>
  <si>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</si>
  <si>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</si>
  <si>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</si>
  <si>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</si>
  <si>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</si>
  <si>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</si>
  <si>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</si>
  <si>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</si>
  <si>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</si>
  <si>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</si>
  <si>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</si>
  <si>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</si>
  <si>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</si>
  <si>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</si>
  <si>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</si>
  <si>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</si>
  <si>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</si>
  <si>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</si>
  <si>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</si>
  <si>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</si>
  <si>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</si>
  <si>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</si>
  <si>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</si>
  <si>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</si>
  <si>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</si>
  <si>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</si>
  <si>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</si>
  <si>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</si>
  <si>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</si>
  <si>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</si>
  <si>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</si>
  <si>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</si>
  <si>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</si>
  <si>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</si>
  <si>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</si>
  <si>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</si>
  <si>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</si>
  <si>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</si>
  <si>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</si>
  <si>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</si>
  <si>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</si>
  <si>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</si>
  <si>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</si>
  <si>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</si>
  <si>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</si>
  <si>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</si>
  <si>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</si>
  <si>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</si>
  <si>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</si>
  <si>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</si>
  <si>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</si>
  <si>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</si>
  <si>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</si>
  <si>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</si>
  <si>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</si>
  <si>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</si>
  <si>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</si>
  <si>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</si>
  <si>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</si>
  <si>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</si>
  <si>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</si>
  <si>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</si>
  <si>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</si>
  <si>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</si>
  <si>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</si>
  <si>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</si>
  <si>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</si>
  <si>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</si>
  <si>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</si>
  <si>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</si>
  <si>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</si>
  <si>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</si>
  <si>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</si>
  <si>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</si>
  <si>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</si>
  <si>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</si>
  <si>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</si>
  <si>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</si>
  <si>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</si>
  <si>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</si>
  <si>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</si>
  <si>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</si>
  <si>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</si>
  <si>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</si>
  <si>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</si>
  <si>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</si>
  <si>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</si>
  <si>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</si>
  <si>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</si>
  <si>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</si>
  <si>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</si>
  <si>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</si>
  <si>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</si>
  <si>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</si>
  <si>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</si>
  <si>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</si>
  <si>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</si>
  <si>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</si>
  <si>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</si>
  <si>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</si>
  <si>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</si>
  <si>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</si>
  <si>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</si>
  <si>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</si>
  <si>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</si>
  <si>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</si>
  <si>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</si>
  <si>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</si>
  <si>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</si>
  <si>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</si>
  <si>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</si>
  <si>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</si>
  <si>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</si>
  <si>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</si>
  <si>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</si>
  <si>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</si>
  <si>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</si>
  <si>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</si>
  <si>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</si>
  <si>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</si>
  <si>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</si>
  <si>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</si>
  <si>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</si>
  <si>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</si>
  <si>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</si>
  <si>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</si>
  <si>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</si>
  <si>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</si>
  <si>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</si>
  <si>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</si>
  <si>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</si>
  <si>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</si>
  <si>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</si>
  <si>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</si>
  <si>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</si>
  <si>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</si>
  <si>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</si>
  <si>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</si>
  <si>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</si>
  <si>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</si>
  <si>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</si>
  <si>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</si>
  <si>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</si>
  <si>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</si>
  <si>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</si>
  <si>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</si>
  <si>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</si>
  <si>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</si>
  <si>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</si>
  <si>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</si>
  <si>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</si>
  <si>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</si>
  <si>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</si>
  <si>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</si>
  <si>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</si>
  <si>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</si>
  <si>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</si>
  <si>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</si>
  <si>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</si>
  <si>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</si>
  <si>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</si>
  <si>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</si>
  <si>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</si>
  <si>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</si>
  <si>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</si>
  <si>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</si>
  <si>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</si>
  <si>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</si>
  <si>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</si>
  <si>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</si>
  <si>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</si>
  <si>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</si>
  <si>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</si>
  <si>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</si>
  <si>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</si>
  <si>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</si>
  <si>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</si>
  <si>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</si>
  <si>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</si>
  <si>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</si>
  <si>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</si>
  <si>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</si>
  <si>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</si>
  <si>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</si>
  <si>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</si>
  <si>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</si>
  <si>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</si>
  <si>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</si>
  <si>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</si>
  <si>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</si>
  <si>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</si>
  <si>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</si>
  <si>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</si>
  <si>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</si>
  <si>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</si>
  <si>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</si>
  <si>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</si>
  <si>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</si>
  <si>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</si>
  <si>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</si>
  <si>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</si>
  <si>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</si>
  <si>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</si>
  <si>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</si>
  <si>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</si>
  <si>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</si>
  <si>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</si>
  <si>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</si>
  <si>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</si>
  <si>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</si>
  <si>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</si>
  <si>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</si>
  <si>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</si>
  <si>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</si>
  <si>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</si>
  <si>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</si>
  <si>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</si>
  <si>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</si>
  <si>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</si>
  <si>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</si>
  <si>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</si>
  <si>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</si>
  <si>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</si>
  <si>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</si>
  <si>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</si>
  <si>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</si>
  <si>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</si>
  <si>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</si>
  <si>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</si>
  <si>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</si>
  <si>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</si>
  <si>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</si>
  <si>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</si>
  <si>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</si>
  <si>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</si>
  <si>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</si>
  <si>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</si>
  <si>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</si>
  <si>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</si>
  <si>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</si>
  <si>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</si>
  <si>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</si>
  <si>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</si>
  <si>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</si>
  <si>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</si>
  <si>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</si>
  <si>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</si>
  <si>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</si>
  <si>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</si>
  <si>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</si>
  <si>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</si>
  <si>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</si>
  <si>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</si>
  <si>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</si>
  <si>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</si>
  <si>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</si>
  <si>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</si>
  <si>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</si>
  <si>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</si>
  <si>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</si>
  <si>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</si>
  <si>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</si>
  <si>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</si>
  <si>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</si>
  <si>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</si>
  <si>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</si>
  <si>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</si>
  <si>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</si>
  <si>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</si>
  <si>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</si>
  <si>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</si>
  <si>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</si>
  <si>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</si>
  <si>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</si>
  <si>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</si>
  <si>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</si>
  <si>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</si>
  <si>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</si>
  <si>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</si>
  <si>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</si>
  <si>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</si>
  <si>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</si>
  <si>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</si>
  <si>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</si>
  <si>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</si>
  <si>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</si>
  <si>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</si>
  <si>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</si>
  <si>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</si>
  <si>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</si>
  <si>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</si>
  <si>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</si>
  <si>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</si>
  <si>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</si>
  <si>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</si>
  <si>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</si>
  <si>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</si>
  <si>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</si>
  <si>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</si>
  <si>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</si>
  <si>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</si>
  <si>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</si>
  <si>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</si>
  <si>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</si>
  <si>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</si>
  <si>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</si>
  <si>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</si>
  <si>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</si>
  <si>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</si>
  <si>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</si>
  <si>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</si>
  <si>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</si>
  <si>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</si>
  <si>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</si>
  <si>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</si>
  <si>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</si>
  <si>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</si>
  <si>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</si>
  <si>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</si>
  <si>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</si>
  <si>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</si>
  <si>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</si>
  <si>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</si>
  <si>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</si>
  <si>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</si>
  <si>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</si>
  <si>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</si>
  <si>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</si>
  <si>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</si>
  <si>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</si>
  <si>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</si>
  <si>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</si>
  <si>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</si>
  <si>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</si>
  <si>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</si>
  <si>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</si>
  <si>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</si>
  <si>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</si>
  <si>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</si>
  <si>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</si>
  <si>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</si>
  <si>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</si>
  <si>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</si>
  <si>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</si>
  <si>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</si>
  <si>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</si>
  <si>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</si>
  <si>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</si>
  <si>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</si>
  <si>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</si>
  <si>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</si>
  <si>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</si>
  <si>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</si>
  <si>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</si>
  <si>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</si>
  <si>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</si>
  <si>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</si>
  <si>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</si>
  <si>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</si>
  <si>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</si>
  <si>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</si>
  <si>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</si>
  <si>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</si>
  <si>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</si>
  <si>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</si>
  <si>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</si>
  <si>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</si>
  <si>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</si>
  <si>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</si>
  <si>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</si>
  <si>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</si>
  <si>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</si>
  <si>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</si>
  <si>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</si>
  <si>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</si>
  <si>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</si>
  <si>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</si>
  <si>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</si>
  <si>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</si>
  <si>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</si>
  <si>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</si>
  <si>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</si>
  <si>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</si>
  <si>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</si>
  <si>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</si>
  <si>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</si>
  <si>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</si>
  <si>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</si>
  <si>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</si>
  <si>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</si>
  <si>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</si>
  <si>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</si>
  <si>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</si>
  <si>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</si>
  <si>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</si>
  <si>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</si>
  <si>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</si>
  <si>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</si>
  <si>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</si>
  <si>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</si>
  <si>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</si>
  <si>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</si>
  <si>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</si>
  <si>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</si>
  <si>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</si>
  <si>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</si>
  <si>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</si>
  <si>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</si>
  <si>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</si>
  <si>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</si>
  <si>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</si>
  <si>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</si>
  <si>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</si>
  <si>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</si>
  <si>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</si>
  <si>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</si>
  <si>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</si>
  <si>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</si>
  <si>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</si>
  <si>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</si>
  <si>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</si>
  <si>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</si>
  <si>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</si>
  <si>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</si>
  <si>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</si>
  <si>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</si>
  <si>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</si>
  <si>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</si>
  <si>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</si>
  <si>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</si>
  <si>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</si>
  <si>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</si>
  <si>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</si>
  <si>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</si>
  <si>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</si>
  <si>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</si>
  <si>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</si>
  <si>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</si>
  <si>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</si>
  <si>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</si>
  <si>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</si>
  <si>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</si>
  <si>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</si>
  <si>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</si>
  <si>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</si>
  <si>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</si>
  <si>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</si>
  <si>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</si>
  <si>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</si>
  <si>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</si>
  <si>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</si>
  <si>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</si>
  <si>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</si>
  <si>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</si>
  <si>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</si>
  <si>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</si>
  <si>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</si>
  <si>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</si>
  <si>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</si>
  <si>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</si>
  <si>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</si>
  <si>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</si>
  <si>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</si>
  <si>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</si>
  <si>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</si>
  <si>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</si>
  <si>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</si>
  <si>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</si>
  <si>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</si>
  <si>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</si>
  <si>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</si>
  <si>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</si>
  <si>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JUILLETS</t>
  </si>
  <si>
    <t>G0827</t>
  </si>
  <si>
    <t>ENT. REP. BATISSE-SAAQ</t>
  </si>
  <si>
    <t>VTES- AUTO AUTRE MARQ</t>
  </si>
  <si>
    <t>COUT- AUTO AUTRE MARQ</t>
  </si>
  <si>
    <t>G33119</t>
  </si>
  <si>
    <t>RESERVE WHOLESALE - AJOUT</t>
  </si>
  <si>
    <t>G24502</t>
  </si>
  <si>
    <t>INVENTAIRE F&amp;I INTERNE</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</si>
  <si>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</si>
  <si>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</si>
  <si>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</si>
  <si>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</si>
  <si>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</si>
  <si>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</si>
  <si>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</si>
  <si>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</si>
  <si>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</si>
  <si>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</si>
  <si>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</si>
  <si>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</si>
  <si>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</si>
  <si>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</si>
  <si>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</si>
  <si>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</si>
  <si>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G33108</t>
  </si>
  <si>
    <t>RESERVE COURT BODY</t>
  </si>
  <si>
    <t>RESERVE COURTOISIE CARROSSERIE</t>
  </si>
  <si>
    <t>OUI</t>
  </si>
  <si>
    <t>Année à date Aout</t>
  </si>
  <si>
    <t>DIVERS A PAYER</t>
  </si>
  <si>
    <t>G30022</t>
  </si>
  <si>
    <t>ACCESOIRES USA</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</si>
  <si>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</si>
  <si>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</si>
  <si>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</si>
  <si>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</si>
  <si>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</si>
  <si>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</si>
  <si>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</si>
  <si>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</si>
  <si>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</si>
  <si>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</si>
  <si>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</si>
  <si>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</si>
  <si>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G44410</t>
  </si>
  <si>
    <t>VTE -PRT SERV VEH NEUFS</t>
  </si>
  <si>
    <t>G44411</t>
  </si>
  <si>
    <t>VTE -PRT PNEUS -JAN NEUFS</t>
  </si>
  <si>
    <t>G44412</t>
  </si>
  <si>
    <t>VTE -PRT PERTE TOT NEUFS</t>
  </si>
  <si>
    <t>G44413</t>
  </si>
  <si>
    <t>VTE -PRT REMPL CLE-NEUFS</t>
  </si>
  <si>
    <t>G44500</t>
  </si>
  <si>
    <t>VTES- AUTRES PROT NEUFS</t>
  </si>
  <si>
    <t>G45301</t>
  </si>
  <si>
    <t>VTES- PRT ANTIROUILLE US</t>
  </si>
  <si>
    <t>G45305</t>
  </si>
  <si>
    <t>VTE-PRT DOMINO-TAG USAGE</t>
  </si>
  <si>
    <t>G45410</t>
  </si>
  <si>
    <t>VTE - PL PROTECT GM USAGE</t>
  </si>
  <si>
    <t>G45411</t>
  </si>
  <si>
    <t>VTE -PR PNEUS-JANTE USAGE</t>
  </si>
  <si>
    <t>G45412</t>
  </si>
  <si>
    <t>VTE -PROT A L'ECART USAG</t>
  </si>
  <si>
    <t>G45413</t>
  </si>
  <si>
    <t>VTE -MULTI PROTECT USAGE</t>
  </si>
  <si>
    <t>G45414</t>
  </si>
  <si>
    <t>VTE -PRT USURE USAGE</t>
  </si>
  <si>
    <t>G45510</t>
  </si>
  <si>
    <t>VTE -PRT SERV VEH USAGE</t>
  </si>
  <si>
    <t>G45511</t>
  </si>
  <si>
    <t>VTE -PRT PNEUS -JA USAGE</t>
  </si>
  <si>
    <t>G45512</t>
  </si>
  <si>
    <t>VTE -PRT PERTE TOT USAGE</t>
  </si>
  <si>
    <t>G45513</t>
  </si>
  <si>
    <t>VTE -PRT REMPL CLE-USAGE</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</si>
  <si>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</si>
  <si>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</si>
  <si>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</si>
  <si>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</si>
  <si>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</si>
  <si>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</si>
  <si>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</si>
  <si>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</si>
  <si>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</si>
  <si>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</si>
  <si>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</si>
  <si>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</si>
  <si>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G64410</t>
  </si>
  <si>
    <t>COUT -PRT SERV VEH NEUFS</t>
  </si>
  <si>
    <t>G64411</t>
  </si>
  <si>
    <t>COUT -PRT PNEUS -JA NEUFS</t>
  </si>
  <si>
    <t>G64412</t>
  </si>
  <si>
    <t>COUT -PRT PERTE TOT NEUFS</t>
  </si>
  <si>
    <t>G64413</t>
  </si>
  <si>
    <t>COUT -PRT REMPL CLE-NEUFS</t>
  </si>
  <si>
    <t>G64500</t>
  </si>
  <si>
    <t>COUT- AUTRES PROT NEUFS</t>
  </si>
  <si>
    <t>G65301</t>
  </si>
  <si>
    <t>COUT- PRT ANTIROUILLE US</t>
  </si>
  <si>
    <t>G65305</t>
  </si>
  <si>
    <t>COUT-PRT DOMINO-TAG USAGE</t>
  </si>
  <si>
    <t>G65410</t>
  </si>
  <si>
    <t>C/V - PL PROTECT GM USAGE</t>
  </si>
  <si>
    <t>G65411</t>
  </si>
  <si>
    <t>COUT -PR PNEUS-JANTE USAG</t>
  </si>
  <si>
    <t>G65412</t>
  </si>
  <si>
    <t>COUT -PROT A L'ECART USAG</t>
  </si>
  <si>
    <t>G65413</t>
  </si>
  <si>
    <t>COUT -MULTI PROTECT USAGE</t>
  </si>
  <si>
    <t>G65414</t>
  </si>
  <si>
    <t>COUT -PRT USURE USAGE</t>
  </si>
  <si>
    <t>G65510</t>
  </si>
  <si>
    <t>COUT -PRT SERV VEH USAGE</t>
  </si>
  <si>
    <t>G65511</t>
  </si>
  <si>
    <t>COUT -PRT PNEUS -JA USAGE</t>
  </si>
  <si>
    <t>G65512</t>
  </si>
  <si>
    <t>COUT -PRT PERTE TOT USAGE</t>
  </si>
  <si>
    <t>G65513</t>
  </si>
  <si>
    <t>COUT -PRT REMPL CLE-USAGE</t>
  </si>
  <si>
    <t>DEPENSES INTERET (PRET)</t>
  </si>
  <si>
    <t>G26105</t>
  </si>
  <si>
    <t>RECTIFICATION A VENIR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</si>
</sst>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295">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0" fontId="1" fillId="0" borderId="0" xfId="0" applyFont="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6" xfId="0" applyFont="1" applyBorder="1" applyAlignment="1">
      <alignment horizontal="center"/>
    </xf>
    <xf numFmtId="0" fontId="127" fillId="0" borderId="17"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31" fillId="0" borderId="17" xfId="0" applyFont="1" applyBorder="1"/>
    <xf numFmtId="0" fontId="131" fillId="0" borderId="4" xfId="0" applyFont="1" applyBorder="1"/>
    <xf numFmtId="0" fontId="127" fillId="0" borderId="3" xfId="0" applyFont="1" applyBorder="1" applyAlignment="1">
      <alignment horizontal="center"/>
    </xf>
    <xf numFmtId="0" fontId="131" fillId="0" borderId="18"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G27" sqref="G27"/>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17</v>
      </c>
      <c r="C3" s="4">
        <f>+VLOOKUP(B3,$K$3:$L$14,2,0)</f>
        <v>9</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1" t="s">
        <v>1160</v>
      </c>
      <c r="L10" s="4">
        <v>8</v>
      </c>
      <c r="M10" s="4" t="str">
        <f t="shared" si="0"/>
        <v/>
      </c>
      <c r="N10" s="4" t="str">
        <f t="shared" si="1"/>
        <v>X</v>
      </c>
    </row>
    <row r="11" spans="1:14" ht="14.4">
      <c r="A11" s="3" t="s">
        <v>16</v>
      </c>
      <c r="I11" s="3"/>
      <c r="K11" s="5" t="s">
        <v>17</v>
      </c>
      <c r="L11" s="4">
        <v>9</v>
      </c>
      <c r="M11" s="4" t="str">
        <f t="shared" si="0"/>
        <v>X</v>
      </c>
      <c r="N11" s="4" t="str">
        <f t="shared" si="1"/>
        <v>X</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3" workbookViewId="0">
      <selection activeCell="D69" sqref="D69"/>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2558292.3199999998</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2558292.3199999998</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628529.84</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1646796.5100000002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211787.79</v>
      </c>
      <c r="C10" s="14"/>
      <c r="D10" s="18" t="s">
        <v>29</v>
      </c>
      <c r="E10" s="19">
        <f>-SUMIFS(BV_Data_An_Cour!$AN:$AN,BV_Data_An_Cour!$AP:$AP,$A$1,BV_Data_An_Cour!$AQ:$AQ,$D10)</f>
        <v>1336330.19</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536469.68999999994</v>
      </c>
      <c r="C11" s="14"/>
      <c r="D11" s="18" t="s">
        <v>31</v>
      </c>
      <c r="E11" s="19">
        <f>-SUMIFS(BV_Data_An_Cour!$AN:$AN,BV_Data_An_Cour!$AP:$AP,$A$1,BV_Data_An_Cour!$AQ:$AQ,$D11)</f>
        <v>88839.850000000079</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522.34</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37994.54</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11401066.039999999</v>
      </c>
      <c r="C14" s="14"/>
      <c r="D14" s="18" t="s">
        <v>37</v>
      </c>
      <c r="E14" s="19">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1161223.21</v>
      </c>
      <c r="C15" s="14"/>
      <c r="D15" s="18" t="s">
        <v>39</v>
      </c>
      <c r="E15" s="19">
        <f>-SUMIFS(BV_Data_An_Cour!$AN:$AN,BV_Data_An_Cour!$AP:$AP,$A$1,BV_Data_An_Cour!$AQ:$AQ,$D15)</f>
        <v>-56901.83</v>
      </c>
      <c r="F15" s="3"/>
      <c r="G15" s="3"/>
      <c r="H15" s="3"/>
      <c r="I15" s="3"/>
      <c r="J15" s="3"/>
      <c r="K15" s="3"/>
      <c r="L15" s="3"/>
      <c r="M15" s="3"/>
      <c r="N15" s="3"/>
      <c r="O15" s="3"/>
      <c r="P15" s="3"/>
      <c r="Q15" s="3"/>
      <c r="R15" s="3"/>
      <c r="S15" s="3"/>
      <c r="T15" s="3"/>
      <c r="U15" s="3"/>
      <c r="V15" s="3"/>
      <c r="W15" s="3"/>
      <c r="X15" s="3"/>
      <c r="Y15" s="3"/>
    </row>
    <row r="16" spans="1:25" ht="14.4">
      <c r="A16" s="15" t="s">
        <v>40</v>
      </c>
      <c r="B16" s="16">
        <f>+SUM(B8:B15)</f>
        <v>15624389.960000001</v>
      </c>
      <c r="C16" s="17"/>
      <c r="D16" s="15" t="s">
        <v>41</v>
      </c>
      <c r="E16" s="16">
        <f>+SUM(E10:E15)</f>
        <v>7893612.4199999999</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15907107.15</v>
      </c>
      <c r="C18" s="14"/>
      <c r="D18" s="18" t="s">
        <v>43</v>
      </c>
      <c r="E18" s="19">
        <f>-SUMIFS(BV_Data_An_Cour!$AN:$AN,BV_Data_An_Cour!$AP:$AP,$A$1,BV_Data_An_Cour!$AQ:$AQ,$D18)</f>
        <v>18314860</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6238454.6900000004</v>
      </c>
      <c r="C19" s="14"/>
      <c r="D19" s="18" t="s">
        <v>45</v>
      </c>
      <c r="E19" s="19">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629599.26</v>
      </c>
      <c r="C20" s="14"/>
      <c r="D20" s="15" t="s">
        <v>47</v>
      </c>
      <c r="E20" s="16">
        <f>+SUM(E18:E19)</f>
        <v>21907373.920000002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22775161.100000001</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-3757812.78</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-19446.580000000002</v>
      </c>
      <c r="C24" s="14"/>
      <c r="D24" s="18" t="s">
        <v>53</v>
      </c>
      <c r="E24" s="19">
        <f>-SUMIFS(BV_Data_An_Cour!$AN:$AN,BV_Data_An_Cour!$AP:$AP,$A$1,BV_Data_An_Cour!$AQ:$AQ,$D24)</f>
        <v>789083.3600000001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32903.479999999996</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749279.04999999993</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-3008489.8499999996</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762735.95</v>
      </c>
      <c r="C30" s="17"/>
      <c r="D30" s="21" t="s">
        <v>59</v>
      </c>
      <c r="E30" s="22">
        <f>+E5+E7+E16+E20+E28</f>
        <v>26792496.490000002</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41720579.330000006</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157327.65</v>
      </c>
      <c r="C37" s="14"/>
      <c r="D37" s="18" t="s">
        <v>67</v>
      </c>
      <c r="E37" s="19">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335876.42999999993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55710.349999999977</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66539.00999999998</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4829418</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5447.0999999999985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620900.53999999992</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31621914.490000002</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10567745.019999998</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635874.53999999992</v>
      </c>
      <c r="C53" s="17"/>
      <c r="D53" s="21" t="s">
        <v>85</v>
      </c>
      <c r="E53" s="22">
        <f>SUM(E48:E51)</f>
        <v>10567981.019999998</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42356453.870000005</v>
      </c>
      <c r="C56" s="17"/>
      <c r="D56" s="21" t="s">
        <v>87</v>
      </c>
      <c r="E56" s="22">
        <f>+E53+E45</f>
        <v>42189895.509999998</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166558.36000000685</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REEL</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71" t="str">
        <f>Parametres!$B$1&amp;" "&amp;"2 pager"&amp;" "&amp;Parametres!$B$3&amp;" "&amp;Parametres!$B$4</f>
        <v>Ste-Marie Auto 2 pager Septembre 2026</v>
      </c>
      <c r="C1" s="1272"/>
      <c r="D1" s="1272"/>
      <c r="E1" s="1272"/>
      <c r="F1" s="1272"/>
      <c r="G1" s="1272"/>
      <c r="H1" s="1272"/>
      <c r="I1" s="1272"/>
      <c r="J1" s="1272"/>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77</v>
      </c>
      <c r="D4" s="155">
        <f>+Print_Mois!$D$13+Print_Mois!$D$15</f>
        <v>0</v>
      </c>
      <c r="E4" s="155">
        <f>+Print_Mois!$O$13+Print_Mois!$O$15</f>
        <v>62</v>
      </c>
      <c r="F4" s="156">
        <f t="shared" ref="F4:F15" si="0">+IFERROR($C4-D4,"")</f>
        <v>77</v>
      </c>
      <c r="G4" s="157">
        <f t="shared" ref="G4:G15" si="1">+IFERROR($C4-E4,"")</f>
        <v>15</v>
      </c>
      <c r="H4" s="158" t="str">
        <f t="shared" ref="H4:H15" si="2">+IFERROR(F4/ABS($D4),"")</f>
        <v/>
      </c>
      <c r="I4" s="159">
        <f t="shared" ref="I4:I15" si="3">+IFERROR(G4/ABS($E4),"")</f>
        <v>0.24193548387096775</v>
      </c>
      <c r="J4" s="1268" t="s">
        <v>1088</v>
      </c>
      <c r="K4" s="3"/>
      <c r="L4" s="3"/>
      <c r="M4" s="3"/>
      <c r="N4" s="3"/>
      <c r="O4" s="3"/>
      <c r="P4" s="3"/>
      <c r="Q4" s="3"/>
      <c r="R4" s="3"/>
      <c r="S4" s="3"/>
      <c r="T4" s="3"/>
      <c r="U4" s="3"/>
      <c r="V4" s="3"/>
      <c r="W4" s="3"/>
    </row>
    <row r="5" spans="1:23" ht="14.4">
      <c r="A5" s="3"/>
      <c r="B5" s="160" t="s">
        <v>287</v>
      </c>
      <c r="C5" s="161">
        <f>+Print_Mois!$L$13+Print_Mois!$L$15</f>
        <v>119008.82000000015</v>
      </c>
      <c r="D5" s="161">
        <f>+Print_Mois!$F$13+Print_Mois!$F$15</f>
        <v>0</v>
      </c>
      <c r="E5" s="161">
        <f>+Print_Mois!$Q$13+Print_Mois!$Q$15</f>
        <v>145676.84999999951</v>
      </c>
      <c r="F5" s="162">
        <f t="shared" si="0"/>
        <v>119008.82000000015</v>
      </c>
      <c r="G5" s="163">
        <f t="shared" si="1"/>
        <v>-26668.029999999359</v>
      </c>
      <c r="H5" s="165" t="str">
        <f t="shared" si="2"/>
        <v/>
      </c>
      <c r="I5" s="166">
        <f t="shared" si="3"/>
        <v>-0.18306292317550418</v>
      </c>
      <c r="J5" s="1269"/>
      <c r="K5" s="3"/>
      <c r="L5" s="3"/>
      <c r="M5" s="3"/>
      <c r="N5" s="3"/>
      <c r="O5" s="3"/>
      <c r="P5" s="3"/>
      <c r="Q5" s="3"/>
      <c r="R5" s="3"/>
      <c r="S5" s="3"/>
      <c r="T5" s="3"/>
      <c r="U5" s="3"/>
      <c r="V5" s="3"/>
      <c r="W5" s="3"/>
    </row>
    <row r="6" spans="1:23" ht="14.4">
      <c r="A6" s="3"/>
      <c r="B6" s="160" t="s">
        <v>288</v>
      </c>
      <c r="C6" s="161">
        <f t="shared" ref="C6:E6" si="4">+C5/C4</f>
        <v>1545.5690909090929</v>
      </c>
      <c r="D6" s="161" t="e">
        <f t="shared" si="4"/>
        <v>#DIV/0!</v>
      </c>
      <c r="E6" s="161">
        <f t="shared" si="4"/>
        <v>2349.6266129032178</v>
      </c>
      <c r="F6" s="162" t="str">
        <f t="shared" si="0"/>
        <v/>
      </c>
      <c r="G6" s="163">
        <f t="shared" si="1"/>
        <v>-804.05752199412495</v>
      </c>
      <c r="H6" s="165" t="str">
        <f t="shared" si="2"/>
        <v/>
      </c>
      <c r="I6" s="166">
        <f t="shared" si="3"/>
        <v>-0.34220650956988646</v>
      </c>
      <c r="J6" s="1269"/>
      <c r="K6" s="3"/>
      <c r="L6" s="3"/>
      <c r="M6" s="3"/>
      <c r="N6" s="3"/>
      <c r="O6" s="3"/>
      <c r="P6" s="3"/>
      <c r="Q6" s="3"/>
      <c r="R6" s="3"/>
      <c r="S6" s="3"/>
      <c r="T6" s="3"/>
      <c r="U6" s="3"/>
      <c r="V6" s="3"/>
      <c r="W6" s="3"/>
    </row>
    <row r="7" spans="1:23" ht="14.4">
      <c r="A7" s="3"/>
      <c r="B7" s="160" t="s">
        <v>289</v>
      </c>
      <c r="C7" s="161">
        <f>+Print_Mois!$L$31</f>
        <v>38521.160000000033</v>
      </c>
      <c r="D7" s="161">
        <f>+Print_Mois!$F$31</f>
        <v>0</v>
      </c>
      <c r="E7" s="161">
        <f>+Print_Mois!$Q$31</f>
        <v>61855.409999999974</v>
      </c>
      <c r="F7" s="162">
        <f t="shared" si="0"/>
        <v>38521.160000000033</v>
      </c>
      <c r="G7" s="163">
        <f t="shared" si="1"/>
        <v>-23334.249999999942</v>
      </c>
      <c r="H7" s="165" t="str">
        <f t="shared" si="2"/>
        <v/>
      </c>
      <c r="I7" s="166">
        <f t="shared" si="3"/>
        <v>-0.37723862795509644</v>
      </c>
      <c r="J7" s="1269"/>
      <c r="K7" s="3"/>
      <c r="L7" s="3"/>
      <c r="M7" s="3"/>
      <c r="N7" s="3"/>
      <c r="O7" s="3"/>
      <c r="P7" s="3"/>
      <c r="Q7" s="3"/>
      <c r="R7" s="3"/>
      <c r="S7" s="3"/>
      <c r="T7" s="3"/>
      <c r="U7" s="3"/>
      <c r="V7" s="3"/>
      <c r="W7" s="3"/>
    </row>
    <row r="8" spans="1:23" ht="14.4">
      <c r="A8" s="3"/>
      <c r="B8" s="160" t="s">
        <v>290</v>
      </c>
      <c r="C8" s="164">
        <f t="shared" ref="C8:E8" si="5">+C7/C5</f>
        <v>0.32368323625089285</v>
      </c>
      <c r="D8" s="164" t="e">
        <f t="shared" si="5"/>
        <v>#DIV/0!</v>
      </c>
      <c r="E8" s="164">
        <f t="shared" si="5"/>
        <v>0.42460699829794635</v>
      </c>
      <c r="F8" s="167" t="str">
        <f t="shared" si="0"/>
        <v/>
      </c>
      <c r="G8" s="168">
        <f t="shared" si="1"/>
        <v>-0.1009237620470535</v>
      </c>
      <c r="H8" s="165" t="str">
        <f t="shared" si="2"/>
        <v/>
      </c>
      <c r="I8" s="166">
        <f t="shared" si="3"/>
        <v>-0.23768746735595581</v>
      </c>
      <c r="J8" s="1269"/>
      <c r="K8" s="3"/>
      <c r="L8" s="3"/>
      <c r="M8" s="3"/>
      <c r="N8" s="3"/>
      <c r="O8" s="3"/>
      <c r="P8" s="3"/>
      <c r="Q8" s="3"/>
      <c r="R8" s="3"/>
      <c r="S8" s="3"/>
      <c r="T8" s="3"/>
      <c r="U8" s="3"/>
      <c r="V8" s="3"/>
      <c r="W8" s="3"/>
    </row>
    <row r="9" spans="1:23" ht="14.4">
      <c r="A9" s="3"/>
      <c r="B9" s="160" t="s">
        <v>291</v>
      </c>
      <c r="C9" s="161">
        <f>+Print_Mois!$L$24</f>
        <v>48770.019999999931</v>
      </c>
      <c r="D9" s="161">
        <f>+Print_Mois!$F$24</f>
        <v>0</v>
      </c>
      <c r="E9" s="161">
        <f>+Print_Mois!$Q$24</f>
        <v>51120.92</v>
      </c>
      <c r="F9" s="162">
        <f t="shared" si="0"/>
        <v>48770.019999999931</v>
      </c>
      <c r="G9" s="163">
        <f t="shared" si="1"/>
        <v>-2350.9000000000669</v>
      </c>
      <c r="H9" s="165" t="str">
        <f t="shared" si="2"/>
        <v/>
      </c>
      <c r="I9" s="166">
        <f t="shared" si="3"/>
        <v>-4.5987044051634188E-2</v>
      </c>
      <c r="J9" s="1269"/>
      <c r="K9" s="3"/>
      <c r="L9" s="3"/>
      <c r="M9" s="3"/>
      <c r="N9" s="3"/>
      <c r="O9" s="3"/>
      <c r="P9" s="3"/>
      <c r="Q9" s="3"/>
      <c r="R9" s="3"/>
      <c r="S9" s="3"/>
      <c r="T9" s="3"/>
      <c r="U9" s="3"/>
      <c r="V9" s="3"/>
      <c r="W9" s="3"/>
    </row>
    <row r="10" spans="1:23" ht="14.4">
      <c r="A10" s="3"/>
      <c r="B10" s="160" t="s">
        <v>292</v>
      </c>
      <c r="C10" s="161">
        <f t="shared" ref="C10:E10" si="6">+C9/C4</f>
        <v>633.37688311688225</v>
      </c>
      <c r="D10" s="161" t="e">
        <f t="shared" si="6"/>
        <v>#DIV/0!</v>
      </c>
      <c r="E10" s="161">
        <f t="shared" si="6"/>
        <v>824.53096774193546</v>
      </c>
      <c r="F10" s="162" t="str">
        <f t="shared" si="0"/>
        <v/>
      </c>
      <c r="G10" s="163">
        <f t="shared" si="1"/>
        <v>-191.1540846250532</v>
      </c>
      <c r="H10" s="165" t="str">
        <f t="shared" si="2"/>
        <v/>
      </c>
      <c r="I10" s="166">
        <f t="shared" si="3"/>
        <v>-0.23183372378183528</v>
      </c>
      <c r="J10" s="1269"/>
      <c r="K10" s="3"/>
      <c r="L10" s="3"/>
      <c r="M10" s="3"/>
      <c r="N10" s="3"/>
      <c r="O10" s="3"/>
      <c r="P10" s="3"/>
      <c r="Q10" s="3"/>
      <c r="R10" s="3"/>
      <c r="S10" s="3"/>
      <c r="T10" s="3"/>
      <c r="U10" s="3"/>
      <c r="V10" s="3"/>
      <c r="W10" s="3"/>
    </row>
    <row r="11" spans="1:23" ht="14.4">
      <c r="A11" s="3"/>
      <c r="B11" s="160" t="s">
        <v>293</v>
      </c>
      <c r="C11" s="161">
        <f>+Print_Mois!$L$32</f>
        <v>0</v>
      </c>
      <c r="D11" s="161">
        <f>+Print_Mois!$F$32</f>
        <v>0</v>
      </c>
      <c r="E11" s="161">
        <f>+Print_Mois!$Q$32</f>
        <v>17003.090000000011</v>
      </c>
      <c r="F11" s="162">
        <f t="shared" si="0"/>
        <v>0</v>
      </c>
      <c r="G11" s="163">
        <f t="shared" si="1"/>
        <v>-17003.090000000011</v>
      </c>
      <c r="H11" s="165" t="str">
        <f t="shared" si="2"/>
        <v/>
      </c>
      <c r="I11" s="166">
        <f t="shared" si="3"/>
        <v>-1</v>
      </c>
      <c r="J11" s="1269"/>
      <c r="K11" s="3"/>
      <c r="L11" s="3"/>
      <c r="M11" s="3"/>
      <c r="N11" s="3"/>
      <c r="O11" s="3"/>
      <c r="P11" s="3"/>
      <c r="Q11" s="3"/>
      <c r="R11" s="3"/>
      <c r="S11" s="3"/>
      <c r="T11" s="3"/>
      <c r="U11" s="3"/>
      <c r="V11" s="3"/>
      <c r="W11" s="3"/>
    </row>
    <row r="12" spans="1:23" ht="14.4">
      <c r="A12" s="3"/>
      <c r="B12" s="160" t="s">
        <v>294</v>
      </c>
      <c r="C12" s="164">
        <f t="shared" ref="C12:E12" si="7">+C11/C9</f>
        <v>0</v>
      </c>
      <c r="D12" s="164" t="e">
        <f t="shared" si="7"/>
        <v>#DIV/0!</v>
      </c>
      <c r="E12" s="164">
        <f t="shared" si="7"/>
        <v>0.33260532087450717</v>
      </c>
      <c r="F12" s="165" t="str">
        <f t="shared" si="0"/>
        <v/>
      </c>
      <c r="G12" s="169">
        <f t="shared" si="1"/>
        <v>-0.33260532087450717</v>
      </c>
      <c r="H12" s="165" t="str">
        <f t="shared" si="2"/>
        <v/>
      </c>
      <c r="I12" s="166">
        <f t="shared" si="3"/>
        <v>-1</v>
      </c>
      <c r="J12" s="1269"/>
      <c r="K12" s="3"/>
      <c r="L12" s="3"/>
      <c r="M12" s="3"/>
      <c r="N12" s="3"/>
      <c r="O12" s="3"/>
      <c r="P12" s="3"/>
      <c r="Q12" s="3"/>
      <c r="R12" s="3"/>
      <c r="S12" s="3"/>
      <c r="T12" s="3"/>
      <c r="U12" s="3"/>
      <c r="V12" s="3"/>
      <c r="W12" s="3"/>
    </row>
    <row r="13" spans="1:23" ht="14.4">
      <c r="A13" s="3"/>
      <c r="B13" s="160" t="s">
        <v>295</v>
      </c>
      <c r="C13" s="161">
        <f>+Print_Mois!$L$41-C7-C11</f>
        <v>-114031.59999999999</v>
      </c>
      <c r="D13" s="161">
        <f>+Print_Mois!$F$41-D7-D11</f>
        <v>0</v>
      </c>
      <c r="E13" s="161">
        <f>+Print_Mois!$Q$41-E7-E11</f>
        <v>-277851.65000000014</v>
      </c>
      <c r="F13" s="162">
        <f t="shared" si="0"/>
        <v>-114031.59999999999</v>
      </c>
      <c r="G13" s="163">
        <f t="shared" si="1"/>
        <v>163820.05000000016</v>
      </c>
      <c r="H13" s="165" t="str">
        <f t="shared" si="2"/>
        <v/>
      </c>
      <c r="I13" s="166">
        <f t="shared" si="3"/>
        <v>0.58959538300384429</v>
      </c>
      <c r="J13" s="1269"/>
      <c r="K13" s="3"/>
      <c r="L13" s="3"/>
      <c r="M13" s="3"/>
      <c r="N13" s="3"/>
      <c r="O13" s="3"/>
      <c r="P13" s="3"/>
      <c r="Q13" s="3"/>
      <c r="R13" s="3"/>
      <c r="S13" s="3"/>
      <c r="T13" s="3"/>
      <c r="U13" s="3"/>
      <c r="V13" s="3"/>
      <c r="W13" s="3"/>
    </row>
    <row r="14" spans="1:23" ht="14.4">
      <c r="A14" s="3"/>
      <c r="B14" s="160" t="s">
        <v>296</v>
      </c>
      <c r="C14" s="161">
        <f t="shared" ref="C14:E14" si="8">+C13/C4</f>
        <v>-1480.9298701298701</v>
      </c>
      <c r="D14" s="161" t="e">
        <f t="shared" si="8"/>
        <v>#DIV/0!</v>
      </c>
      <c r="E14" s="161">
        <f t="shared" si="8"/>
        <v>-4481.4782258064542</v>
      </c>
      <c r="F14" s="162" t="str">
        <f t="shared" si="0"/>
        <v/>
      </c>
      <c r="G14" s="163">
        <f t="shared" si="1"/>
        <v>3000.5483556765839</v>
      </c>
      <c r="H14" s="165" t="str">
        <f t="shared" si="2"/>
        <v/>
      </c>
      <c r="I14" s="166">
        <f t="shared" si="3"/>
        <v>0.66954433436673166</v>
      </c>
      <c r="J14" s="1269"/>
      <c r="K14" s="3"/>
      <c r="L14" s="3"/>
      <c r="M14" s="3"/>
      <c r="N14" s="3"/>
      <c r="O14" s="3"/>
      <c r="P14" s="3"/>
      <c r="Q14" s="3"/>
      <c r="R14" s="3"/>
      <c r="S14" s="3"/>
      <c r="T14" s="3"/>
      <c r="U14" s="3"/>
      <c r="V14" s="3"/>
      <c r="W14" s="3"/>
    </row>
    <row r="15" spans="1:23" ht="14.4">
      <c r="A15" s="3"/>
      <c r="B15" s="160" t="s">
        <v>297</v>
      </c>
      <c r="C15" s="161">
        <f>+Print_Mois!$L$83</f>
        <v>47935</v>
      </c>
      <c r="D15" s="161">
        <f>+Print_Mois!$F$83</f>
        <v>0</v>
      </c>
      <c r="E15" s="161">
        <f>+Print_Mois!$Q$83</f>
        <v>26831.50999999998</v>
      </c>
      <c r="F15" s="162">
        <f t="shared" si="0"/>
        <v>47935</v>
      </c>
      <c r="G15" s="163">
        <f t="shared" si="1"/>
        <v>21103.49000000002</v>
      </c>
      <c r="H15" s="165" t="str">
        <f t="shared" si="2"/>
        <v/>
      </c>
      <c r="I15" s="166">
        <f t="shared" si="3"/>
        <v>0.78651891004270857</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22</v>
      </c>
      <c r="D21" s="155">
        <f>+Print_Mois!$D$97</f>
        <v>0</v>
      </c>
      <c r="E21" s="155">
        <f>+Print_Mois!$O$97</f>
        <v>14</v>
      </c>
      <c r="F21" s="156">
        <f t="shared" ref="F21:F32" si="11">+IFERROR($C21-D21,"")</f>
        <v>22</v>
      </c>
      <c r="G21" s="157">
        <f t="shared" ref="G21:G32" si="12">+IFERROR($C21-E21,"")</f>
        <v>8</v>
      </c>
      <c r="H21" s="158" t="str">
        <f t="shared" ref="H21:H32" si="13">+IFERROR(F21/ABS($D21),"")</f>
        <v/>
      </c>
      <c r="I21" s="159">
        <f t="shared" ref="I21:I32" si="14">+IFERROR(G21/ABS($E21),"")</f>
        <v>0.5714285714285714</v>
      </c>
      <c r="J21" s="1268" t="s">
        <v>1089</v>
      </c>
      <c r="K21" s="3"/>
      <c r="L21" s="3"/>
      <c r="M21" s="3"/>
      <c r="N21" s="3"/>
      <c r="O21" s="3"/>
      <c r="P21" s="3"/>
      <c r="Q21" s="3"/>
      <c r="R21" s="3"/>
      <c r="S21" s="3"/>
      <c r="T21" s="3"/>
      <c r="U21" s="3"/>
      <c r="V21" s="3"/>
      <c r="W21" s="3"/>
    </row>
    <row r="22" spans="1:23" ht="15.75" customHeight="1">
      <c r="A22" s="3"/>
      <c r="B22" s="160" t="s">
        <v>287</v>
      </c>
      <c r="C22" s="161">
        <f>+Print_Mois!$L$97</f>
        <v>33621.339999999735</v>
      </c>
      <c r="D22" s="161">
        <f>+Print_Mois!$F$97</f>
        <v>0</v>
      </c>
      <c r="E22" s="161">
        <f>+Print_Mois!$Q$97</f>
        <v>3671.199999999837</v>
      </c>
      <c r="F22" s="162">
        <f t="shared" si="11"/>
        <v>33621.339999999735</v>
      </c>
      <c r="G22" s="163">
        <f t="shared" si="12"/>
        <v>29950.139999999898</v>
      </c>
      <c r="H22" s="165" t="str">
        <f t="shared" si="13"/>
        <v/>
      </c>
      <c r="I22" s="166">
        <f t="shared" si="14"/>
        <v>8.1581335803010528</v>
      </c>
      <c r="J22" s="1269"/>
      <c r="K22" s="3"/>
      <c r="L22" s="3"/>
      <c r="M22" s="3"/>
      <c r="N22" s="3"/>
      <c r="O22" s="3"/>
      <c r="P22" s="3"/>
      <c r="Q22" s="3"/>
      <c r="R22" s="3"/>
      <c r="S22" s="3"/>
      <c r="T22" s="3"/>
      <c r="U22" s="3"/>
      <c r="V22" s="3"/>
      <c r="W22" s="3"/>
    </row>
    <row r="23" spans="1:23" ht="15.75" customHeight="1">
      <c r="A23" s="3"/>
      <c r="B23" s="160" t="s">
        <v>288</v>
      </c>
      <c r="C23" s="161">
        <f t="shared" ref="C23:E23" si="15">+C22/C21</f>
        <v>1528.2427272727152</v>
      </c>
      <c r="D23" s="161" t="e">
        <f t="shared" si="15"/>
        <v>#DIV/0!</v>
      </c>
      <c r="E23" s="161">
        <f t="shared" si="15"/>
        <v>262.2285714285598</v>
      </c>
      <c r="F23" s="162" t="str">
        <f t="shared" si="11"/>
        <v/>
      </c>
      <c r="G23" s="163">
        <f t="shared" si="12"/>
        <v>1266.0141558441555</v>
      </c>
      <c r="H23" s="165" t="str">
        <f t="shared" si="13"/>
        <v/>
      </c>
      <c r="I23" s="166">
        <f t="shared" si="14"/>
        <v>4.8279031874643072</v>
      </c>
      <c r="J23" s="1269"/>
      <c r="K23" s="3"/>
      <c r="L23" s="3"/>
      <c r="M23" s="3"/>
      <c r="N23" s="3"/>
      <c r="O23" s="3"/>
      <c r="P23" s="3"/>
      <c r="Q23" s="3"/>
      <c r="R23" s="3"/>
      <c r="S23" s="3"/>
      <c r="T23" s="3"/>
      <c r="U23" s="3"/>
      <c r="V23" s="3"/>
      <c r="W23" s="3"/>
    </row>
    <row r="24" spans="1:23" ht="15.75" customHeight="1">
      <c r="A24" s="3"/>
      <c r="B24" s="160" t="s">
        <v>289</v>
      </c>
      <c r="C24" s="161">
        <f>+Print_Mois!$L$113</f>
        <v>8109.9100000000035</v>
      </c>
      <c r="D24" s="161">
        <f>+Print_Mois!$F$113</f>
        <v>0</v>
      </c>
      <c r="E24" s="161">
        <f>+Print_Mois!$Q$113</f>
        <v>22985.690000000002</v>
      </c>
      <c r="F24" s="162">
        <f t="shared" si="11"/>
        <v>8109.9100000000035</v>
      </c>
      <c r="G24" s="163">
        <f t="shared" si="12"/>
        <v>-14875.779999999999</v>
      </c>
      <c r="H24" s="165" t="str">
        <f t="shared" si="13"/>
        <v/>
      </c>
      <c r="I24" s="166">
        <f t="shared" si="14"/>
        <v>-0.64717569931553054</v>
      </c>
      <c r="J24" s="1269"/>
      <c r="K24" s="3"/>
      <c r="L24" s="3"/>
      <c r="M24" s="3"/>
      <c r="N24" s="3"/>
      <c r="O24" s="3"/>
      <c r="P24" s="3"/>
      <c r="Q24" s="3"/>
      <c r="R24" s="3"/>
      <c r="S24" s="3"/>
      <c r="T24" s="3"/>
      <c r="U24" s="3"/>
      <c r="V24" s="3"/>
      <c r="W24" s="3"/>
    </row>
    <row r="25" spans="1:23" ht="15.75" customHeight="1">
      <c r="A25" s="3"/>
      <c r="B25" s="160" t="s">
        <v>290</v>
      </c>
      <c r="C25" s="164">
        <f t="shared" ref="C25:E25" si="16">+C24/C22</f>
        <v>0.24121316996883727</v>
      </c>
      <c r="D25" s="164" t="e">
        <f t="shared" si="16"/>
        <v>#DIV/0!</v>
      </c>
      <c r="E25" s="164">
        <f t="shared" si="16"/>
        <v>6.2610835694053781</v>
      </c>
      <c r="F25" s="167" t="str">
        <f t="shared" si="11"/>
        <v/>
      </c>
      <c r="G25" s="168">
        <f t="shared" si="12"/>
        <v>-6.0198703994365408</v>
      </c>
      <c r="H25" s="165" t="str">
        <f t="shared" si="13"/>
        <v/>
      </c>
      <c r="I25" s="166">
        <f t="shared" si="14"/>
        <v>-0.96147421332187299</v>
      </c>
      <c r="J25" s="1269"/>
      <c r="K25" s="3"/>
      <c r="L25" s="3"/>
      <c r="M25" s="3"/>
      <c r="N25" s="3"/>
      <c r="O25" s="3"/>
      <c r="P25" s="3"/>
      <c r="Q25" s="3"/>
      <c r="R25" s="3"/>
      <c r="S25" s="3"/>
      <c r="T25" s="3"/>
      <c r="U25" s="3"/>
      <c r="V25" s="3"/>
      <c r="W25" s="3"/>
    </row>
    <row r="26" spans="1:23" ht="15.75" customHeight="1">
      <c r="A26" s="3"/>
      <c r="B26" s="160" t="s">
        <v>291</v>
      </c>
      <c r="C26" s="161">
        <f>+Print_Mois!$L$106</f>
        <v>2000</v>
      </c>
      <c r="D26" s="161">
        <f>+Print_Mois!$F$106</f>
        <v>0</v>
      </c>
      <c r="E26" s="161">
        <f>+Print_Mois!$Q$106</f>
        <v>14409.39</v>
      </c>
      <c r="F26" s="162">
        <f t="shared" si="11"/>
        <v>2000</v>
      </c>
      <c r="G26" s="163">
        <f t="shared" si="12"/>
        <v>-12409.39</v>
      </c>
      <c r="H26" s="165" t="str">
        <f t="shared" si="13"/>
        <v/>
      </c>
      <c r="I26" s="166">
        <f t="shared" si="14"/>
        <v>-0.86120161922191019</v>
      </c>
      <c r="J26" s="1269"/>
      <c r="K26" s="3"/>
      <c r="L26" s="3"/>
      <c r="M26" s="3"/>
      <c r="N26" s="3"/>
      <c r="O26" s="3"/>
      <c r="P26" s="3"/>
      <c r="Q26" s="3"/>
      <c r="R26" s="3"/>
      <c r="S26" s="3"/>
      <c r="T26" s="3"/>
      <c r="U26" s="3"/>
      <c r="V26" s="3"/>
      <c r="W26" s="3"/>
    </row>
    <row r="27" spans="1:23" ht="15.75" customHeight="1">
      <c r="A27" s="3"/>
      <c r="B27" s="160" t="s">
        <v>292</v>
      </c>
      <c r="C27" s="161">
        <f t="shared" ref="C27:E27" si="17">+C26/C21</f>
        <v>90.909090909090907</v>
      </c>
      <c r="D27" s="161" t="e">
        <f t="shared" si="17"/>
        <v>#DIV/0!</v>
      </c>
      <c r="E27" s="161">
        <f t="shared" si="17"/>
        <v>1029.2421428571429</v>
      </c>
      <c r="F27" s="162" t="str">
        <f t="shared" si="11"/>
        <v/>
      </c>
      <c r="G27" s="163">
        <f t="shared" si="12"/>
        <v>-938.333051948052</v>
      </c>
      <c r="H27" s="165" t="str">
        <f t="shared" si="13"/>
        <v/>
      </c>
      <c r="I27" s="166">
        <f t="shared" si="14"/>
        <v>-0.91167375768667014</v>
      </c>
      <c r="J27" s="1269"/>
      <c r="K27" s="3"/>
      <c r="L27" s="3"/>
      <c r="M27" s="3"/>
      <c r="N27" s="3"/>
      <c r="O27" s="3"/>
      <c r="P27" s="3"/>
      <c r="Q27" s="3"/>
      <c r="R27" s="3"/>
      <c r="S27" s="3"/>
      <c r="T27" s="3"/>
      <c r="U27" s="3"/>
      <c r="V27" s="3"/>
      <c r="W27" s="3"/>
    </row>
    <row r="28" spans="1:23" ht="15.75" customHeight="1">
      <c r="A28" s="3"/>
      <c r="B28" s="160" t="s">
        <v>293</v>
      </c>
      <c r="C28" s="161">
        <f>+Print_Mois!$L$114</f>
        <v>0</v>
      </c>
      <c r="D28" s="161">
        <f>+Print_Mois!$F$114</f>
        <v>0</v>
      </c>
      <c r="E28" s="161">
        <f>+Print_Mois!$Q$114</f>
        <v>4176.2299999999996</v>
      </c>
      <c r="F28" s="162">
        <f t="shared" si="11"/>
        <v>0</v>
      </c>
      <c r="G28" s="163">
        <f t="shared" si="12"/>
        <v>-4176.2299999999996</v>
      </c>
      <c r="H28" s="165" t="str">
        <f t="shared" si="13"/>
        <v/>
      </c>
      <c r="I28" s="166">
        <f t="shared" si="14"/>
        <v>-1</v>
      </c>
      <c r="J28" s="1269"/>
      <c r="K28" s="3"/>
      <c r="L28" s="3"/>
      <c r="M28" s="3"/>
      <c r="N28" s="3"/>
      <c r="O28" s="3"/>
      <c r="P28" s="3"/>
      <c r="Q28" s="3"/>
      <c r="R28" s="3"/>
      <c r="S28" s="3"/>
      <c r="T28" s="3"/>
      <c r="U28" s="3"/>
      <c r="V28" s="3"/>
      <c r="W28" s="3"/>
    </row>
    <row r="29" spans="1:23" ht="15.75" customHeight="1">
      <c r="A29" s="3"/>
      <c r="B29" s="160" t="s">
        <v>294</v>
      </c>
      <c r="C29" s="164">
        <f t="shared" ref="C29:E29" si="18">+C28/C26</f>
        <v>0</v>
      </c>
      <c r="D29" s="164" t="e">
        <f t="shared" si="18"/>
        <v>#DIV/0!</v>
      </c>
      <c r="E29" s="164">
        <f t="shared" si="18"/>
        <v>0.28982698087844105</v>
      </c>
      <c r="F29" s="165" t="str">
        <f t="shared" si="11"/>
        <v/>
      </c>
      <c r="G29" s="169">
        <f t="shared" si="12"/>
        <v>-0.28982698087844105</v>
      </c>
      <c r="H29" s="165" t="str">
        <f t="shared" si="13"/>
        <v/>
      </c>
      <c r="I29" s="166">
        <f t="shared" si="14"/>
        <v>-1</v>
      </c>
      <c r="J29" s="1269"/>
      <c r="K29" s="3"/>
      <c r="L29" s="3"/>
      <c r="M29" s="3"/>
      <c r="N29" s="3"/>
      <c r="O29" s="3"/>
      <c r="P29" s="3"/>
      <c r="Q29" s="3"/>
      <c r="R29" s="3"/>
      <c r="S29" s="3"/>
      <c r="T29" s="3"/>
      <c r="U29" s="3"/>
      <c r="V29" s="3"/>
      <c r="W29" s="3"/>
    </row>
    <row r="30" spans="1:23" ht="15.75" customHeight="1">
      <c r="A30" s="3"/>
      <c r="B30" s="160" t="s">
        <v>295</v>
      </c>
      <c r="C30" s="161">
        <f>+Print_Mois!$L$123-C24-C28</f>
        <v>12081.070000000007</v>
      </c>
      <c r="D30" s="161">
        <f>+Print_Mois!$F$123-D24-D28</f>
        <v>0</v>
      </c>
      <c r="E30" s="161">
        <f>+Print_Mois!$Q$123-E24-E28</f>
        <v>16434.03000000001</v>
      </c>
      <c r="F30" s="162">
        <f t="shared" si="11"/>
        <v>12081.070000000007</v>
      </c>
      <c r="G30" s="163">
        <f t="shared" si="12"/>
        <v>-4352.9600000000028</v>
      </c>
      <c r="H30" s="165" t="str">
        <f t="shared" si="13"/>
        <v/>
      </c>
      <c r="I30" s="166">
        <f t="shared" si="14"/>
        <v>-0.26487477508559981</v>
      </c>
      <c r="J30" s="1269"/>
      <c r="K30" s="3"/>
      <c r="L30" s="3"/>
      <c r="M30" s="3"/>
      <c r="N30" s="3"/>
      <c r="O30" s="3"/>
      <c r="P30" s="3"/>
      <c r="Q30" s="3"/>
      <c r="R30" s="3"/>
      <c r="S30" s="3"/>
      <c r="T30" s="3"/>
      <c r="U30" s="3"/>
      <c r="V30" s="3"/>
      <c r="W30" s="3"/>
    </row>
    <row r="31" spans="1:23" ht="15.75" customHeight="1">
      <c r="A31" s="3"/>
      <c r="B31" s="160" t="s">
        <v>296</v>
      </c>
      <c r="C31" s="161">
        <f t="shared" ref="C31:E31" si="19">+C30/C21</f>
        <v>549.13954545454578</v>
      </c>
      <c r="D31" s="161" t="e">
        <f t="shared" si="19"/>
        <v>#DIV/0!</v>
      </c>
      <c r="E31" s="161">
        <f t="shared" si="19"/>
        <v>1173.8592857142864</v>
      </c>
      <c r="F31" s="162" t="str">
        <f t="shared" si="11"/>
        <v/>
      </c>
      <c r="G31" s="163">
        <f t="shared" si="12"/>
        <v>-624.71974025974066</v>
      </c>
      <c r="H31" s="165" t="str">
        <f t="shared" si="13"/>
        <v/>
      </c>
      <c r="I31" s="166">
        <f t="shared" si="14"/>
        <v>-0.53219303869083623</v>
      </c>
      <c r="J31" s="1269"/>
      <c r="K31" s="3"/>
      <c r="L31" s="3"/>
      <c r="M31" s="3"/>
      <c r="N31" s="3"/>
      <c r="O31" s="3"/>
      <c r="P31" s="3"/>
      <c r="Q31" s="3"/>
      <c r="R31" s="3"/>
      <c r="S31" s="3"/>
      <c r="T31" s="3"/>
      <c r="U31" s="3"/>
      <c r="V31" s="3"/>
      <c r="W31" s="3"/>
    </row>
    <row r="32" spans="1:23" ht="15.75" customHeight="1">
      <c r="A32" s="3"/>
      <c r="B32" s="160" t="s">
        <v>297</v>
      </c>
      <c r="C32" s="161">
        <f>+Print_Mois!$L$164</f>
        <v>5500</v>
      </c>
      <c r="D32" s="161">
        <f>+Print_Mois!$F$164</f>
        <v>0</v>
      </c>
      <c r="E32" s="161">
        <f>+Print_Mois!$Q$164</f>
        <v>0</v>
      </c>
      <c r="F32" s="162">
        <f t="shared" si="11"/>
        <v>5500</v>
      </c>
      <c r="G32" s="163">
        <f t="shared" si="12"/>
        <v>5500</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165397.34000000003</v>
      </c>
      <c r="D38" s="195">
        <f>+Print_Mois!$E$268</f>
        <v>0</v>
      </c>
      <c r="E38" s="195">
        <f>+Print_Mois!$P$268</f>
        <v>217072.67000000004</v>
      </c>
      <c r="F38" s="196">
        <f t="shared" ref="F38:F47" si="22">+IFERROR($C38-D38,"")</f>
        <v>165397.34000000003</v>
      </c>
      <c r="G38" s="197">
        <f t="shared" ref="G38:G47" si="23">+IFERROR($C38-E38,"")</f>
        <v>-51675.330000000016</v>
      </c>
      <c r="H38" s="158" t="str">
        <f t="shared" ref="H38:H47" si="24">+IFERROR(F38/ABS($D38),"")</f>
        <v/>
      </c>
      <c r="I38" s="159">
        <f t="shared" ref="I38:I47" si="25">+IFERROR(G38/ABS($E38),"")</f>
        <v>-0.23805544014361646</v>
      </c>
      <c r="J38" s="1268" t="s">
        <v>1090</v>
      </c>
      <c r="K38" s="3"/>
      <c r="L38" s="3"/>
      <c r="M38" s="3"/>
      <c r="N38" s="3"/>
      <c r="O38" s="3"/>
      <c r="P38" s="3"/>
      <c r="Q38" s="3"/>
      <c r="R38" s="3"/>
      <c r="S38" s="3"/>
      <c r="T38" s="3"/>
      <c r="U38" s="3"/>
      <c r="V38" s="3"/>
      <c r="W38" s="3"/>
    </row>
    <row r="39" spans="1:23" ht="15.75" customHeight="1">
      <c r="A39" s="3"/>
      <c r="B39" s="154" t="s">
        <v>302</v>
      </c>
      <c r="C39" s="195">
        <f>+Print_Mois!$L$268</f>
        <v>107445.27000000003</v>
      </c>
      <c r="D39" s="195">
        <f>+Print_Mois!$F$268</f>
        <v>0</v>
      </c>
      <c r="E39" s="195">
        <f>+Print_Mois!$Q$268</f>
        <v>152404.22000000003</v>
      </c>
      <c r="F39" s="196">
        <f t="shared" si="22"/>
        <v>107445.27000000003</v>
      </c>
      <c r="G39" s="197">
        <f t="shared" si="23"/>
        <v>-44958.95</v>
      </c>
      <c r="H39" s="198" t="str">
        <f t="shared" si="24"/>
        <v/>
      </c>
      <c r="I39" s="199">
        <f t="shared" si="25"/>
        <v>-0.29499806501421016</v>
      </c>
      <c r="J39" s="1269"/>
      <c r="K39" s="3"/>
      <c r="L39" s="3"/>
      <c r="M39" s="3"/>
      <c r="N39" s="3"/>
      <c r="O39" s="3"/>
      <c r="P39" s="3"/>
      <c r="Q39" s="3"/>
      <c r="R39" s="3"/>
      <c r="S39" s="3"/>
      <c r="T39" s="3"/>
      <c r="U39" s="3"/>
      <c r="V39" s="3"/>
      <c r="W39" s="3"/>
    </row>
    <row r="40" spans="1:23" ht="15.75" customHeight="1">
      <c r="A40" s="3"/>
      <c r="B40" s="160" t="s">
        <v>303</v>
      </c>
      <c r="C40" s="161">
        <f>+Print_Mois!$K$246/Print_Mois!$J$246</f>
        <v>241.45216450216469</v>
      </c>
      <c r="D40" s="161" t="str">
        <f>+IFERROR(Print_Mois!$E$246/Print_Mois!$D$246,"")</f>
        <v/>
      </c>
      <c r="E40" s="161">
        <f>+Print_Mois!$P$246/Print_Mois!$O$246</f>
        <v>351.93851674641178</v>
      </c>
      <c r="F40" s="162" t="str">
        <f t="shared" si="22"/>
        <v/>
      </c>
      <c r="G40" s="163">
        <f t="shared" si="23"/>
        <v>-110.48635224424709</v>
      </c>
      <c r="H40" s="165" t="str">
        <f t="shared" si="24"/>
        <v/>
      </c>
      <c r="I40" s="166">
        <f t="shared" si="25"/>
        <v>-0.31393651728053878</v>
      </c>
      <c r="J40" s="1269"/>
      <c r="K40" s="3"/>
      <c r="L40" s="3"/>
      <c r="M40" s="3"/>
      <c r="N40" s="3"/>
      <c r="O40" s="3"/>
      <c r="P40" s="3"/>
      <c r="Q40" s="3"/>
      <c r="R40" s="3"/>
      <c r="S40" s="3"/>
      <c r="T40" s="3"/>
      <c r="U40" s="3"/>
      <c r="V40" s="3"/>
      <c r="W40" s="3"/>
    </row>
    <row r="41" spans="1:23" ht="15.75" customHeight="1">
      <c r="A41" s="3"/>
      <c r="B41" s="160" t="s">
        <v>304</v>
      </c>
      <c r="C41" s="161">
        <f>+Print_Mois!$K$249/Print_Mois!$J$249</f>
        <v>139.69127962085301</v>
      </c>
      <c r="D41" s="161" t="str">
        <f>+IFERROR(Print_Mois!$E$249/Print_Mois!$D$249,"")</f>
        <v/>
      </c>
      <c r="E41" s="161">
        <f>+Print_Mois!$P$249/Print_Mois!$O$249</f>
        <v>166.91524390243907</v>
      </c>
      <c r="F41" s="162" t="str">
        <f t="shared" si="22"/>
        <v/>
      </c>
      <c r="G41" s="163">
        <f t="shared" si="23"/>
        <v>-27.223964281586063</v>
      </c>
      <c r="H41" s="165" t="str">
        <f t="shared" si="24"/>
        <v/>
      </c>
      <c r="I41" s="166">
        <f t="shared" si="25"/>
        <v>-0.16310052722025978</v>
      </c>
      <c r="J41" s="1269"/>
      <c r="K41" s="3"/>
      <c r="L41" s="3"/>
      <c r="M41" s="3"/>
      <c r="N41" s="3"/>
      <c r="O41" s="3"/>
      <c r="P41" s="3"/>
      <c r="Q41" s="3"/>
      <c r="R41" s="3"/>
      <c r="S41" s="3"/>
      <c r="T41" s="3"/>
      <c r="U41" s="3"/>
      <c r="V41" s="3"/>
      <c r="W41" s="3"/>
    </row>
    <row r="42" spans="1:23" ht="15.75" customHeight="1">
      <c r="A42" s="3"/>
      <c r="B42" s="160" t="s">
        <v>305</v>
      </c>
      <c r="C42" s="161">
        <f>+Print_Mois!$L$258</f>
        <v>0</v>
      </c>
      <c r="D42" s="161">
        <f>+Print_Mois!$F$258</f>
        <v>0</v>
      </c>
      <c r="E42" s="161">
        <f>+Print_Mois!$Q$258</f>
        <v>1668.8900000000031</v>
      </c>
      <c r="F42" s="162">
        <f t="shared" si="22"/>
        <v>0</v>
      </c>
      <c r="G42" s="163">
        <f t="shared" si="23"/>
        <v>-1668.8900000000031</v>
      </c>
      <c r="H42" s="165" t="str">
        <f t="shared" si="24"/>
        <v/>
      </c>
      <c r="I42" s="166">
        <f t="shared" si="25"/>
        <v>-1</v>
      </c>
      <c r="J42" s="1269"/>
      <c r="K42" s="3"/>
      <c r="L42" s="3"/>
      <c r="M42" s="3"/>
      <c r="N42" s="3"/>
      <c r="O42" s="3"/>
      <c r="P42" s="3"/>
      <c r="Q42" s="3"/>
      <c r="R42" s="3"/>
      <c r="S42" s="3"/>
      <c r="T42" s="3"/>
      <c r="U42" s="3"/>
      <c r="V42" s="3"/>
      <c r="W42" s="3"/>
    </row>
    <row r="43" spans="1:23" ht="15.75" customHeight="1">
      <c r="A43" s="3"/>
      <c r="B43" s="160" t="s">
        <v>306</v>
      </c>
      <c r="C43" s="161">
        <f>+Print_Mois!$L$284</f>
        <v>47760.05</v>
      </c>
      <c r="D43" s="161">
        <f>+Print_Mois!$F$284</f>
        <v>0</v>
      </c>
      <c r="E43" s="161">
        <f>+Print_Mois!$Q$284</f>
        <v>103572.63000000003</v>
      </c>
      <c r="F43" s="162">
        <f t="shared" si="22"/>
        <v>47760.05</v>
      </c>
      <c r="G43" s="163">
        <f t="shared" si="23"/>
        <v>-55812.580000000031</v>
      </c>
      <c r="H43" s="165" t="str">
        <f t="shared" si="24"/>
        <v/>
      </c>
      <c r="I43" s="166">
        <f t="shared" si="25"/>
        <v>-0.53887383182217163</v>
      </c>
      <c r="J43" s="1269"/>
      <c r="K43" s="3"/>
      <c r="L43" s="3"/>
      <c r="M43" s="3"/>
      <c r="N43" s="3"/>
      <c r="O43" s="3"/>
      <c r="P43" s="3"/>
      <c r="Q43" s="3"/>
      <c r="R43" s="3"/>
      <c r="S43" s="3"/>
      <c r="T43" s="3"/>
      <c r="U43" s="3"/>
      <c r="V43" s="3"/>
      <c r="W43" s="3"/>
    </row>
    <row r="44" spans="1:23" ht="15.75" customHeight="1">
      <c r="A44" s="3"/>
      <c r="B44" s="176" t="s">
        <v>307</v>
      </c>
      <c r="C44" s="161">
        <f>+SUM(Print_Mois!$L$272:$L$278)</f>
        <v>24280.17</v>
      </c>
      <c r="D44" s="161">
        <f>+SUM(Print_Mois!$F$272:$F$278)</f>
        <v>0</v>
      </c>
      <c r="E44" s="161">
        <f>+SUM(Print_Mois!$Q$272:$Q$278)</f>
        <v>62329.85000000002</v>
      </c>
      <c r="F44" s="162">
        <f t="shared" si="22"/>
        <v>24280.17</v>
      </c>
      <c r="G44" s="163">
        <f t="shared" si="23"/>
        <v>-38049.680000000022</v>
      </c>
      <c r="H44" s="165" t="str">
        <f t="shared" si="24"/>
        <v/>
      </c>
      <c r="I44" s="166">
        <f t="shared" si="25"/>
        <v>-0.61045678755844923</v>
      </c>
      <c r="J44" s="1269"/>
      <c r="K44" s="3"/>
      <c r="L44" s="3"/>
      <c r="M44" s="3"/>
      <c r="N44" s="3"/>
      <c r="O44" s="3"/>
      <c r="P44" s="3"/>
      <c r="Q44" s="3"/>
      <c r="R44" s="3"/>
      <c r="S44" s="3"/>
      <c r="T44" s="3"/>
      <c r="U44" s="3"/>
      <c r="V44" s="3"/>
      <c r="W44" s="3"/>
    </row>
    <row r="45" spans="1:23" ht="14.4">
      <c r="A45" s="3"/>
      <c r="B45" s="176" t="s">
        <v>308</v>
      </c>
      <c r="C45" s="161">
        <f>+SUM(Print_Mois!$L$279:$L$283)</f>
        <v>23479.880000000005</v>
      </c>
      <c r="D45" s="161">
        <f>+SUM(Print_Mois!$F$279:$F$283)</f>
        <v>0</v>
      </c>
      <c r="E45" s="161">
        <f>+SUM(Print_Mois!$Q$279:$Q$283)</f>
        <v>41242.780000000006</v>
      </c>
      <c r="F45" s="162">
        <f t="shared" si="22"/>
        <v>23479.880000000005</v>
      </c>
      <c r="G45" s="163">
        <f t="shared" si="23"/>
        <v>-17762.900000000001</v>
      </c>
      <c r="H45" s="165" t="str">
        <f t="shared" si="24"/>
        <v/>
      </c>
      <c r="I45" s="166">
        <f t="shared" si="25"/>
        <v>-0.43069114157678018</v>
      </c>
      <c r="J45" s="1269"/>
      <c r="K45" s="3"/>
      <c r="L45" s="3"/>
      <c r="M45" s="3"/>
      <c r="N45" s="3"/>
      <c r="O45" s="3"/>
      <c r="P45" s="3"/>
      <c r="Q45" s="3"/>
      <c r="R45" s="3"/>
      <c r="S45" s="3"/>
      <c r="T45" s="3"/>
      <c r="U45" s="3"/>
      <c r="V45" s="3"/>
      <c r="W45" s="3"/>
    </row>
    <row r="46" spans="1:23" ht="14.4">
      <c r="A46" s="3"/>
      <c r="B46" s="160" t="s">
        <v>309</v>
      </c>
      <c r="C46" s="164">
        <f t="shared" ref="C46:E46" si="26">+C43/C38</f>
        <v>0.28875948065428375</v>
      </c>
      <c r="D46" s="164" t="e">
        <f t="shared" si="26"/>
        <v>#DIV/0!</v>
      </c>
      <c r="E46" s="164">
        <f t="shared" si="26"/>
        <v>0.47713344107298267</v>
      </c>
      <c r="F46" s="167" t="str">
        <f t="shared" si="22"/>
        <v/>
      </c>
      <c r="G46" s="168">
        <f t="shared" si="23"/>
        <v>-0.18837396041869892</v>
      </c>
      <c r="H46" s="165" t="str">
        <f t="shared" si="24"/>
        <v/>
      </c>
      <c r="I46" s="166">
        <f t="shared" si="25"/>
        <v>-0.39480351659083374</v>
      </c>
      <c r="J46" s="1269"/>
      <c r="K46" s="3"/>
      <c r="L46" s="3"/>
      <c r="M46" s="3"/>
      <c r="N46" s="3"/>
      <c r="O46" s="3"/>
      <c r="P46" s="3"/>
      <c r="Q46" s="3"/>
      <c r="R46" s="3"/>
      <c r="S46" s="3"/>
      <c r="T46" s="3"/>
      <c r="U46" s="3"/>
      <c r="V46" s="3"/>
      <c r="W46" s="3"/>
    </row>
    <row r="47" spans="1:23" ht="14.4">
      <c r="A47" s="3"/>
      <c r="B47" s="200" t="s">
        <v>127</v>
      </c>
      <c r="C47" s="179">
        <f>+Print_Mois!$L$287</f>
        <v>4506.9499999999971</v>
      </c>
      <c r="D47" s="179">
        <f>+Print_Mois!$F$287</f>
        <v>0</v>
      </c>
      <c r="E47" s="179">
        <f>+Print_Mois!$Q$287</f>
        <v>-5174.93</v>
      </c>
      <c r="F47" s="180">
        <f t="shared" si="22"/>
        <v>4506.9499999999971</v>
      </c>
      <c r="G47" s="181">
        <f t="shared" si="23"/>
        <v>9681.8799999999974</v>
      </c>
      <c r="H47" s="182" t="str">
        <f t="shared" si="24"/>
        <v/>
      </c>
      <c r="I47" s="183">
        <f t="shared" si="25"/>
        <v>1.8709199931206792</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375313.01</v>
      </c>
      <c r="D50" s="195">
        <f>+Print_Mois!$D$390</f>
        <v>0</v>
      </c>
      <c r="E50" s="195">
        <f>+Print_Mois!$O$390</f>
        <v>430542.1999999999</v>
      </c>
      <c r="F50" s="196">
        <f t="shared" ref="F50:F59" si="27">+IFERROR($C50-D50,"")</f>
        <v>375313.01</v>
      </c>
      <c r="G50" s="197">
        <f t="shared" ref="G50:G59" si="28">+IFERROR($C50-E50,"")</f>
        <v>-55229.189999999886</v>
      </c>
      <c r="H50" s="158" t="str">
        <f t="shared" ref="H50:H59" si="29">+IFERROR(F50/ABS($D50),"")</f>
        <v/>
      </c>
      <c r="I50" s="159">
        <f t="shared" ref="I50:I59" si="30">+IFERROR(G50/ABS($E50),"")</f>
        <v>-0.12827822684977197</v>
      </c>
      <c r="J50" s="1268" t="s">
        <v>1091</v>
      </c>
      <c r="K50" s="3"/>
      <c r="L50" s="3"/>
      <c r="M50" s="3"/>
      <c r="N50" s="3"/>
      <c r="O50" s="3"/>
      <c r="P50" s="3"/>
      <c r="Q50" s="3"/>
      <c r="R50" s="3"/>
      <c r="S50" s="3"/>
      <c r="T50" s="3"/>
      <c r="U50" s="3"/>
      <c r="V50" s="3"/>
      <c r="W50" s="3"/>
    </row>
    <row r="51" spans="1:23" ht="15.75" customHeight="1">
      <c r="A51" s="3"/>
      <c r="B51" s="176" t="s">
        <v>311</v>
      </c>
      <c r="C51" s="161">
        <f>+Print_Mois!$J$371</f>
        <v>59844.549999999988</v>
      </c>
      <c r="D51" s="161">
        <f>+Print_Mois!$D$371</f>
        <v>0</v>
      </c>
      <c r="E51" s="161">
        <f>+Print_Mois!$O$371</f>
        <v>54282.650000000023</v>
      </c>
      <c r="F51" s="162">
        <f t="shared" si="27"/>
        <v>59844.549999999988</v>
      </c>
      <c r="G51" s="163">
        <f t="shared" si="28"/>
        <v>5561.8999999999651</v>
      </c>
      <c r="H51" s="165" t="str">
        <f t="shared" si="29"/>
        <v/>
      </c>
      <c r="I51" s="166">
        <f t="shared" si="30"/>
        <v>0.10246183633260282</v>
      </c>
      <c r="J51" s="1269"/>
      <c r="K51" s="3"/>
      <c r="L51" s="3"/>
      <c r="M51" s="3"/>
      <c r="N51" s="3"/>
      <c r="O51" s="3"/>
      <c r="P51" s="3"/>
      <c r="Q51" s="3"/>
      <c r="R51" s="3"/>
      <c r="S51" s="3"/>
      <c r="T51" s="3"/>
      <c r="U51" s="3"/>
      <c r="V51" s="3"/>
      <c r="W51" s="3"/>
    </row>
    <row r="52" spans="1:23" ht="15.75" customHeight="1">
      <c r="A52" s="3"/>
      <c r="B52" s="176" t="s">
        <v>312</v>
      </c>
      <c r="C52" s="161">
        <f>+Print_Mois!$J$373</f>
        <v>41863.679999999993</v>
      </c>
      <c r="D52" s="161">
        <f>+Print_Mois!$D$373</f>
        <v>0</v>
      </c>
      <c r="E52" s="161">
        <f>+Print_Mois!$O$373</f>
        <v>74831.27999999997</v>
      </c>
      <c r="F52" s="162">
        <f t="shared" si="27"/>
        <v>41863.679999999993</v>
      </c>
      <c r="G52" s="163">
        <f t="shared" si="28"/>
        <v>-32967.599999999977</v>
      </c>
      <c r="H52" s="165" t="str">
        <f t="shared" si="29"/>
        <v/>
      </c>
      <c r="I52" s="166">
        <f t="shared" si="30"/>
        <v>-0.44055908171021518</v>
      </c>
      <c r="J52" s="1269"/>
      <c r="K52" s="3"/>
      <c r="L52" s="3"/>
      <c r="M52" s="3"/>
      <c r="N52" s="3"/>
      <c r="O52" s="3"/>
      <c r="P52" s="3"/>
      <c r="Q52" s="3"/>
      <c r="R52" s="3"/>
      <c r="S52" s="3"/>
      <c r="T52" s="3"/>
      <c r="U52" s="3"/>
      <c r="V52" s="3"/>
      <c r="W52" s="3"/>
    </row>
    <row r="53" spans="1:23" ht="15.75" customHeight="1">
      <c r="A53" s="3"/>
      <c r="B53" s="176" t="s">
        <v>313</v>
      </c>
      <c r="C53" s="161">
        <f>+Print_Mois!$J$376</f>
        <v>147838.78000000003</v>
      </c>
      <c r="D53" s="161">
        <f>+Print_Mois!$D$376</f>
        <v>0</v>
      </c>
      <c r="E53" s="161">
        <f>+Print_Mois!$O$376</f>
        <v>193176.41999999993</v>
      </c>
      <c r="F53" s="162">
        <f t="shared" si="27"/>
        <v>147838.78000000003</v>
      </c>
      <c r="G53" s="163">
        <f t="shared" si="28"/>
        <v>-45337.639999999898</v>
      </c>
      <c r="H53" s="165" t="str">
        <f t="shared" si="29"/>
        <v/>
      </c>
      <c r="I53" s="166">
        <f t="shared" si="30"/>
        <v>-0.23469551822111578</v>
      </c>
      <c r="J53" s="1269"/>
      <c r="K53" s="3"/>
      <c r="L53" s="3"/>
      <c r="M53" s="3"/>
      <c r="N53" s="3"/>
      <c r="O53" s="3"/>
      <c r="P53" s="3"/>
      <c r="Q53" s="3"/>
      <c r="R53" s="3"/>
      <c r="S53" s="3"/>
      <c r="T53" s="3"/>
      <c r="U53" s="3"/>
      <c r="V53" s="3"/>
      <c r="W53" s="3"/>
    </row>
    <row r="54" spans="1:23" ht="15.75" customHeight="1">
      <c r="A54" s="3"/>
      <c r="B54" s="176" t="s">
        <v>314</v>
      </c>
      <c r="C54" s="161">
        <f>+Print_Mois!$J$383</f>
        <v>39663.960000000021</v>
      </c>
      <c r="D54" s="161">
        <f>+Print_Mois!$D$383</f>
        <v>0</v>
      </c>
      <c r="E54" s="161">
        <f>+Print_Mois!$O$383</f>
        <v>20398.25</v>
      </c>
      <c r="F54" s="162">
        <f t="shared" si="27"/>
        <v>39663.960000000021</v>
      </c>
      <c r="G54" s="163">
        <f t="shared" si="28"/>
        <v>19265.710000000021</v>
      </c>
      <c r="H54" s="165" t="str">
        <f t="shared" si="29"/>
        <v/>
      </c>
      <c r="I54" s="166">
        <f t="shared" si="30"/>
        <v>0.94447857046560468</v>
      </c>
      <c r="J54" s="1269"/>
      <c r="K54" s="3"/>
      <c r="L54" s="3"/>
      <c r="M54" s="3"/>
      <c r="N54" s="3"/>
      <c r="O54" s="3"/>
      <c r="P54" s="3"/>
      <c r="Q54" s="3"/>
      <c r="R54" s="3"/>
      <c r="S54" s="3"/>
      <c r="T54" s="3"/>
      <c r="U54" s="3"/>
      <c r="V54" s="3"/>
      <c r="W54" s="3"/>
    </row>
    <row r="55" spans="1:23" ht="15.75" customHeight="1">
      <c r="A55" s="3"/>
      <c r="B55" s="176" t="s">
        <v>315</v>
      </c>
      <c r="C55" s="161">
        <f t="shared" ref="C55:E55" si="31">+C50-SUM(C51:C54)</f>
        <v>86102.039999999979</v>
      </c>
      <c r="D55" s="161">
        <f t="shared" si="31"/>
        <v>0</v>
      </c>
      <c r="E55" s="161">
        <f t="shared" si="31"/>
        <v>87853.599999999977</v>
      </c>
      <c r="F55" s="162">
        <f t="shared" si="27"/>
        <v>86102.039999999979</v>
      </c>
      <c r="G55" s="163">
        <f t="shared" si="28"/>
        <v>-1751.5599999999977</v>
      </c>
      <c r="H55" s="165" t="str">
        <f t="shared" si="29"/>
        <v/>
      </c>
      <c r="I55" s="166">
        <f t="shared" si="30"/>
        <v>-1.9937259258584715E-2</v>
      </c>
      <c r="J55" s="1269"/>
      <c r="K55" s="3"/>
      <c r="L55" s="3"/>
      <c r="M55" s="3"/>
      <c r="N55" s="3"/>
      <c r="O55" s="3"/>
      <c r="P55" s="3"/>
      <c r="Q55" s="3"/>
      <c r="R55" s="3"/>
      <c r="S55" s="3"/>
      <c r="T55" s="3"/>
      <c r="U55" s="3"/>
      <c r="V55" s="3"/>
      <c r="W55" s="3"/>
    </row>
    <row r="56" spans="1:23" ht="15.75" customHeight="1">
      <c r="A56" s="3"/>
      <c r="B56" s="154" t="s">
        <v>302</v>
      </c>
      <c r="C56" s="195">
        <f>+Print_Mois!$L$390</f>
        <v>95727.829999999973</v>
      </c>
      <c r="D56" s="195">
        <f>+Print_Mois!$F$390</f>
        <v>0</v>
      </c>
      <c r="E56" s="195">
        <f>+Print_Mois!$Q$390</f>
        <v>116102.0199999999</v>
      </c>
      <c r="F56" s="196">
        <f t="shared" si="27"/>
        <v>95727.829999999973</v>
      </c>
      <c r="G56" s="197">
        <f t="shared" si="28"/>
        <v>-20374.18999999993</v>
      </c>
      <c r="H56" s="198" t="str">
        <f t="shared" si="29"/>
        <v/>
      </c>
      <c r="I56" s="199">
        <f t="shared" si="30"/>
        <v>-0.17548523272893915</v>
      </c>
      <c r="J56" s="1269"/>
      <c r="K56" s="3"/>
      <c r="L56" s="3"/>
      <c r="M56" s="3"/>
      <c r="N56" s="3"/>
      <c r="O56" s="3"/>
      <c r="P56" s="3"/>
      <c r="Q56" s="3"/>
      <c r="R56" s="3"/>
      <c r="S56" s="3"/>
      <c r="T56" s="3"/>
      <c r="U56" s="3"/>
      <c r="V56" s="3"/>
      <c r="W56" s="3"/>
    </row>
    <row r="57" spans="1:23" ht="15.75" customHeight="1">
      <c r="A57" s="3"/>
      <c r="B57" s="160" t="s">
        <v>303</v>
      </c>
      <c r="C57" s="161">
        <f>+Print_Mois!$J$371/Print_Mois!$J$246</f>
        <v>259.06731601731599</v>
      </c>
      <c r="D57" s="161" t="str">
        <f>+IFERROR(Print_Mois!$D$371/Print_Mois!$D$246,"")</f>
        <v/>
      </c>
      <c r="E57" s="161">
        <f>+Print_Mois!$O$371/Print_Mois!$O$246</f>
        <v>259.72559808612453</v>
      </c>
      <c r="F57" s="162" t="str">
        <f t="shared" si="27"/>
        <v/>
      </c>
      <c r="G57" s="163">
        <f t="shared" si="28"/>
        <v>-0.65828206880854623</v>
      </c>
      <c r="H57" s="165" t="str">
        <f t="shared" si="29"/>
        <v/>
      </c>
      <c r="I57" s="166">
        <f t="shared" si="30"/>
        <v>-2.5345290324069679E-3</v>
      </c>
      <c r="J57" s="1269"/>
      <c r="K57" s="3"/>
      <c r="L57" s="3"/>
      <c r="M57" s="3"/>
      <c r="N57" s="3"/>
      <c r="O57" s="3"/>
      <c r="P57" s="3"/>
      <c r="Q57" s="3"/>
      <c r="R57" s="3"/>
      <c r="S57" s="3"/>
      <c r="T57" s="3"/>
      <c r="U57" s="3"/>
      <c r="V57" s="3"/>
      <c r="W57" s="3"/>
    </row>
    <row r="58" spans="1:23" ht="15.75" customHeight="1">
      <c r="A58" s="3"/>
      <c r="B58" s="160" t="s">
        <v>304</v>
      </c>
      <c r="C58" s="161">
        <f>+Print_Mois!$J$373/Print_Mois!$J$249</f>
        <v>198.40606635071086</v>
      </c>
      <c r="D58" s="161" t="str">
        <f>+IFERROR(Print_Mois!$D$373/Print_Mois!$D$249,"")</f>
        <v/>
      </c>
      <c r="E58" s="161">
        <f>+Print_Mois!$O$373/Print_Mois!$O$249</f>
        <v>228.14414634146331</v>
      </c>
      <c r="F58" s="162" t="str">
        <f t="shared" si="27"/>
        <v/>
      </c>
      <c r="G58" s="163">
        <f t="shared" si="28"/>
        <v>-29.738079990752453</v>
      </c>
      <c r="H58" s="165" t="str">
        <f t="shared" si="29"/>
        <v/>
      </c>
      <c r="I58" s="166">
        <f t="shared" si="30"/>
        <v>-0.13034776682914964</v>
      </c>
      <c r="J58" s="1269"/>
      <c r="K58" s="3"/>
      <c r="L58" s="3"/>
      <c r="M58" s="3"/>
      <c r="N58" s="3"/>
      <c r="O58" s="3"/>
      <c r="P58" s="3"/>
      <c r="Q58" s="3"/>
      <c r="R58" s="3"/>
      <c r="S58" s="3"/>
      <c r="T58" s="3"/>
      <c r="U58" s="3"/>
      <c r="V58" s="3"/>
      <c r="W58" s="3"/>
    </row>
    <row r="59" spans="1:23" ht="15.75" customHeight="1">
      <c r="A59" s="3"/>
      <c r="B59" s="200" t="s">
        <v>118</v>
      </c>
      <c r="C59" s="179">
        <f>+Print_Mois!$L$396</f>
        <v>7870.5900000000256</v>
      </c>
      <c r="D59" s="179">
        <f>+Print_Mois!$F$396</f>
        <v>0</v>
      </c>
      <c r="E59" s="179">
        <f>+Print_Mois!$Q$396</f>
        <v>21239.360000000015</v>
      </c>
      <c r="F59" s="180">
        <f t="shared" si="27"/>
        <v>7870.5900000000256</v>
      </c>
      <c r="G59" s="181">
        <f t="shared" si="28"/>
        <v>-13368.76999999999</v>
      </c>
      <c r="H59" s="182" t="str">
        <f t="shared" si="29"/>
        <v/>
      </c>
      <c r="I59" s="183">
        <f t="shared" si="30"/>
        <v>-0.62943374941617736</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0.28170915297398852</v>
      </c>
      <c r="D62" s="164" t="e">
        <f>+Print_Mois!$Z$520/Print_Mois!$Z$494</f>
        <v>#REF!</v>
      </c>
      <c r="E62" s="164">
        <f>+Print_Mois!$AL$520/Print_Mois!$AL$494</f>
        <v>0.41820511883638767</v>
      </c>
      <c r="F62" s="167" t="str">
        <f t="shared" ref="F62:G67" si="32">+IFERROR($C62-D62,"")</f>
        <v/>
      </c>
      <c r="G62" s="168">
        <f t="shared" si="32"/>
        <v>-0.13649596586239915</v>
      </c>
      <c r="H62" s="165" t="str">
        <f t="shared" ref="H62:H67" si="33">+IFERROR(F62/ABS($D62),"")</f>
        <v/>
      </c>
      <c r="I62" s="166">
        <f t="shared" ref="I62:I67" si="34">+IFERROR(G62/ABS($E62),"")</f>
        <v>-0.32638521078408844</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-49636.75</v>
      </c>
      <c r="D64" s="161">
        <f>+Print_Mois!$Z$501+Print_Mois!$Z$521</f>
        <v>0</v>
      </c>
      <c r="E64" s="161">
        <f>+Print_Mois!$AL$501+Print_Mois!$AL$521</f>
        <v>-84471.44</v>
      </c>
      <c r="F64" s="162">
        <f t="shared" si="32"/>
        <v>-49636.75</v>
      </c>
      <c r="G64" s="163">
        <f t="shared" si="32"/>
        <v>34834.69</v>
      </c>
      <c r="H64" s="165" t="str">
        <f t="shared" si="33"/>
        <v/>
      </c>
      <c r="I64" s="166">
        <f t="shared" si="34"/>
        <v>0.41238423306149391</v>
      </c>
      <c r="J64" s="1269"/>
      <c r="K64" s="3"/>
      <c r="L64" s="3"/>
      <c r="M64" s="3"/>
      <c r="N64" s="3"/>
      <c r="O64" s="3"/>
      <c r="P64" s="3"/>
      <c r="Q64" s="3"/>
      <c r="R64" s="3"/>
      <c r="S64" s="3"/>
      <c r="T64" s="3"/>
      <c r="U64" s="3"/>
      <c r="V64" s="3"/>
      <c r="W64" s="3"/>
    </row>
    <row r="65" spans="1:23" ht="15.75" customHeight="1">
      <c r="A65" s="3"/>
      <c r="B65" s="176" t="s">
        <v>320</v>
      </c>
      <c r="C65" s="161">
        <f>+Print_Mois!$AF$539-Print_Mois!$AF$521</f>
        <v>100104.40999999999</v>
      </c>
      <c r="D65" s="161">
        <f>+Print_Mois!$Z$539-Print_Mois!$Z$521</f>
        <v>0</v>
      </c>
      <c r="E65" s="161">
        <f>+Print_Mois!$AL$539-Print_Mois!$AL$521</f>
        <v>147755.73000000001</v>
      </c>
      <c r="F65" s="162">
        <f t="shared" si="32"/>
        <v>100104.40999999999</v>
      </c>
      <c r="G65" s="163">
        <f t="shared" si="32"/>
        <v>-47651.320000000022</v>
      </c>
      <c r="H65" s="165" t="str">
        <f t="shared" si="33"/>
        <v/>
      </c>
      <c r="I65" s="166">
        <f t="shared" si="34"/>
        <v>-0.32250065699651725</v>
      </c>
      <c r="J65" s="1269"/>
      <c r="K65" s="3"/>
      <c r="L65" s="3"/>
      <c r="M65" s="3"/>
      <c r="N65" s="3"/>
      <c r="O65" s="3"/>
      <c r="P65" s="3"/>
      <c r="Q65" s="3"/>
      <c r="R65" s="3"/>
      <c r="S65" s="3"/>
      <c r="T65" s="3"/>
      <c r="U65" s="3"/>
      <c r="V65" s="3"/>
      <c r="W65" s="3"/>
    </row>
    <row r="66" spans="1:23" ht="15.75" customHeight="1">
      <c r="A66" s="3"/>
      <c r="B66" s="176" t="s">
        <v>321</v>
      </c>
      <c r="C66" s="161">
        <f>+Print_Mois!$AF$502</f>
        <v>49363.389999999985</v>
      </c>
      <c r="D66" s="161">
        <f>+Print_Mois!$Z$502</f>
        <v>0</v>
      </c>
      <c r="E66" s="161">
        <f>+Print_Mois!$AL$502</f>
        <v>58233.439999999944</v>
      </c>
      <c r="F66" s="162">
        <f t="shared" si="32"/>
        <v>49363.389999999985</v>
      </c>
      <c r="G66" s="163">
        <f t="shared" si="32"/>
        <v>-8870.0499999999593</v>
      </c>
      <c r="H66" s="165" t="str">
        <f t="shared" si="33"/>
        <v/>
      </c>
      <c r="I66" s="166">
        <f t="shared" si="34"/>
        <v>-0.15231883948466668</v>
      </c>
      <c r="J66" s="1269"/>
      <c r="K66" s="3"/>
      <c r="L66" s="3"/>
      <c r="M66" s="3"/>
      <c r="N66" s="3"/>
      <c r="O66" s="3"/>
      <c r="P66" s="3"/>
      <c r="Q66" s="3"/>
      <c r="R66" s="3"/>
      <c r="S66" s="3"/>
      <c r="T66" s="3"/>
      <c r="U66" s="3"/>
      <c r="V66" s="3"/>
      <c r="W66" s="3"/>
    </row>
    <row r="67" spans="1:23" ht="14.4">
      <c r="A67" s="3"/>
      <c r="B67" s="178" t="s">
        <v>322</v>
      </c>
      <c r="C67" s="179">
        <f>+Print_Mois!$AF$568-C32-C15</f>
        <v>0</v>
      </c>
      <c r="D67" s="179">
        <f>+Print_Mois!$Z$568-D32-D15</f>
        <v>0</v>
      </c>
      <c r="E67" s="179">
        <f>+Print_Mois!$AL$568-E32-E15</f>
        <v>139981.76000000001</v>
      </c>
      <c r="F67" s="180">
        <f t="shared" si="32"/>
        <v>0</v>
      </c>
      <c r="G67" s="181">
        <f t="shared" si="32"/>
        <v>-139981.76000000001</v>
      </c>
      <c r="H67" s="182" t="str">
        <f t="shared" si="33"/>
        <v/>
      </c>
      <c r="I67" s="183">
        <f t="shared" si="34"/>
        <v>-1</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-71391.799999999959</v>
      </c>
      <c r="D70" s="161">
        <f>+Print_Mois!$Z$506-Print_Mois!$Z$502+Print_Mois!$Z$521+Print_Mois!$Z$522+Print_Mois!$Z$523</f>
        <v>0</v>
      </c>
      <c r="E70" s="161">
        <f>+Print_Mois!$AL$506-Print_Mois!$AL$502+Print_Mois!$AL$521+Print_Mois!$AL$522+Print_Mois!$AL$523</f>
        <v>-185158.33000000016</v>
      </c>
      <c r="F70" s="220">
        <f t="shared" ref="F70:G77" si="35">+IFERROR($C70-D70,"")</f>
        <v>-71391.799999999959</v>
      </c>
      <c r="G70" s="221">
        <f t="shared" si="35"/>
        <v>113766.5300000002</v>
      </c>
      <c r="H70" s="165" t="str">
        <f t="shared" ref="H70:H77" si="36">+IFERROR(F70/ABS($D70),"")</f>
        <v/>
      </c>
      <c r="I70" s="166">
        <f t="shared" ref="I70:I77" si="37">+IFERROR(G70/ABS($E70),"")</f>
        <v>0.6144283651726612</v>
      </c>
      <c r="J70" s="1268" t="s">
        <v>1092</v>
      </c>
      <c r="K70" s="3"/>
      <c r="L70" s="3"/>
      <c r="M70" s="3"/>
      <c r="N70" s="3"/>
      <c r="O70" s="3"/>
      <c r="P70" s="3"/>
      <c r="Q70" s="3"/>
      <c r="R70" s="3"/>
      <c r="S70" s="3"/>
      <c r="T70" s="3"/>
      <c r="U70" s="3"/>
      <c r="V70" s="3"/>
      <c r="W70" s="3"/>
    </row>
    <row r="71" spans="1:23" ht="15.75" customHeight="1">
      <c r="A71" s="3"/>
      <c r="B71" s="176" t="s">
        <v>325</v>
      </c>
      <c r="C71" s="164">
        <f>+C70/Print_Mois!$AF$494</f>
        <v>-0.12738799404405038</v>
      </c>
      <c r="D71" s="164" t="e">
        <f>+D70/Print_Mois!$Z$494</f>
        <v>#REF!</v>
      </c>
      <c r="E71" s="164">
        <f>+E70/Print_Mois!$AL$494</f>
        <v>-0.22349938862419277</v>
      </c>
      <c r="F71" s="167" t="str">
        <f t="shared" si="35"/>
        <v/>
      </c>
      <c r="G71" s="168">
        <f t="shared" si="35"/>
        <v>9.6111394580142395E-2</v>
      </c>
      <c r="H71" s="165" t="str">
        <f t="shared" si="36"/>
        <v/>
      </c>
      <c r="I71" s="166">
        <f t="shared" si="37"/>
        <v>0.43002978742707298</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440101.98000000004</v>
      </c>
      <c r="D72" s="161">
        <f>+Print_Mois!$Z$553+Print_Mois!$Z$520+Print_Mois!$Z$524+Print_Mois!$Z$526+SUM(Print_Mois!$Z$527:$Z$535)+Print_Mois!$Z$525</f>
        <v>0</v>
      </c>
      <c r="E72" s="161">
        <f>+Print_Mois!$AL$553+Print_Mois!$AL$520+Print_Mois!$AL$524+Print_Mois!$AL$526+SUM(Print_Mois!$AL$527:$AL$535)+Print_Mois!$AL$525</f>
        <v>625087.23999999987</v>
      </c>
      <c r="F72" s="162">
        <f t="shared" si="35"/>
        <v>440101.98000000004</v>
      </c>
      <c r="G72" s="163">
        <f t="shared" si="35"/>
        <v>-184985.25999999983</v>
      </c>
      <c r="H72" s="165" t="str">
        <f t="shared" si="36"/>
        <v/>
      </c>
      <c r="I72" s="166">
        <f t="shared" si="37"/>
        <v>-0.29593510819385765</v>
      </c>
      <c r="J72" s="1269"/>
      <c r="K72" s="3"/>
      <c r="L72" s="3"/>
      <c r="M72" s="3"/>
      <c r="N72" s="3"/>
      <c r="O72" s="3"/>
      <c r="P72" s="3"/>
      <c r="Q72" s="3"/>
      <c r="R72" s="3"/>
      <c r="S72" s="3"/>
      <c r="T72" s="3"/>
      <c r="U72" s="3"/>
      <c r="V72" s="3"/>
      <c r="W72" s="3"/>
    </row>
    <row r="73" spans="1:23" ht="15.75" customHeight="1">
      <c r="A73" s="3"/>
      <c r="B73" s="176" t="s">
        <v>327</v>
      </c>
      <c r="C73" s="164">
        <f>+C72/Print_Mois!$AF$494</f>
        <v>0.78529618817588043</v>
      </c>
      <c r="D73" s="164" t="e">
        <f>+D72/Print_Mois!$Z$494</f>
        <v>#REF!</v>
      </c>
      <c r="E73" s="164">
        <f>+E72/Print_Mois!$AL$494</f>
        <v>0.75452514600225606</v>
      </c>
      <c r="F73" s="167" t="str">
        <f t="shared" si="35"/>
        <v/>
      </c>
      <c r="G73" s="168">
        <f t="shared" si="35"/>
        <v>3.0771042173624363E-2</v>
      </c>
      <c r="H73" s="165" t="str">
        <f t="shared" si="36"/>
        <v/>
      </c>
      <c r="I73" s="166">
        <f t="shared" si="37"/>
        <v>4.0781996911117335E-2</v>
      </c>
      <c r="J73" s="1269"/>
      <c r="K73" s="3"/>
      <c r="L73" s="3"/>
      <c r="M73" s="3"/>
      <c r="N73" s="3"/>
      <c r="O73" s="3"/>
      <c r="P73" s="3"/>
      <c r="Q73" s="3"/>
      <c r="R73" s="3"/>
      <c r="S73" s="3"/>
      <c r="T73" s="3"/>
      <c r="U73" s="3"/>
      <c r="V73" s="3"/>
      <c r="W73" s="3"/>
    </row>
    <row r="74" spans="1:23" ht="15.75" customHeight="1">
      <c r="A74" s="1"/>
      <c r="B74" s="206" t="s">
        <v>328</v>
      </c>
      <c r="C74" s="195">
        <f>+Print_Mois!$AF$570+Print_Mois!$AF$502</f>
        <v>242874.45000000737</v>
      </c>
      <c r="D74" s="195" t="e">
        <f>+Print_Mois!$Z$570+Print_Mois!$Z$502</f>
        <v>#REF!</v>
      </c>
      <c r="E74" s="195">
        <f>+Print_Mois!$AL$570+Print_Mois!$AL$502</f>
        <v>555335.53000001342</v>
      </c>
      <c r="F74" s="196" t="str">
        <f t="shared" si="35"/>
        <v/>
      </c>
      <c r="G74" s="197">
        <f t="shared" si="35"/>
        <v>-312461.08000000601</v>
      </c>
      <c r="H74" s="198" t="str">
        <f t="shared" si="36"/>
        <v/>
      </c>
      <c r="I74" s="199">
        <f t="shared" si="37"/>
        <v>-0.56265278038305677</v>
      </c>
      <c r="J74" s="1269"/>
      <c r="K74" s="1"/>
      <c r="L74" s="1"/>
      <c r="M74" s="1"/>
      <c r="N74" s="1"/>
      <c r="O74" s="1"/>
      <c r="P74" s="1"/>
      <c r="Q74" s="1"/>
      <c r="R74" s="1"/>
      <c r="S74" s="1"/>
      <c r="T74" s="1"/>
      <c r="U74" s="1"/>
      <c r="V74" s="1"/>
      <c r="W74" s="1"/>
    </row>
    <row r="75" spans="1:23" ht="15.75" customHeight="1">
      <c r="A75" s="3"/>
      <c r="B75" s="160" t="s">
        <v>329</v>
      </c>
      <c r="C75" s="222">
        <f>+C74/Print_Mois!$AF$493</f>
        <v>2.1923478455111629E-2</v>
      </c>
      <c r="D75" s="222" t="e">
        <f>+D74/Print_Mois!$Z$493</f>
        <v>#REF!</v>
      </c>
      <c r="E75" s="222">
        <f>+E74/Print_Mois!$AL$493</f>
        <v>3.3750274286999921E-2</v>
      </c>
      <c r="F75" s="167" t="str">
        <f t="shared" si="35"/>
        <v/>
      </c>
      <c r="G75" s="168">
        <f t="shared" si="35"/>
        <v>-1.1826795831888292E-2</v>
      </c>
      <c r="H75" s="165" t="str">
        <f t="shared" si="36"/>
        <v/>
      </c>
      <c r="I75" s="166">
        <f t="shared" si="37"/>
        <v>-0.35042073232701959</v>
      </c>
      <c r="J75" s="1269"/>
      <c r="K75" s="3"/>
      <c r="L75" s="3"/>
      <c r="M75" s="3"/>
      <c r="N75" s="3"/>
      <c r="O75" s="3"/>
      <c r="P75" s="3"/>
      <c r="Q75" s="3"/>
      <c r="R75" s="3"/>
      <c r="S75" s="3"/>
      <c r="T75" s="3"/>
      <c r="U75" s="3"/>
      <c r="V75" s="3"/>
      <c r="W75" s="3"/>
    </row>
    <row r="76" spans="1:23" ht="15.75" customHeight="1">
      <c r="A76" s="1"/>
      <c r="B76" s="206" t="s">
        <v>330</v>
      </c>
      <c r="C76" s="195">
        <f>N9+Print_Mois!$AF$585</f>
        <v>182701.06000000739</v>
      </c>
      <c r="D76" s="195" t="e">
        <f>+Print_Mois!$Z$585</f>
        <v>#REF!</v>
      </c>
      <c r="E76" s="195">
        <f>+Print_Mois!$AL$585</f>
        <v>486315.86000001349</v>
      </c>
      <c r="F76" s="196" t="str">
        <f t="shared" si="35"/>
        <v/>
      </c>
      <c r="G76" s="197">
        <f t="shared" si="35"/>
        <v>-303614.8000000061</v>
      </c>
      <c r="H76" s="198" t="str">
        <f t="shared" si="36"/>
        <v/>
      </c>
      <c r="I76" s="199">
        <f t="shared" si="37"/>
        <v>-0.6243160566468009</v>
      </c>
      <c r="J76" s="1269"/>
      <c r="K76" s="1"/>
      <c r="L76" s="1"/>
      <c r="M76" s="1"/>
      <c r="N76" s="1"/>
      <c r="O76" s="1"/>
      <c r="P76" s="1"/>
      <c r="Q76" s="1"/>
      <c r="R76" s="1"/>
      <c r="S76" s="1"/>
      <c r="T76" s="1"/>
      <c r="U76" s="1"/>
      <c r="V76" s="1"/>
      <c r="W76" s="1"/>
    </row>
    <row r="77" spans="1:23" ht="15.75" customHeight="1">
      <c r="A77" s="3"/>
      <c r="B77" s="178" t="s">
        <v>331</v>
      </c>
      <c r="C77" s="223">
        <f>+C76/Print_Mois!$AF$493</f>
        <v>1.6491824284670938E-2</v>
      </c>
      <c r="D77" s="223" t="e">
        <f>+D76/Print_Mois!$Z$493</f>
        <v>#REF!</v>
      </c>
      <c r="E77" s="223">
        <f>+E76/Print_Mois!$AL$493</f>
        <v>2.9555633987831304E-2</v>
      </c>
      <c r="F77" s="224" t="str">
        <f t="shared" si="35"/>
        <v/>
      </c>
      <c r="G77" s="225">
        <f t="shared" si="35"/>
        <v>-1.3063809703160366E-2</v>
      </c>
      <c r="H77" s="182" t="str">
        <f t="shared" si="36"/>
        <v/>
      </c>
      <c r="I77" s="183">
        <f t="shared" si="37"/>
        <v>-0.44200742601356546</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183349.45000000737</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206223.06000000739</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Septembre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Septembre 2026</v>
      </c>
      <c r="C87" s="671">
        <f>+C76</f>
        <v>182701.06000000739</v>
      </c>
      <c r="D87" s="662">
        <f>+Print_AAD!AF585</f>
        <v>1915797.0199999977</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Septembre 2026</v>
      </c>
      <c r="C88" s="672" t="e">
        <f>+D76</f>
        <v>#REF!</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Septembre 2025</v>
      </c>
      <c r="C89" s="675">
        <f>+E76</f>
        <v>486315.86000001349</v>
      </c>
      <c r="D89" s="665">
        <f>+Print_AAD!AL585</f>
        <v>3069879.8900000071</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92" zoomScale="80" zoomScaleNormal="80" workbookViewId="0">
      <selection activeCell="U179" sqref="U179"/>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Septembre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74" t="s">
        <v>339</v>
      </c>
      <c r="E3" s="1279"/>
      <c r="F3" s="1280"/>
      <c r="G3" s="1281"/>
      <c r="H3" s="1279"/>
      <c r="I3" s="1280"/>
      <c r="J3" s="1281" t="s">
        <v>340</v>
      </c>
      <c r="K3" s="1279"/>
      <c r="L3" s="1280"/>
      <c r="M3" s="1281" t="s">
        <v>668</v>
      </c>
      <c r="N3" s="1280"/>
      <c r="O3" s="1274" t="s">
        <v>341</v>
      </c>
      <c r="P3" s="1279"/>
      <c r="Q3" s="1280"/>
      <c r="R3" s="1273" t="s">
        <v>670</v>
      </c>
      <c r="S3" s="1282"/>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f>+INDEX('Budget original'!$A$2:$AO$501,MATCH($A5,'Budget original'!$A$2:$A$501,0),MATCH(F$2,'Budget original'!$A$2:$AO$2,0))</f>
        <v>0</v>
      </c>
      <c r="G5" s="239"/>
      <c r="H5" s="239"/>
      <c r="I5" s="241"/>
      <c r="J5" s="238"/>
      <c r="K5" s="949"/>
      <c r="L5" s="286">
        <f>-SUMIFS(BV_Data_An_Cour!$AM:$AM,BV_Data_An_Cour!$AS:$AS,"Oui",BV_Data_An_Cour!$AP:$AP,$B5)</f>
        <v>7352552.5600000052</v>
      </c>
      <c r="M5" s="242"/>
      <c r="N5" s="950"/>
      <c r="O5" s="238"/>
      <c r="P5" s="949"/>
      <c r="Q5" s="286">
        <f>-SUMIFS(BV_Data_An_Prec!$AM:$AM,BV_Data_An_Prec!$AS:$AS,"Oui",BV_Data_An_Prec!$AP:$AP,$B5)</f>
        <v>8922542.4800000098</v>
      </c>
      <c r="R5" s="242"/>
      <c r="S5" s="962"/>
      <c r="T5" s="35"/>
      <c r="U5" s="35">
        <f>L5/AF493</f>
        <v>0.66369075725845628</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f>+INDEX('Budget original'!$A$2:$AO$501,MATCH($A6,'Budget original'!$A$2:$A$501,0),MATCH(D$2,'Budget original'!$A$2:$AO$2,0))</f>
        <v>0</v>
      </c>
      <c r="E6" s="244">
        <f>IF(D6=0,0,F6/D6)</f>
        <v>0</v>
      </c>
      <c r="F6" s="244">
        <f>+INDEX('Budget original'!$A$2:$AO$501,MATCH($A6,'Budget original'!$A$2:$A$501,0),MATCH(F$2,'Budget original'!$A$2:$AO$2,0))</f>
        <v>0</v>
      </c>
      <c r="G6" s="245"/>
      <c r="H6" s="244"/>
      <c r="I6" s="244"/>
      <c r="J6" s="245">
        <f>SUMIFS(BV_Data_An_Cour!$AW:$AW,BV_Data_An_Cour!$AP:$AP,$B6,BV_Data_An_Cour!$AQ:$AQ,$C6,BV_Data_An_Cour!$AY:$AY,J$2)</f>
        <v>1</v>
      </c>
      <c r="K6" s="281">
        <f t="shared" ref="K6:K12" si="0">IF(J6=0,0,L6/J6)</f>
        <v>11544.359999999986</v>
      </c>
      <c r="L6" s="266">
        <f>-SUMIFS(BV_Data_An_Cour!$AM:$AM,BV_Data_An_Cour!$AP:$AP,$B6,BV_Data_An_Cour!$AQ:$AQ,$C6,BV_Data_An_Cour!$AR:$AR,L$2)</f>
        <v>11544.359999999986</v>
      </c>
      <c r="M6" s="245">
        <f t="shared" ref="M6:M12" si="1">J6-D6</f>
        <v>1</v>
      </c>
      <c r="N6" s="246">
        <f t="shared" ref="N6:N12" si="2">L6-F6</f>
        <v>11544.359999999986</v>
      </c>
      <c r="O6" s="245">
        <f>SUMIFS(BV_Data_An_Prec!$AW:$AW,BV_Data_An_Prec!$AP:$AP,$B6,BV_Data_An_Prec!$AQ:$AQ,$C6,BV_Data_An_Prec!$AY:$AY,O$2)</f>
        <v>0</v>
      </c>
      <c r="P6" s="281">
        <f t="shared" ref="P6:P12" si="3">IF(O6=0,0,Q6/O6)</f>
        <v>0</v>
      </c>
      <c r="Q6" s="266">
        <f>-SUMIFS(BV_Data_An_Prec!$AM:$AM,BV_Data_An_Prec!$AP:$AP,$B6,BV_Data_An_Prec!$AQ:$AQ,$C6,BV_Data_An_Prec!$AR:$AR,Q$2)</f>
        <v>0</v>
      </c>
      <c r="R6" s="267">
        <f>J6-O6</f>
        <v>1</v>
      </c>
      <c r="S6" s="266">
        <f>L6-Q6</f>
        <v>11544.359999999986</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f>+INDEX('Budget original'!$A$2:$AO$501,MATCH($A7,'Budget original'!$A$2:$A$501,0),MATCH(D$2,'Budget original'!$A$2:$AO$2,0))</f>
        <v>0</v>
      </c>
      <c r="E7" s="244">
        <f t="shared" ref="E7:E12" si="4">IF(D7=0,0,F7/D7)</f>
        <v>0</v>
      </c>
      <c r="F7" s="244">
        <f>+INDEX('Budget original'!$A$2:$AO$501,MATCH($A7,'Budget original'!$A$2:$A$501,0),MATCH(F$2,'Budget original'!$A$2:$AO$2,0))</f>
        <v>0</v>
      </c>
      <c r="G7" s="245"/>
      <c r="H7" s="244"/>
      <c r="I7" s="244"/>
      <c r="J7" s="245">
        <f>SUMIFS(BV_Data_An_Cour!$AW:$AW,BV_Data_An_Cour!$AP:$AP,$B7,BV_Data_An_Cour!$AQ:$AQ,$C7,BV_Data_An_Cour!$AY:$AY,J$2)</f>
        <v>29</v>
      </c>
      <c r="K7" s="281">
        <f t="shared" si="0"/>
        <v>1755.4627586206821</v>
      </c>
      <c r="L7" s="266">
        <f>-SUMIFS(BV_Data_An_Cour!$AM:$AM,BV_Data_An_Cour!$AP:$AP,$B7,BV_Data_An_Cour!$AQ:$AQ,$C7,BV_Data_An_Cour!$AR:$AR,L$2)</f>
        <v>50908.41999999978</v>
      </c>
      <c r="M7" s="245">
        <f t="shared" si="1"/>
        <v>29</v>
      </c>
      <c r="N7" s="246">
        <f t="shared" si="2"/>
        <v>50908.41999999978</v>
      </c>
      <c r="O7" s="245">
        <f>SUMIFS(BV_Data_An_Prec!$AW:$AW,BV_Data_An_Prec!$AP:$AP,$B7,BV_Data_An_Prec!$AQ:$AQ,$C7,BV_Data_An_Prec!$AY:$AY,O$2)</f>
        <v>38</v>
      </c>
      <c r="P7" s="281">
        <f t="shared" si="3"/>
        <v>2884.9065789473702</v>
      </c>
      <c r="Q7" s="266">
        <f>-SUMIFS(BV_Data_An_Prec!$AM:$AM,BV_Data_An_Prec!$AP:$AP,$B7,BV_Data_An_Prec!$AQ:$AQ,$C7,BV_Data_An_Prec!$AR:$AR,Q$2)</f>
        <v>109626.45000000007</v>
      </c>
      <c r="R7" s="267">
        <f>J7-O7</f>
        <v>-9</v>
      </c>
      <c r="S7" s="266">
        <f>L7-Q7</f>
        <v>-58718.03000000029</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f>+INDEX('Budget original'!$A$2:$AO$501,MATCH($A8,'Budget original'!$A$2:$A$501,0),MATCH(D$2,'Budget original'!$A$2:$AO$2,0))</f>
        <v>0</v>
      </c>
      <c r="E8" s="244">
        <f t="shared" si="4"/>
        <v>0</v>
      </c>
      <c r="F8" s="244">
        <f>+INDEX('Budget original'!$A$2:$AO$501,MATCH($A8,'Budget original'!$A$2:$A$501,0),MATCH(F$2,'Budget original'!$A$2:$AO$2,0))</f>
        <v>0</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f t="shared" si="1"/>
        <v>0</v>
      </c>
      <c r="N8" s="246">
        <f t="shared" si="2"/>
        <v>0</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f>+INDEX('Budget original'!$A$2:$AO$501,MATCH($A9,'Budget original'!$A$2:$A$501,0),MATCH(D$2,'Budget original'!$A$2:$AO$2,0))</f>
        <v>0</v>
      </c>
      <c r="E9" s="244">
        <f t="shared" si="4"/>
        <v>0</v>
      </c>
      <c r="F9" s="244">
        <f>+INDEX('Budget original'!$A$2:$AO$501,MATCH($A9,'Budget original'!$A$2:$A$501,0),MATCH(F$2,'Budget original'!$A$2:$AO$2,0))</f>
        <v>0</v>
      </c>
      <c r="G9" s="245"/>
      <c r="H9" s="244"/>
      <c r="I9" s="244"/>
      <c r="J9" s="245">
        <f>SUMIFS(BV_Data_An_Cour!$AW:$AW,BV_Data_An_Cour!$AP:$AP,$B9,BV_Data_An_Cour!$AQ:$AQ,$C9,BV_Data_An_Cour!$AY:$AY,J$2)</f>
        <v>47</v>
      </c>
      <c r="K9" s="281">
        <f t="shared" si="0"/>
        <v>1203.3200000000081</v>
      </c>
      <c r="L9" s="266">
        <f>-SUMIFS(BV_Data_An_Cour!$AM:$AM,BV_Data_An_Cour!$AP:$AP,$B9,BV_Data_An_Cour!$AQ:$AQ,$C9,BV_Data_An_Cour!$AR:$AR,L$2)</f>
        <v>56556.040000000386</v>
      </c>
      <c r="M9" s="245">
        <f t="shared" si="1"/>
        <v>47</v>
      </c>
      <c r="N9" s="246">
        <f t="shared" si="2"/>
        <v>56556.040000000386</v>
      </c>
      <c r="O9" s="245">
        <f>SUMIFS(BV_Data_An_Prec!$AW:$AW,BV_Data_An_Prec!$AP:$AP,$B9,BV_Data_An_Prec!$AQ:$AQ,$C9,BV_Data_An_Prec!$AY:$AY,O$2)</f>
        <v>24</v>
      </c>
      <c r="P9" s="281">
        <f t="shared" si="3"/>
        <v>1502.0999999999767</v>
      </c>
      <c r="Q9" s="266">
        <f>-SUMIFS(BV_Data_An_Prec!$AM:$AM,BV_Data_An_Prec!$AP:$AP,$B9,BV_Data_An_Prec!$AQ:$AQ,$C9,BV_Data_An_Prec!$AR:$AR,Q$2)</f>
        <v>36050.399999999441</v>
      </c>
      <c r="R9" s="267">
        <f>J9-O9</f>
        <v>23</v>
      </c>
      <c r="S9" s="266">
        <f t="shared" ref="S9:S12" si="5">L9-Q9</f>
        <v>20505.640000000945</v>
      </c>
      <c r="T9" s="35"/>
      <c r="U9" s="35" t="s">
        <v>3416</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f>+INDEX('Budget original'!$A$2:$AO$501,MATCH($A10,'Budget original'!$A$2:$A$501,0),MATCH(D$2,'Budget original'!$A$2:$AO$2,0))</f>
        <v>0</v>
      </c>
      <c r="E10" s="244">
        <f t="shared" si="4"/>
        <v>0</v>
      </c>
      <c r="F10" s="244">
        <f>+INDEX('Budget original'!$A$2:$AO$501,MATCH($A10,'Budget original'!$A$2:$A$501,0),MATCH(F$2,'Budget original'!$A$2:$AO$2,0))</f>
        <v>0</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f t="shared" si="1"/>
        <v>0</v>
      </c>
      <c r="N10" s="246">
        <f t="shared" si="2"/>
        <v>0</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f>+INDEX('Budget original'!$A$2:$AO$501,MATCH($A11,'Budget original'!$A$2:$A$501,0),MATCH(D$2,'Budget original'!$A$2:$AO$2,0))</f>
        <v>0</v>
      </c>
      <c r="E11" s="244">
        <f t="shared" si="4"/>
        <v>0</v>
      </c>
      <c r="F11" s="244">
        <f>+INDEX('Budget original'!$A$2:$AO$501,MATCH($A11,'Budget original'!$A$2:$A$501,0),MATCH(F$2,'Budget original'!$A$2:$AO$2,0))</f>
        <v>0</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f t="shared" si="1"/>
        <v>0</v>
      </c>
      <c r="N11" s="246">
        <f t="shared" si="2"/>
        <v>0</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f>+INDEX('Budget original'!$A$2:$AO$501,MATCH($A12,'Budget original'!$A$2:$A$501,0),MATCH(D$2,'Budget original'!$A$2:$AO$2,0))</f>
        <v>0</v>
      </c>
      <c r="E12" s="244">
        <f t="shared" si="4"/>
        <v>0</v>
      </c>
      <c r="F12" s="244">
        <f>+INDEX('Budget original'!$A$2:$AO$501,MATCH($A12,'Budget original'!$A$2:$A$501,0),MATCH(F$2,'Budget original'!$A$2:$AO$2,0))</f>
        <v>0</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f t="shared" si="1"/>
        <v>0</v>
      </c>
      <c r="N12" s="246">
        <f t="shared" si="2"/>
        <v>0</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f>+SUM(D6:D12)</f>
        <v>0</v>
      </c>
      <c r="E13" s="250">
        <f>IF(D13&lt;=0,0,F13/D13)</f>
        <v>0</v>
      </c>
      <c r="F13" s="251">
        <f>+SUM(F6:F12)</f>
        <v>0</v>
      </c>
      <c r="G13" s="252"/>
      <c r="H13" s="250"/>
      <c r="I13" s="251"/>
      <c r="J13" s="252">
        <f>+SUM(J6:J12)</f>
        <v>77</v>
      </c>
      <c r="K13" s="355">
        <f>IF(J13&lt;=0,0,L13/J13)</f>
        <v>1545.5690909090929</v>
      </c>
      <c r="L13" s="356">
        <f>+SUM(L6:L12)</f>
        <v>119008.82000000015</v>
      </c>
      <c r="M13" s="252">
        <f>+SUM(M6:M12)</f>
        <v>77</v>
      </c>
      <c r="N13" s="251">
        <f>+SUM(N6:N12)</f>
        <v>119008.82000000015</v>
      </c>
      <c r="O13" s="252">
        <f>+SUM(O6:O12)</f>
        <v>62</v>
      </c>
      <c r="P13" s="355">
        <f>IF(O13&lt;=0,0,Q13/O13)</f>
        <v>2349.6266129032178</v>
      </c>
      <c r="Q13" s="356">
        <f>+SUM(Q6:Q12)</f>
        <v>145676.84999999951</v>
      </c>
      <c r="R13" s="357">
        <f>+SUM(R6:R12)</f>
        <v>15</v>
      </c>
      <c r="S13" s="356">
        <f>+SUM(S6:S12)</f>
        <v>-26668.029999999359</v>
      </c>
      <c r="T13" s="35">
        <v>76</v>
      </c>
      <c r="U13" s="1238">
        <v>119029</v>
      </c>
      <c r="V13" s="1239">
        <f>L13-U13</f>
        <v>-20.179999999847496</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f>IF(D13=0,0,M13/D13)</f>
        <v>0</v>
      </c>
      <c r="N14" s="951">
        <f>IF(F13=0,0,N13/F13)</f>
        <v>0</v>
      </c>
      <c r="O14" s="260"/>
      <c r="P14" s="305"/>
      <c r="Q14" s="343"/>
      <c r="R14" s="676">
        <f>R13/O13</f>
        <v>0.24193548387096775</v>
      </c>
      <c r="S14" s="255">
        <f>IF(Q13=0,0,(S13/Q13))</f>
        <v>-0.18306292317550418</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f>+INDEX('Budget original'!$A$2:$AO$501,MATCH($A15,'Budget original'!$A$2:$A$501,0),MATCH(D$2,'Budget original'!$A$2:$AO$2,0))</f>
        <v>0</v>
      </c>
      <c r="E15" s="259">
        <f>IF(D15=0,0,F15/D15)</f>
        <v>0</v>
      </c>
      <c r="F15" s="324">
        <f>+INDEX('Budget original'!$A$2:$AO$501,MATCH($A15,'Budget original'!$A$2:$A$501,0),MATCH(F$2,'Budget original'!$A$2:$AO$2,0))</f>
        <v>0</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f>J15-D15</f>
        <v>0</v>
      </c>
      <c r="N15" s="240">
        <f>L15-F15</f>
        <v>0</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f>+INDEX('Budget original'!$A$2:$AO$501,MATCH($A17,'Budget original'!$A$2:$A$501,0),MATCH(D$2,'Budget original'!$A$2:$AO$2,0))</f>
        <v>0</v>
      </c>
      <c r="E17" s="711">
        <f>IF(D17=0,0,F17/D17)</f>
        <v>0</v>
      </c>
      <c r="F17" s="711">
        <f>+INDEX('Budget original'!$A$2:$AO$501,MATCH($A17,'Budget original'!$A$2:$A$501,0),MATCH(F$2,'Budget original'!$A$2:$AO$2,0))</f>
        <v>0</v>
      </c>
      <c r="G17" s="265"/>
      <c r="H17" s="711"/>
      <c r="I17" s="711"/>
      <c r="J17" s="257">
        <f>SUMIFS(BV_Data_An_Cour!$AW:$AW,BV_Data_An_Cour!$AP:$AP,$B17,BV_Data_An_Cour!$AQ:$AQ,$C17,BV_Data_An_Cour!$AY:$AY,J$2)</f>
        <v>51</v>
      </c>
      <c r="K17" s="281">
        <f>IF(J17=0,0,L17/J17)</f>
        <v>799.28000000016948</v>
      </c>
      <c r="L17" s="266">
        <f>-SUMIFS(BV_Data_An_Cour!$AM:$AM,BV_Data_An_Cour!$AP:$AP,$B17,BV_Data_An_Cour!$AQ:$AQ,$C17,BV_Data_An_Cour!$AR:$AR,L$2)</f>
        <v>40763.280000008643</v>
      </c>
      <c r="M17" s="257">
        <f>J17-D17</f>
        <v>51</v>
      </c>
      <c r="N17" s="246">
        <f>L17-F17</f>
        <v>40763.280000008643</v>
      </c>
      <c r="O17" s="257">
        <f>SUMIFS(BV_Data_An_Prec!$AW:$AW,BV_Data_An_Prec!$AP:$AP,$B17,BV_Data_An_Prec!$AQ:$AQ,$C17,BV_Data_An_Prec!$AY:$AY,O$2)</f>
        <v>82</v>
      </c>
      <c r="P17" s="281">
        <f>IF(O17=0,0,Q17/O17)</f>
        <v>669.57853658551846</v>
      </c>
      <c r="Q17" s="266">
        <f>-SUMIFS(BV_Data_An_Prec!$AM:$AM,BV_Data_An_Prec!$AP:$AP,$B17,BV_Data_An_Prec!$AQ:$AQ,$C17,BV_Data_An_Prec!$AR:$AR,Q$2)</f>
        <v>54905.440000012517</v>
      </c>
      <c r="R17" s="267">
        <f>J17-O17</f>
        <v>-31</v>
      </c>
      <c r="S17" s="266">
        <f>L17-Q17</f>
        <v>-14142.160000003874</v>
      </c>
      <c r="T17" s="35">
        <v>42</v>
      </c>
      <c r="U17" s="1238">
        <v>37617</v>
      </c>
      <c r="V17" s="1239">
        <f>L17-U17</f>
        <v>3146.2800000086427</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f>+INDEX('Budget original'!$A$2:$AO$501,MATCH($A21,'Budget original'!$A$2:$A$501,0),MATCH(D$2,'Budget original'!$A$2:$AO$2,0))</f>
        <v>0</v>
      </c>
      <c r="E21" s="244">
        <f>IF(D21=0,0,F21/D21)</f>
        <v>0</v>
      </c>
      <c r="F21" s="244">
        <f>+INDEX('Budget original'!$A$2:$AO$501,MATCH($A21,'Budget original'!$A$2:$A$501,0),MATCH(F$2,'Budget original'!$A$2:$AO$2,0))</f>
        <v>0</v>
      </c>
      <c r="G21" s="245"/>
      <c r="H21" s="244"/>
      <c r="I21" s="244"/>
      <c r="J21" s="245"/>
      <c r="K21" s="281">
        <f>IF(J13=0,0,L21/(J13+J15))</f>
        <v>28.922727272727265</v>
      </c>
      <c r="L21" s="266">
        <f>-SUMIFS(BV_Data_An_Cour!$AM:$AM,BV_Data_An_Cour!$AP:$AP,$B21,BV_Data_An_Cour!$AQ:$AQ,$C21,BV_Data_An_Cour!$AR:$AR,L$2)</f>
        <v>2227.0499999999993</v>
      </c>
      <c r="M21" s="245"/>
      <c r="N21" s="246">
        <f>L21-F21</f>
        <v>2227.0499999999993</v>
      </c>
      <c r="O21" s="245"/>
      <c r="P21" s="281">
        <f>IF(O13=0,0,Q21/(O13+O15))</f>
        <v>0</v>
      </c>
      <c r="Q21" s="266">
        <f>-SUMIFS(BV_Data_An_Prec!$AM:$AM,BV_Data_An_Prec!$AP:$AP,$B21,BV_Data_An_Prec!$AQ:$AQ,$C21,BV_Data_An_Prec!$AR:$AR,Q$2)</f>
        <v>0</v>
      </c>
      <c r="R21" s="267">
        <f>P21-K21</f>
        <v>-28.922727272727265</v>
      </c>
      <c r="S21" s="266">
        <f t="shared" ref="S21:S23" si="7">L21-Q21</f>
        <v>2227.0499999999993</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f>+INDEX('Budget original'!$A$2:$AO$501,MATCH($A22,'Budget original'!$A$2:$A$501,0),MATCH(D$2,'Budget original'!$A$2:$AO$2,0))</f>
        <v>0</v>
      </c>
      <c r="E22" s="244">
        <f>IF(D22=0,0,F22/D22)</f>
        <v>0</v>
      </c>
      <c r="F22" s="244">
        <f>+INDEX('Budget original'!$A$2:$AO$501,MATCH($A22,'Budget original'!$A$2:$A$501,0),MATCH(F$2,'Budget original'!$A$2:$AO$2,0))</f>
        <v>0</v>
      </c>
      <c r="G22" s="245"/>
      <c r="H22" s="244"/>
      <c r="I22" s="244"/>
      <c r="J22" s="245"/>
      <c r="K22" s="281">
        <f>IF(J13=0,0,L22/(J13+J15))</f>
        <v>548.63597402597304</v>
      </c>
      <c r="L22" s="266">
        <f>-SUMIFS(BV_Data_An_Cour!$AM:$AM,BV_Data_An_Cour!$AP:$AP,$B22,BV_Data_An_Cour!$AQ:$AQ,$C22,BV_Data_An_Cour!$AR:$AR,L$2)</f>
        <v>42244.969999999928</v>
      </c>
      <c r="M22" s="245"/>
      <c r="N22" s="246">
        <f>L22-F22</f>
        <v>42244.969999999928</v>
      </c>
      <c r="O22" s="245"/>
      <c r="P22" s="281">
        <f>IF(O13=0,0,Q22/(O13+O15))</f>
        <v>752.96161290322573</v>
      </c>
      <c r="Q22" s="266">
        <f>-SUMIFS(BV_Data_An_Prec!$AM:$AM,BV_Data_An_Prec!$AP:$AP,$B22,BV_Data_An_Prec!$AQ:$AQ,$C22,BV_Data_An_Prec!$AR:$AR,Q$2)</f>
        <v>46683.619999999995</v>
      </c>
      <c r="R22" s="267">
        <f t="shared" ref="R22:R23" si="8">P22-K22</f>
        <v>204.32563887725269</v>
      </c>
      <c r="S22" s="266">
        <f t="shared" si="7"/>
        <v>-4438.6500000000669</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f>+INDEX('Budget original'!$A$2:$AO$501,MATCH($A23,'Budget original'!$A$2:$A$501,0),MATCH(D$2,'Budget original'!$A$2:$AO$2,0))</f>
        <v>0</v>
      </c>
      <c r="E23" s="244">
        <f>IF(D23=0,0,F23/D23)</f>
        <v>0</v>
      </c>
      <c r="F23" s="244">
        <f>+INDEX('Budget original'!$A$2:$AO$501,MATCH($A23,'Budget original'!$A$2:$A$501,0),MATCH(F$2,'Budget original'!$A$2:$AO$2,0))</f>
        <v>0</v>
      </c>
      <c r="G23" s="245"/>
      <c r="H23" s="244"/>
      <c r="I23" s="244"/>
      <c r="J23" s="245"/>
      <c r="K23" s="281">
        <f>IF(J13=0,0,L23/(J13+J15))</f>
        <v>55.81818181818182</v>
      </c>
      <c r="L23" s="266">
        <f>-SUMIFS(BV_Data_An_Cour!$AM:$AM,BV_Data_An_Cour!$AP:$AP,$B23,BV_Data_An_Cour!$AQ:$AQ,$C23,BV_Data_An_Cour!$AR:$AR,L$2)</f>
        <v>4298</v>
      </c>
      <c r="M23" s="257"/>
      <c r="N23" s="246">
        <f>L23-F23</f>
        <v>4298</v>
      </c>
      <c r="O23" s="245"/>
      <c r="P23" s="281">
        <f>IF(O13=0,0,Q23/(O13+O15))</f>
        <v>71.569354838709671</v>
      </c>
      <c r="Q23" s="266">
        <f>-SUMIFS(BV_Data_An_Prec!$AM:$AM,BV_Data_An_Prec!$AP:$AP,$B23,BV_Data_An_Prec!$AQ:$AQ,$C23,BV_Data_An_Prec!$AR:$AR,Q$2)</f>
        <v>4437.2999999999993</v>
      </c>
      <c r="R23" s="267">
        <f t="shared" si="8"/>
        <v>15.751173020527851</v>
      </c>
      <c r="S23" s="266">
        <f t="shared" si="7"/>
        <v>-139.29999999999927</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f>+D15+D13</f>
        <v>0</v>
      </c>
      <c r="E24" s="250">
        <f>IF(D24&lt;=0,0,F24/D24)</f>
        <v>0</v>
      </c>
      <c r="F24" s="251">
        <f>F21+F22+F23</f>
        <v>0</v>
      </c>
      <c r="G24" s="252"/>
      <c r="H24" s="250"/>
      <c r="I24" s="251"/>
      <c r="J24" s="252">
        <f>+J15+J13</f>
        <v>77</v>
      </c>
      <c r="K24" s="355">
        <f>IF(J24&lt;=0,0,L24/J24)</f>
        <v>633.37688311688225</v>
      </c>
      <c r="L24" s="356">
        <f>L21+L22+L23</f>
        <v>48770.019999999931</v>
      </c>
      <c r="M24" s="265">
        <f>J24-D24</f>
        <v>77</v>
      </c>
      <c r="N24" s="251">
        <f>L24-F24</f>
        <v>48770.019999999931</v>
      </c>
      <c r="O24" s="252">
        <f>+O15+O13</f>
        <v>62</v>
      </c>
      <c r="P24" s="355">
        <f>IF(O24&lt;=0,0,Q24/O24)</f>
        <v>824.53096774193546</v>
      </c>
      <c r="Q24" s="356">
        <f>Q21+Q22+Q23</f>
        <v>51120.92</v>
      </c>
      <c r="R24" s="337">
        <f>P24-K24</f>
        <v>191.1540846250532</v>
      </c>
      <c r="S24" s="356">
        <f>L24-Q24</f>
        <v>-2350.9000000000669</v>
      </c>
      <c r="T24" s="35"/>
      <c r="U24" s="1238">
        <v>48935</v>
      </c>
      <c r="V24" s="1239">
        <f>L24-U24</f>
        <v>-164.98000000006869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#DIV/0!</v>
      </c>
      <c r="O25" s="243"/>
      <c r="P25" s="281"/>
      <c r="Q25" s="266"/>
      <c r="R25" s="267"/>
      <c r="S25" s="255">
        <f>IF(Q24=0,0,(S24/Q24))</f>
        <v>-4.5987044051634188E-2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f>+D13+D15+D17</f>
        <v>0</v>
      </c>
      <c r="E27" s="270">
        <f>IF(D27&lt;=0,0,F27/D27)</f>
        <v>0</v>
      </c>
      <c r="F27" s="271">
        <f>F13+F17+F24+F19+F15</f>
        <v>0</v>
      </c>
      <c r="G27" s="272"/>
      <c r="H27" s="270"/>
      <c r="I27" s="271"/>
      <c r="J27" s="272">
        <f>+J13+J15+J17</f>
        <v>128</v>
      </c>
      <c r="K27" s="269">
        <f>IF(J27&lt;=0,0,L27/J27)</f>
        <v>1629.2353125000682</v>
      </c>
      <c r="L27" s="271">
        <f>L13+L17+L24+L19+L15</f>
        <v>208542.12000000873</v>
      </c>
      <c r="M27" s="272">
        <f>J27-D27</f>
        <v>128</v>
      </c>
      <c r="N27" s="271">
        <f>L27-F27</f>
        <v>208542.12000000873</v>
      </c>
      <c r="O27" s="272">
        <f>+O13+O15+O17</f>
        <v>144</v>
      </c>
      <c r="P27" s="269">
        <f>IF(O27&lt;=0,0,Q27/O27)</f>
        <v>1747.9389583334168</v>
      </c>
      <c r="Q27" s="271">
        <f>Q13+Q17+Q24+Q19+Q15</f>
        <v>251703.21000001201</v>
      </c>
      <c r="R27" s="272">
        <f>J27-O27</f>
        <v>-16</v>
      </c>
      <c r="S27" s="271">
        <f>L27-Q27</f>
        <v>-43161.090000003285</v>
      </c>
      <c r="T27" s="35"/>
      <c r="U27" s="1238">
        <f>SUM(U13:U26)</f>
        <v>205581</v>
      </c>
      <c r="V27" s="1239">
        <f>L27-U27</f>
        <v>2961.1200000087265</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-0.1111111111111111</v>
      </c>
      <c r="S28" s="326">
        <f>IF(Q27=0,0,S27/Q27)</f>
        <v>-0.17147612062635684</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#DIV/0!</v>
      </c>
      <c r="E31" s="281" t="e">
        <f t="shared" ref="E31:E40" si="9">F31/D$24</f>
        <v>#DIV/0!</v>
      </c>
      <c r="F31" s="244">
        <f>+INDEX('Budget original'!$A$2:$AO$501,MATCH($A31,'Budget original'!$A$2:$A$501,0),MATCH(F$2,'Budget original'!$A$2:$AO$2,0))</f>
        <v>0</v>
      </c>
      <c r="G31" s="282"/>
      <c r="H31" s="281"/>
      <c r="I31" s="244"/>
      <c r="J31" s="282">
        <f>L31/(L15+L13+L17)</f>
        <v>0.24110066776363279</v>
      </c>
      <c r="K31" s="281">
        <f>IF(L31=0,0,L31/J$24)</f>
        <v>500.27480519480559</v>
      </c>
      <c r="L31" s="266">
        <f>SUMIFS(BV_Data_An_Cour!$AM:$AM,BV_Data_An_Cour!$AP:$AP,$B31,BV_Data_An_Cour!$AQ:$AQ,$C31,BV_Data_An_Cour!$AR:$AR,L$2)</f>
        <v>38521.160000000033</v>
      </c>
      <c r="M31" s="243"/>
      <c r="N31" s="266">
        <f t="shared" ref="N31:N53" si="10">L31-F31</f>
        <v>38521.160000000033</v>
      </c>
      <c r="O31" s="282">
        <f>Q31/(Q15+Q13+Q17)</f>
        <v>0.30837921932188661</v>
      </c>
      <c r="P31" s="281">
        <f>IF(Q31=0,0,Q31/O$24)</f>
        <v>997.66790322580607</v>
      </c>
      <c r="Q31" s="266">
        <f>SUMIFS(BV_Data_An_Prec!$AM:$AM,BV_Data_An_Prec!$AP:$AP,$B31,BV_Data_An_Prec!$AQ:$AQ,$C31,BV_Data_An_Prec!$AR:$AR,Q$2)</f>
        <v>61855.409999999974</v>
      </c>
      <c r="R31" s="243"/>
      <c r="S31" s="266">
        <f>L31-Q31</f>
        <v>-23334.249999999942</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#DIV/0!</v>
      </c>
      <c r="E32" s="284" t="e">
        <f t="shared" si="9"/>
        <v>#DIV/0!</v>
      </c>
      <c r="F32" s="240">
        <f>+INDEX('Budget original'!$A$2:$AO$501,MATCH($A32,'Budget original'!$A$2:$A$501,0),MATCH(F$2,'Budget original'!$A$2:$AO$2,0))</f>
        <v>0</v>
      </c>
      <c r="G32" s="285"/>
      <c r="H32" s="284"/>
      <c r="I32" s="240"/>
      <c r="J32" s="285">
        <f>L32/L24</f>
        <v>0</v>
      </c>
      <c r="K32" s="284">
        <f t="shared" ref="K32:K39" si="11">IF(L32=0,0,L32/J$24)</f>
        <v>0</v>
      </c>
      <c r="L32" s="266">
        <f>SUMIFS(BV_Data_An_Cour!$AM:$AM,BV_Data_An_Cour!$AP:$AP,$B32,BV_Data_An_Cour!$AQ:$AQ,$C32,BV_Data_An_Cour!$AR:$AR,L$2)</f>
        <v>0</v>
      </c>
      <c r="M32" s="238"/>
      <c r="N32" s="286">
        <f t="shared" si="10"/>
        <v>0</v>
      </c>
      <c r="O32" s="285">
        <f>Q32/Q24</f>
        <v>0.33260532087450717</v>
      </c>
      <c r="P32" s="284">
        <f t="shared" ref="P32:P39" si="12">IF(Q32=0,0,Q32/O$24)</f>
        <v>274.24338709677437</v>
      </c>
      <c r="Q32" s="286">
        <f>SUMIFS(BV_Data_An_Prec!$AM:$AM,BV_Data_An_Prec!$AP:$AP,$B32,BV_Data_An_Prec!$AQ:$AQ,$C32,BV_Data_An_Prec!$AR:$AR,Q$2)</f>
        <v>17003.090000000011</v>
      </c>
      <c r="R32" s="238"/>
      <c r="S32" s="286">
        <f t="shared" ref="S32:S39" si="13">L32-Q32</f>
        <v>-17003.090000000011</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#DIV/0!</v>
      </c>
      <c r="F33" s="244">
        <f>+INDEX('Budget original'!$A$2:$AO$501,MATCH($A33,'Budget original'!$A$2:$A$501,0),MATCH(F$2,'Budget original'!$A$2:$AO$2,0))</f>
        <v>0</v>
      </c>
      <c r="G33" s="288"/>
      <c r="H33" s="281"/>
      <c r="I33" s="244"/>
      <c r="J33" s="243"/>
      <c r="K33" s="281">
        <f t="shared" si="11"/>
        <v>478.04376623376578</v>
      </c>
      <c r="L33" s="952">
        <f>SUMIFS(BV_Data_An_Cour!$AM:$AM,BV_Data_An_Cour!$AP:$AP,$B33,BV_Data_An_Cour!$AQ:$AQ,$C33,BV_Data_An_Cour!$AR:$AR,L$2)</f>
        <v>36809.369999999966</v>
      </c>
      <c r="M33" s="243"/>
      <c r="N33" s="266">
        <f t="shared" si="10"/>
        <v>36809.369999999966</v>
      </c>
      <c r="O33" s="243"/>
      <c r="P33" s="281">
        <f t="shared" si="12"/>
        <v>-34.543548387096727</v>
      </c>
      <c r="Q33" s="266">
        <f>SUMIFS(BV_Data_An_Prec!$AM:$AM,BV_Data_An_Prec!$AP:$AP,$B33,BV_Data_An_Prec!$AQ:$AQ,$C33,BV_Data_An_Prec!$AR:$AR,Q$2)</f>
        <v>-2141.6999999999971</v>
      </c>
      <c r="R33" s="243"/>
      <c r="S33" s="266">
        <f t="shared" si="13"/>
        <v>38951.069999999963</v>
      </c>
      <c r="T33" s="35">
        <f>-3973+600</f>
        <v>-3373</v>
      </c>
      <c r="U33" s="1052" t="s">
        <v>3452</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#DIV/0!</v>
      </c>
      <c r="F34" s="244">
        <f>+INDEX('Budget original'!$A$2:$AO$501,MATCH($A34,'Budget original'!$A$2:$A$501,0),MATCH(F$2,'Budget original'!$A$2:$AO$2,0))</f>
        <v>0</v>
      </c>
      <c r="G34" s="288"/>
      <c r="H34" s="281"/>
      <c r="I34" s="244"/>
      <c r="J34" s="243"/>
      <c r="K34" s="281">
        <f t="shared" si="11"/>
        <v>6.8205194805194607</v>
      </c>
      <c r="L34" s="266">
        <f>SUMIFS(BV_Data_An_Cour!$AM:$AM,BV_Data_An_Cour!$AP:$AP,$B34,BV_Data_An_Cour!$AQ:$AQ,$C34,BV_Data_An_Cour!$AR:$AR,L$2)</f>
        <v>525.17999999999847</v>
      </c>
      <c r="M34" s="243"/>
      <c r="N34" s="266">
        <f t="shared" si="10"/>
        <v>525.17999999999847</v>
      </c>
      <c r="O34" s="243"/>
      <c r="P34" s="281">
        <f t="shared" si="12"/>
        <v>5.536935483870967</v>
      </c>
      <c r="Q34" s="266">
        <f>SUMIFS(BV_Data_An_Prec!$AM:$AM,BV_Data_An_Prec!$AP:$AP,$B34,BV_Data_An_Prec!$AQ:$AQ,$C34,BV_Data_An_Prec!$AR:$AR,Q$2)</f>
        <v>343.28999999999996</v>
      </c>
      <c r="R34" s="243"/>
      <c r="S34" s="266">
        <f t="shared" si="13"/>
        <v>181.88999999999851</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#DIV/0!</v>
      </c>
      <c r="F35" s="240">
        <f>+INDEX('Budget original'!$A$2:$AO$501,MATCH($A35,'Budget original'!$A$2:$A$501,0),MATCH(F$2,'Budget original'!$A$2:$AO$2,0))</f>
        <v>0</v>
      </c>
      <c r="G35" s="290"/>
      <c r="H35" s="284"/>
      <c r="I35" s="240"/>
      <c r="J35" s="238"/>
      <c r="K35" s="284">
        <f t="shared" si="11"/>
        <v>24.692467532467528</v>
      </c>
      <c r="L35" s="266">
        <f>SUMIFS(BV_Data_An_Cour!$AM:$AM,BV_Data_An_Cour!$AP:$AP,$B35,BV_Data_An_Cour!$AQ:$AQ,$C35,BV_Data_An_Cour!$AR:$AR,L$2)</f>
        <v>1901.3199999999997</v>
      </c>
      <c r="M35" s="238"/>
      <c r="N35" s="286">
        <f t="shared" si="10"/>
        <v>1901.3199999999997</v>
      </c>
      <c r="O35" s="238"/>
      <c r="P35" s="284">
        <f t="shared" si="12"/>
        <v>0</v>
      </c>
      <c r="Q35" s="286">
        <f>SUMIFS(BV_Data_An_Prec!$AM:$AM,BV_Data_An_Prec!$AP:$AP,$B35,BV_Data_An_Prec!$AQ:$AQ,$C35,BV_Data_An_Prec!$AR:$AR,Q$2)</f>
        <v>0</v>
      </c>
      <c r="R35" s="238"/>
      <c r="S35" s="286">
        <f t="shared" si="13"/>
        <v>1901.3199999999997</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#DIV/0!</v>
      </c>
      <c r="F36" s="244">
        <f>+INDEX('Budget original'!$A$2:$AO$501,MATCH($A36,'Budget original'!$A$2:$A$501,0),MATCH(F$2,'Budget original'!$A$2:$AO$2,0))</f>
        <v>0</v>
      </c>
      <c r="G36" s="288"/>
      <c r="H36" s="281"/>
      <c r="I36" s="244"/>
      <c r="J36" s="243"/>
      <c r="K36" s="281">
        <f t="shared" si="11"/>
        <v>-860.13415584415588</v>
      </c>
      <c r="L36" s="952">
        <f>SUMIFS(BV_Data_An_Cour!$AM:$AM,BV_Data_An_Cour!$AP:$AP,$B36,BV_Data_An_Cour!$AQ:$AQ,$C36,BV_Data_An_Cour!$AR:$AR,L$2)</f>
        <v>-66230.33</v>
      </c>
      <c r="M36" s="243"/>
      <c r="N36" s="266">
        <f t="shared" si="10"/>
        <v>-66230.33</v>
      </c>
      <c r="O36" s="243"/>
      <c r="P36" s="281">
        <f t="shared" si="12"/>
        <v>-1597.146612903226</v>
      </c>
      <c r="Q36" s="266">
        <f>SUMIFS(BV_Data_An_Prec!$AM:$AM,BV_Data_An_Prec!$AP:$AP,$B36,BV_Data_An_Prec!$AQ:$AQ,$C36,BV_Data_An_Prec!$AR:$AR,Q$2)</f>
        <v>-99023.090000000011</v>
      </c>
      <c r="R36" s="243"/>
      <c r="S36" s="266">
        <f t="shared" si="13"/>
        <v>32792.760000000009</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#DIV/0!</v>
      </c>
      <c r="F37" s="244">
        <f>+INDEX('Budget original'!$A$2:$AO$501,MATCH($A37,'Budget original'!$A$2:$A$501,0),MATCH(F$2,'Budget original'!$A$2:$AO$2,0))</f>
        <v>0</v>
      </c>
      <c r="G37" s="288"/>
      <c r="H37" s="281"/>
      <c r="I37" s="244"/>
      <c r="J37" s="243"/>
      <c r="K37" s="281">
        <f t="shared" si="11"/>
        <v>536.14025974025958</v>
      </c>
      <c r="L37" s="266">
        <f>SUMIFS(BV_Data_An_Cour!$AM:$AM,BV_Data_An_Cour!$AP:$AP,$B37,BV_Data_An_Cour!$AQ:$AQ,$C37,BV_Data_An_Cour!$AR:$AR,L$2)</f>
        <v>41282.799999999988</v>
      </c>
      <c r="M37" s="243"/>
      <c r="N37" s="658">
        <f t="shared" si="10"/>
        <v>41282.799999999988</v>
      </c>
      <c r="O37" s="243"/>
      <c r="P37" s="281">
        <f t="shared" si="12"/>
        <v>702.84983870967653</v>
      </c>
      <c r="Q37" s="266">
        <f>SUMIFS(BV_Data_An_Prec!$AM:$AM,BV_Data_An_Prec!$AP:$AP,$B37,BV_Data_An_Prec!$AQ:$AQ,$C37,BV_Data_An_Prec!$AR:$AR,Q$2)</f>
        <v>43576.689999999944</v>
      </c>
      <c r="R37" s="243"/>
      <c r="S37" s="266">
        <f t="shared" si="13"/>
        <v>-2293.8899999999558</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#DIV/0!</v>
      </c>
      <c r="F38" s="244">
        <f>+INDEX('Budget original'!$A$2:$AO$501,MATCH($A38,'Budget original'!$A$2:$A$501,0),MATCH(F$2,'Budget original'!$A$2:$AO$2,0))</f>
        <v>0</v>
      </c>
      <c r="G38" s="288"/>
      <c r="H38" s="281"/>
      <c r="I38" s="244"/>
      <c r="J38" s="243"/>
      <c r="K38" s="281">
        <f t="shared" si="11"/>
        <v>-1666.4927272727266</v>
      </c>
      <c r="L38" s="266">
        <f>SUMIFS(BV_Data_An_Cour!$AM:$AM,BV_Data_An_Cour!$AP:$AP,$B38,BV_Data_An_Cour!$AQ:$AQ,$C38,BV_Data_An_Cour!$AR:$AR,L$2)</f>
        <v>-128319.93999999994</v>
      </c>
      <c r="M38" s="38"/>
      <c r="N38" s="266">
        <f t="shared" si="10"/>
        <v>-128319.93999999994</v>
      </c>
      <c r="O38" s="243"/>
      <c r="P38" s="281">
        <f t="shared" si="12"/>
        <v>-3558.1748387096786</v>
      </c>
      <c r="Q38" s="266">
        <f>SUMIFS(BV_Data_An_Prec!$AM:$AM,BV_Data_An_Prec!$AP:$AP,$B38,BV_Data_An_Prec!$AQ:$AQ,$C38,BV_Data_An_Prec!$AR:$AR,Q$2)</f>
        <v>-220606.84000000008</v>
      </c>
      <c r="R38" s="243"/>
      <c r="S38" s="266">
        <f t="shared" si="13"/>
        <v>92286.90000000014</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#DIV/0!</v>
      </c>
      <c r="F39" s="244">
        <f>+INDEX('Budget original'!$A$2:$AO$501,MATCH($A39,'Budget original'!$A$2:$A$501,0),MATCH(F$2,'Budget original'!$A$2:$AO$2,0))</f>
        <v>0</v>
      </c>
      <c r="G39" s="288"/>
      <c r="H39" s="281"/>
      <c r="I39" s="244"/>
      <c r="J39" s="243"/>
      <c r="K39" s="281">
        <f t="shared" si="11"/>
        <v>0</v>
      </c>
      <c r="L39" s="266">
        <f>SUMIFS(BV_Data_An_Cour!$AM:$AM,BV_Data_An_Cour!$AP:$AP,$B39,BV_Data_An_Cour!$AQ:$AQ,$C39,BV_Data_An_Cour!$AR:$AR,L$2)</f>
        <v>0</v>
      </c>
      <c r="M39" s="38"/>
      <c r="N39" s="266">
        <f t="shared" si="10"/>
        <v>0</v>
      </c>
      <c r="O39" s="243"/>
      <c r="P39" s="281">
        <f t="shared" si="12"/>
        <v>0</v>
      </c>
      <c r="Q39" s="266">
        <f>SUMIFS(BV_Data_An_Prec!$AM:$AM,BV_Data_An_Prec!$AP:$AP,$B39,BV_Data_An_Prec!$AQ:$AQ,$C39,BV_Data_An_Prec!$AR:$AR,Q$2)</f>
        <v>0</v>
      </c>
      <c r="R39" s="243"/>
      <c r="S39" s="266">
        <f t="shared" si="13"/>
        <v>0</v>
      </c>
      <c r="T39" s="35"/>
      <c r="U39" s="1247">
        <f>L39+L121+L194</f>
        <v>0</v>
      </c>
      <c r="V39" s="35"/>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#DIV/0!</v>
      </c>
      <c r="F40" s="244">
        <f>+INDEX('Budget original'!$A$2:$AO$501,MATCH($A40,'Budget original'!$A$2:$A$501,0),MATCH(F$2,'Budget original'!$A$2:$AO$2,0))</f>
        <v>0</v>
      </c>
      <c r="G40" s="288"/>
      <c r="H40" s="281"/>
      <c r="I40" s="244"/>
      <c r="J40" s="243"/>
      <c r="K40" s="281">
        <f t="shared" ref="K40" si="14">IF(L40=0,0,L40/J$24)</f>
        <v>0</v>
      </c>
      <c r="L40" s="961">
        <f>SUMIFS(BV_Data_An_Cour!$AM:$AM,BV_Data_An_Cour!$AP:$AP,$B40,BV_Data_An_Cour!$AQ:$AQ,$C40,BV_Data_An_Cour!$AR:$AR,L$2)</f>
        <v>0</v>
      </c>
      <c r="M40" s="38"/>
      <c r="N40" s="266">
        <f t="shared" si="10"/>
        <v>0</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#DIV/0!</v>
      </c>
      <c r="F41" s="294">
        <f>SUM(F31:F40)</f>
        <v>0</v>
      </c>
      <c r="G41" s="295"/>
      <c r="H41" s="293"/>
      <c r="I41" s="294"/>
      <c r="J41" s="295" t="s">
        <v>115</v>
      </c>
      <c r="K41" s="293">
        <f>L41/L$27</f>
        <v>-0.3620872368612959</v>
      </c>
      <c r="L41" s="294">
        <f>SUM(L31:L40)</f>
        <v>-75510.439999999959</v>
      </c>
      <c r="M41" s="296"/>
      <c r="N41" s="294">
        <f t="shared" si="10"/>
        <v>-75510.439999999959</v>
      </c>
      <c r="O41" s="295" t="s">
        <v>115</v>
      </c>
      <c r="P41" s="293">
        <f>Q41/Q$27</f>
        <v>-0.79058646093544327</v>
      </c>
      <c r="Q41" s="294">
        <f>SUM(Q31:Q40)</f>
        <v>-198993.15000000017</v>
      </c>
      <c r="R41" s="297"/>
      <c r="S41" s="294">
        <f t="shared" si="16"/>
        <v>123482.71000000021</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f>+INDEX('Budget original'!$A$2:$AO$501,MATCH($A42,'Budget original'!$A$2:$A$501,0),MATCH(F$2,'Budget original'!$A$2:$AO$2,0))</f>
        <v>0</v>
      </c>
      <c r="G42" s="243"/>
      <c r="H42" s="38"/>
      <c r="I42" s="244"/>
      <c r="J42" s="243"/>
      <c r="K42" s="38"/>
      <c r="L42" s="281">
        <f>SUMIFS(BV_Data_An_Cour!$AM:$AM,BV_Data_An_Cour!$AP:$AP,$B42,BV_Data_An_Cour!$AQ:$AQ,$C42,BV_Data_An_Cour!$AR:$AR,L$2)</f>
        <v>2496</v>
      </c>
      <c r="M42" s="243"/>
      <c r="N42" s="266">
        <f t="shared" si="10"/>
        <v>2496</v>
      </c>
      <c r="O42" s="243"/>
      <c r="P42" s="38"/>
      <c r="Q42" s="281">
        <f>SUMIFS(BV_Data_An_Prec!$AM:$AM,BV_Data_An_Prec!$AP:$AP,$B42,BV_Data_An_Prec!$AQ:$AQ,$C42,BV_Data_An_Prec!$AR:$AR,Q$2)</f>
        <v>3195.3999999999942</v>
      </c>
      <c r="R42" s="243"/>
      <c r="S42" s="266">
        <f t="shared" si="16"/>
        <v>-699.39999999999418</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f>+INDEX('Budget original'!$A$2:$AO$501,MATCH($A43,'Budget original'!$A$2:$A$501,0),MATCH(F$2,'Budget original'!$A$2:$AO$2,0))</f>
        <v>0</v>
      </c>
      <c r="G43" s="288"/>
      <c r="H43" s="38"/>
      <c r="I43" s="240"/>
      <c r="J43" s="243"/>
      <c r="K43" s="38"/>
      <c r="L43" s="286">
        <f>SUMIFS(BV_Data_An_Cour!$AM:$AM,BV_Data_An_Cour!$AP:$AP,$B43,BV_Data_An_Cour!$AQ:$AQ,$C43,BV_Data_An_Cour!$AR:$AR,L$2)</f>
        <v>5645.4100000000035</v>
      </c>
      <c r="M43" s="243"/>
      <c r="N43" s="266">
        <f t="shared" si="10"/>
        <v>5645.4100000000035</v>
      </c>
      <c r="O43" s="243"/>
      <c r="P43" s="38"/>
      <c r="Q43" s="286">
        <f>SUMIFS(BV_Data_An_Prec!$AM:$AM,BV_Data_An_Prec!$AP:$AP,$B43,BV_Data_An_Prec!$AQ:$AQ,$C43,BV_Data_An_Prec!$AR:$AR,Q$2)</f>
        <v>33101.899999999994</v>
      </c>
      <c r="R43" s="243"/>
      <c r="S43" s="266">
        <f t="shared" si="16"/>
        <v>-27456.489999999991</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f>+INDEX('Budget original'!$A$2:$AO$501,MATCH($A44,'Budget original'!$A$2:$A$501,0),MATCH(F$2,'Budget original'!$A$2:$AO$2,0))</f>
        <v>0</v>
      </c>
      <c r="G44" s="302"/>
      <c r="H44" s="301"/>
      <c r="I44" s="244"/>
      <c r="J44" s="233"/>
      <c r="K44" s="301"/>
      <c r="L44" s="281">
        <f>SUMIFS(BV_Data_An_Cour!$AM:$AM,BV_Data_An_Cour!$AP:$AP,$B44,BV_Data_An_Cour!$AQ:$AQ,$C44,BV_Data_An_Cour!$AR:$AR,L$2)</f>
        <v>2369.5</v>
      </c>
      <c r="M44" s="233"/>
      <c r="N44" s="303">
        <f t="shared" si="10"/>
        <v>2369.5</v>
      </c>
      <c r="O44" s="233"/>
      <c r="P44" s="301"/>
      <c r="Q44" s="281">
        <f>SUMIFS(BV_Data_An_Prec!$AM:$AM,BV_Data_An_Prec!$AP:$AP,$B44,BV_Data_An_Prec!$AQ:$AQ,$C44,BV_Data_An_Prec!$AR:$AR,Q$2)</f>
        <v>4615.0499999999993</v>
      </c>
      <c r="R44" s="233"/>
      <c r="S44" s="303">
        <f t="shared" si="16"/>
        <v>-2245.5499999999993</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f>+INDEX('Budget original'!$A$2:$AO$501,MATCH($A45,'Budget original'!$A$2:$A$501,0),MATCH(F$2,'Budget original'!$A$2:$AO$2,0))</f>
        <v>0</v>
      </c>
      <c r="G45" s="288"/>
      <c r="H45" s="38"/>
      <c r="I45" s="244"/>
      <c r="J45" s="243"/>
      <c r="K45" s="38"/>
      <c r="L45" s="281">
        <f>SUMIFS(BV_Data_An_Cour!$AM:$AM,BV_Data_An_Cour!$AP:$AP,$B45,BV_Data_An_Cour!$AQ:$AQ,$C45,BV_Data_An_Cour!$AR:$AR,L$2)</f>
        <v>0</v>
      </c>
      <c r="M45" s="243"/>
      <c r="N45" s="266">
        <f t="shared" si="10"/>
        <v>0</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f>+INDEX('Budget original'!$A$2:$AO$501,MATCH($A46,'Budget original'!$A$2:$A$501,0),MATCH(F$2,'Budget original'!$A$2:$AO$2,0))</f>
        <v>0</v>
      </c>
      <c r="G46" s="288"/>
      <c r="H46" s="38"/>
      <c r="I46" s="244"/>
      <c r="J46" s="243"/>
      <c r="K46" s="38"/>
      <c r="L46" s="281">
        <f>SUMIFS(BV_Data_An_Cour!$AM:$AM,BV_Data_An_Cour!$AP:$AP,$B46,BV_Data_An_Cour!$AQ:$AQ,$C46,BV_Data_An_Cour!$AR:$AR,L$2)</f>
        <v>0</v>
      </c>
      <c r="M46" s="243"/>
      <c r="N46" s="266">
        <f t="shared" si="10"/>
        <v>0</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f>+INDEX('Budget original'!$A$2:$AO$501,MATCH($A47,'Budget original'!$A$2:$A$501,0),MATCH(F$2,'Budget original'!$A$2:$AO$2,0))</f>
        <v>0</v>
      </c>
      <c r="G47" s="288"/>
      <c r="H47" s="38"/>
      <c r="I47" s="244"/>
      <c r="J47" s="243"/>
      <c r="K47" s="38"/>
      <c r="L47" s="281">
        <f>SUMIFS(BV_Data_An_Cour!$AM:$AM,BV_Data_An_Cour!$AP:$AP,$B47,BV_Data_An_Cour!$AQ:$AQ,$C47,BV_Data_An_Cour!$AR:$AR,L$2)</f>
        <v>0</v>
      </c>
      <c r="M47" s="243"/>
      <c r="N47" s="266">
        <f t="shared" si="10"/>
        <v>0</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f>+INDEX('Budget original'!$A$2:$AO$501,MATCH($A48,'Budget original'!$A$2:$A$501,0),MATCH(F$2,'Budget original'!$A$2:$AO$2,0))</f>
        <v>0</v>
      </c>
      <c r="G48" s="288"/>
      <c r="H48" s="38"/>
      <c r="I48" s="244"/>
      <c r="J48" s="243"/>
      <c r="K48" s="38"/>
      <c r="L48" s="281">
        <f>SUMIFS(BV_Data_An_Cour!$AM:$AM,BV_Data_An_Cour!$AP:$AP,$B48,BV_Data_An_Cour!$AQ:$AQ,$C48,BV_Data_An_Cour!$AR:$AR,L$2)</f>
        <v>0</v>
      </c>
      <c r="M48" s="243"/>
      <c r="N48" s="266">
        <f t="shared" si="10"/>
        <v>0</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f>+INDEX('Budget original'!$A$2:$AO$501,MATCH($A49,'Budget original'!$A$2:$A$501,0),MATCH(F$2,'Budget original'!$A$2:$AO$2,0))</f>
        <v>0</v>
      </c>
      <c r="G49" s="288"/>
      <c r="H49" s="38"/>
      <c r="I49" s="240"/>
      <c r="J49" s="243"/>
      <c r="K49" s="38"/>
      <c r="L49" s="286">
        <f>SUMIFS(BV_Data_An_Cour!$AM:$AM,BV_Data_An_Cour!$AP:$AP,$B49,BV_Data_An_Cour!$AQ:$AQ,$C49,BV_Data_An_Cour!$AR:$AR,L$2)</f>
        <v>4998.7200000000012</v>
      </c>
      <c r="M49" s="243"/>
      <c r="N49" s="266">
        <f t="shared" si="10"/>
        <v>4998.7200000000012</v>
      </c>
      <c r="O49" s="243"/>
      <c r="P49" s="38"/>
      <c r="Q49" s="286">
        <f>SUMIFS(BV_Data_An_Prec!$AM:$AM,BV_Data_An_Prec!$AP:$AP,$B49,BV_Data_An_Prec!$AQ:$AQ,$C49,BV_Data_An_Prec!$AR:$AR,Q$2)</f>
        <v>13387.36</v>
      </c>
      <c r="R49" s="243"/>
      <c r="S49" s="266">
        <f t="shared" si="16"/>
        <v>-8388.64</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f>+INDEX('Budget original'!$A$2:$AO$501,MATCH($A50,'Budget original'!$A$2:$A$501,0),MATCH(F$2,'Budget original'!$A$2:$AO$2,0))</f>
        <v>0</v>
      </c>
      <c r="G50" s="302"/>
      <c r="H50" s="301"/>
      <c r="I50" s="244"/>
      <c r="J50" s="233"/>
      <c r="K50" s="301"/>
      <c r="L50" s="281">
        <f>SUMIFS(BV_Data_An_Cour!$AM:$AM,BV_Data_An_Cour!$AP:$AP,$B50,BV_Data_An_Cour!$AQ:$AQ,$C50,BV_Data_An_Cour!$AR:$AR,L$2)</f>
        <v>3789.9600000000064</v>
      </c>
      <c r="M50" s="233"/>
      <c r="N50" s="303">
        <f t="shared" si="10"/>
        <v>3789.9600000000064</v>
      </c>
      <c r="O50" s="233"/>
      <c r="P50" s="301"/>
      <c r="Q50" s="281">
        <f>SUMIFS(BV_Data_An_Prec!$AM:$AM,BV_Data_An_Prec!$AP:$AP,$B50,BV_Data_An_Prec!$AQ:$AQ,$C50,BV_Data_An_Prec!$AR:$AR,Q$2)</f>
        <v>14720.75</v>
      </c>
      <c r="R50" s="233"/>
      <c r="S50" s="303">
        <f t="shared" si="16"/>
        <v>-10930.789999999994</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f>+INDEX('Budget original'!$A$2:$AO$501,MATCH($A51,'Budget original'!$A$2:$A$501,0),MATCH(F$2,'Budget original'!$A$2:$AO$2,0))</f>
        <v>0</v>
      </c>
      <c r="G51" s="288"/>
      <c r="H51" s="38"/>
      <c r="I51" s="244"/>
      <c r="J51" s="243"/>
      <c r="K51" s="38"/>
      <c r="L51" s="281">
        <f>SUMIFS(BV_Data_An_Cour!$AM:$AM,BV_Data_An_Cour!$AP:$AP,$B51,BV_Data_An_Cour!$AQ:$AQ,$C51,BV_Data_An_Cour!$AR:$AR,L$2)</f>
        <v>416.0099999999984</v>
      </c>
      <c r="M51" s="243"/>
      <c r="N51" s="266">
        <f t="shared" si="10"/>
        <v>416.0099999999984</v>
      </c>
      <c r="O51" s="243"/>
      <c r="P51" s="38"/>
      <c r="Q51" s="281">
        <f>SUMIFS(BV_Data_An_Prec!$AM:$AM,BV_Data_An_Prec!$AP:$AP,$B51,BV_Data_An_Prec!$AQ:$AQ,$C51,BV_Data_An_Prec!$AR:$AR,Q$2)</f>
        <v>4541.75</v>
      </c>
      <c r="R51" s="243"/>
      <c r="S51" s="266">
        <f t="shared" si="16"/>
        <v>-4125.7400000000016</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f>+INDEX('Budget original'!$A$2:$AO$501,MATCH($A52,'Budget original'!$A$2:$A$501,0),MATCH(F$2,'Budget original'!$A$2:$AO$2,0))</f>
        <v>0</v>
      </c>
      <c r="G52" s="288"/>
      <c r="H52" s="38"/>
      <c r="I52" s="244"/>
      <c r="J52" s="243"/>
      <c r="K52" s="38"/>
      <c r="L52" s="281">
        <f>SUMIFS(BV_Data_An_Cour!$AM:$AM,BV_Data_An_Cour!$AP:$AP,$B52,BV_Data_An_Cour!$AQ:$AQ,$C52,BV_Data_An_Cour!$AR:$AR,L$2)</f>
        <v>3349.7999999999993</v>
      </c>
      <c r="M52" s="243"/>
      <c r="N52" s="266">
        <f t="shared" si="10"/>
        <v>3349.7999999999993</v>
      </c>
      <c r="O52" s="243"/>
      <c r="P52" s="38"/>
      <c r="Q52" s="281">
        <f>SUMIFS(BV_Data_An_Prec!$AM:$AM,BV_Data_An_Prec!$AP:$AP,$B52,BV_Data_An_Prec!$AQ:$AQ,$C52,BV_Data_An_Prec!$AR:$AR,Q$2)</f>
        <v>0.15999999999996817</v>
      </c>
      <c r="R52" s="243"/>
      <c r="S52" s="266">
        <f t="shared" si="16"/>
        <v>3349.6399999999994</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f>+INDEX('Budget original'!$A$2:$AO$501,MATCH($A53,'Budget original'!$A$2:$A$501,0),MATCH(F$2,'Budget original'!$A$2:$AO$2,0))</f>
        <v>0</v>
      </c>
      <c r="G53" s="290"/>
      <c r="H53" s="304"/>
      <c r="I53" s="244"/>
      <c r="J53" s="238"/>
      <c r="K53" s="304"/>
      <c r="L53" s="266">
        <f>SUMIFS(BV_Data_An_Cour!$AM:$AM,BV_Data_An_Cour!$AP:$AP,$B53,BV_Data_An_Cour!$AQ:$AQ,$C53,BV_Data_An_Cour!$AR:$AR,L$2)</f>
        <v>0</v>
      </c>
      <c r="M53" s="238"/>
      <c r="N53" s="286">
        <f t="shared" si="10"/>
        <v>0</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#DIV/0!</v>
      </c>
      <c r="F54" s="294">
        <f>+SUM(F42:F53)</f>
        <v>0</v>
      </c>
      <c r="G54" s="295"/>
      <c r="H54" s="293"/>
      <c r="I54" s="294"/>
      <c r="J54" s="295" t="s">
        <v>115</v>
      </c>
      <c r="K54" s="293">
        <f>L54/L$27</f>
        <v>0.11060307625145004</v>
      </c>
      <c r="L54" s="294">
        <f>+SUM(L42:L53)</f>
        <v>23065.400000000009</v>
      </c>
      <c r="M54" s="296"/>
      <c r="N54" s="294">
        <f>+SUM(N42:N53)</f>
        <v>23065.400000000009</v>
      </c>
      <c r="O54" s="295" t="s">
        <v>115</v>
      </c>
      <c r="P54" s="293">
        <f>Q54/Q$27</f>
        <v>0.29225837048322301</v>
      </c>
      <c r="Q54" s="294">
        <f>+SUM(Q42:Q53)</f>
        <v>73562.37</v>
      </c>
      <c r="R54" s="297"/>
      <c r="S54" s="294">
        <f>+SUM(S42:S53)</f>
        <v>-50496.969999999987</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f>+INDEX('Budget original'!$A$2:$AO$501,MATCH($A55,'Budget original'!$A$2:$A$501,0),MATCH(F$2,'Budget original'!$A$2:$AO$2,0))</f>
        <v>0</v>
      </c>
      <c r="G55" s="288"/>
      <c r="H55" s="38"/>
      <c r="I55" s="244"/>
      <c r="J55" s="243"/>
      <c r="K55" s="38"/>
      <c r="L55" s="266">
        <f>SUMIFS(BV_Data_An_Cour!$AM:$AM,BV_Data_An_Cour!$AP:$AP,$B55,BV_Data_An_Cour!$AQ:$AQ,$C55,BV_Data_An_Cour!$AR:$AR,L$2)</f>
        <v>0</v>
      </c>
      <c r="M55" s="243"/>
      <c r="N55" s="266">
        <f t="shared" ref="N55:N71" si="17">L55-F55</f>
        <v>0</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f>+INDEX('Budget original'!$A$2:$AO$501,MATCH($A56,'Budget original'!$A$2:$A$501,0),MATCH(F$2,'Budget original'!$A$2:$AO$2,0))</f>
        <v>0</v>
      </c>
      <c r="G56" s="288"/>
      <c r="H56" s="38"/>
      <c r="I56" s="244"/>
      <c r="J56" s="243"/>
      <c r="K56" s="38"/>
      <c r="L56" s="266">
        <f>SUMIFS(BV_Data_An_Cour!$AM:$AM,BV_Data_An_Cour!$AP:$AP,$B56,BV_Data_An_Cour!$AQ:$AQ,$C56,BV_Data_An_Cour!$AR:$AR,L$2)</f>
        <v>0</v>
      </c>
      <c r="M56" s="243"/>
      <c r="N56" s="266">
        <f t="shared" si="17"/>
        <v>0</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f>+INDEX('Budget original'!$A$2:$AO$501,MATCH($A57,'Budget original'!$A$2:$A$501,0),MATCH(F$2,'Budget original'!$A$2:$AO$2,0))</f>
        <v>0</v>
      </c>
      <c r="G57" s="290"/>
      <c r="H57" s="304"/>
      <c r="I57" s="240"/>
      <c r="J57" s="238"/>
      <c r="K57" s="304"/>
      <c r="L57" s="286">
        <f>SUMIFS(BV_Data_An_Cour!$AM:$AM,BV_Data_An_Cour!$AP:$AP,$B57,BV_Data_An_Cour!$AQ:$AQ,$C57,BV_Data_An_Cour!$AR:$AR,L$2)</f>
        <v>5448.6499999999942</v>
      </c>
      <c r="M57" s="238"/>
      <c r="N57" s="286">
        <f t="shared" si="17"/>
        <v>5448.6499999999942</v>
      </c>
      <c r="O57" s="238"/>
      <c r="P57" s="304"/>
      <c r="Q57" s="286">
        <f>SUMIFS(BV_Data_An_Prec!$AM:$AM,BV_Data_An_Prec!$AP:$AP,$B57,BV_Data_An_Prec!$AQ:$AQ,$C57,BV_Data_An_Prec!$AR:$AR,Q$2)</f>
        <v>9251.3499999999913</v>
      </c>
      <c r="R57" s="238"/>
      <c r="S57" s="286">
        <f t="shared" si="18"/>
        <v>-3802.6999999999971</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f>+INDEX('Budget original'!$A$2:$AO$501,MATCH($A58,'Budget original'!$A$2:$A$501,0),MATCH(F$2,'Budget original'!$A$2:$AO$2,0))</f>
        <v>0</v>
      </c>
      <c r="G58" s="288"/>
      <c r="H58" s="38"/>
      <c r="I58" s="244"/>
      <c r="J58" s="243"/>
      <c r="K58" s="38"/>
      <c r="L58" s="266">
        <f>SUMIFS(BV_Data_An_Cour!$AM:$AM,BV_Data_An_Cour!$AP:$AP,$B58,BV_Data_An_Cour!$AQ:$AQ,$C58,BV_Data_An_Cour!$AR:$AR,L$2)</f>
        <v>2757.6800000000003</v>
      </c>
      <c r="M58" s="243"/>
      <c r="N58" s="266">
        <f t="shared" si="17"/>
        <v>2757.6800000000003</v>
      </c>
      <c r="O58" s="243"/>
      <c r="P58" s="38"/>
      <c r="Q58" s="266">
        <f>SUMIFS(BV_Data_An_Prec!$AM:$AM,BV_Data_An_Prec!$AP:$AP,$B58,BV_Data_An_Prec!$AQ:$AQ,$C58,BV_Data_An_Prec!$AR:$AR,Q$2)</f>
        <v>3035.2900000000009</v>
      </c>
      <c r="R58" s="243"/>
      <c r="S58" s="266">
        <f t="shared" si="18"/>
        <v>-277.61000000000058</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f>+INDEX('Budget original'!$A$2:$AO$501,MATCH($A59,'Budget original'!$A$2:$A$501,0),MATCH(F$2,'Budget original'!$A$2:$AO$2,0))</f>
        <v>0</v>
      </c>
      <c r="G59" s="288"/>
      <c r="H59" s="38"/>
      <c r="I59" s="244"/>
      <c r="J59" s="243"/>
      <c r="K59" s="38"/>
      <c r="L59" s="266">
        <f>SUMIFS(BV_Data_An_Cour!$AM:$AM,BV_Data_An_Cour!$AP:$AP,$B59,BV_Data_An_Cour!$AQ:$AQ,$C59,BV_Data_An_Cour!$AR:$AR,L$2)</f>
        <v>904.69000000000051</v>
      </c>
      <c r="M59" s="243"/>
      <c r="N59" s="266">
        <f t="shared" si="17"/>
        <v>904.69000000000051</v>
      </c>
      <c r="O59" s="243"/>
      <c r="P59" s="38"/>
      <c r="Q59" s="266">
        <f>SUMIFS(BV_Data_An_Prec!$AM:$AM,BV_Data_An_Prec!$AP:$AP,$B59,BV_Data_An_Prec!$AQ:$AQ,$C59,BV_Data_An_Prec!$AR:$AR,Q$2)</f>
        <v>11699.529999999999</v>
      </c>
      <c r="R59" s="243"/>
      <c r="S59" s="266">
        <f t="shared" si="18"/>
        <v>-10794.839999999998</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f>+INDEX('Budget original'!$A$2:$AO$501,MATCH($A60,'Budget original'!$A$2:$A$501,0),MATCH(F$2,'Budget original'!$A$2:$AO$2,0))</f>
        <v>0</v>
      </c>
      <c r="G60" s="290"/>
      <c r="H60" s="304"/>
      <c r="I60" s="240"/>
      <c r="J60" s="238"/>
      <c r="K60" s="304"/>
      <c r="L60" s="286">
        <f>SUMIFS(BV_Data_An_Cour!$AM:$AM,BV_Data_An_Cour!$AP:$AP,$B60,BV_Data_An_Cour!$AQ:$AQ,$C60,BV_Data_An_Cour!$AR:$AR,L$2)</f>
        <v>3332.2099999999955</v>
      </c>
      <c r="M60" s="238"/>
      <c r="N60" s="286">
        <f t="shared" si="17"/>
        <v>3332.2099999999955</v>
      </c>
      <c r="O60" s="238"/>
      <c r="P60" s="304"/>
      <c r="Q60" s="286">
        <f>SUMIFS(BV_Data_An_Prec!$AM:$AM,BV_Data_An_Prec!$AP:$AP,$B60,BV_Data_An_Prec!$AQ:$AQ,$C60,BV_Data_An_Prec!$AR:$AR,Q$2)</f>
        <v>8700.1800000000039</v>
      </c>
      <c r="R60" s="238"/>
      <c r="S60" s="286">
        <f t="shared" si="18"/>
        <v>-5367.9700000000084</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f>+INDEX('Budget original'!$A$2:$AO$501,MATCH($A61,'Budget original'!$A$2:$A$501,0),MATCH(F$2,'Budget original'!$A$2:$AO$2,0))</f>
        <v>0</v>
      </c>
      <c r="G61" s="288"/>
      <c r="H61" s="38"/>
      <c r="I61" s="244"/>
      <c r="J61" s="243"/>
      <c r="K61" s="38"/>
      <c r="L61" s="266">
        <f>SUMIFS(BV_Data_An_Cour!$AM:$AM,BV_Data_An_Cour!$AP:$AP,$B61,BV_Data_An_Cour!$AQ:$AQ,$C61,BV_Data_An_Cour!$AR:$AR,L$2)</f>
        <v>252.29999999999973</v>
      </c>
      <c r="M61" s="243"/>
      <c r="N61" s="266">
        <f t="shared" si="17"/>
        <v>252.29999999999973</v>
      </c>
      <c r="O61" s="243"/>
      <c r="P61" s="38"/>
      <c r="Q61" s="266">
        <f>SUMIFS(BV_Data_An_Prec!$AM:$AM,BV_Data_An_Prec!$AP:$AP,$B61,BV_Data_An_Prec!$AQ:$AQ,$C61,BV_Data_An_Prec!$AR:$AR,Q$2)</f>
        <v>255.26999999999953</v>
      </c>
      <c r="R61" s="243"/>
      <c r="S61" s="266">
        <f t="shared" si="18"/>
        <v>-2.9699999999997999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f>+INDEX('Budget original'!$A$2:$AO$501,MATCH($A62,'Budget original'!$A$2:$A$501,0),MATCH(F$2,'Budget original'!$A$2:$AO$2,0))</f>
        <v>0</v>
      </c>
      <c r="G62" s="288"/>
      <c r="H62" s="38"/>
      <c r="I62" s="244"/>
      <c r="J62" s="243"/>
      <c r="K62" s="38"/>
      <c r="L62" s="266">
        <f>SUMIFS(BV_Data_An_Cour!$AM:$AM,BV_Data_An_Cour!$AP:$AP,$B62,BV_Data_An_Cour!$AQ:$AQ,$C62,BV_Data_An_Cour!$AR:$AR,L$2)</f>
        <v>0</v>
      </c>
      <c r="M62" s="243"/>
      <c r="N62" s="266">
        <f t="shared" si="17"/>
        <v>0</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f>+INDEX('Budget original'!$A$2:$AO$501,MATCH($A63,'Budget original'!$A$2:$A$501,0),MATCH(F$2,'Budget original'!$A$2:$AO$2,0))</f>
        <v>0</v>
      </c>
      <c r="G63" s="288"/>
      <c r="H63" s="38"/>
      <c r="I63" s="244"/>
      <c r="J63" s="243"/>
      <c r="K63" s="38"/>
      <c r="L63" s="266">
        <f>SUMIFS(BV_Data_An_Cour!$AM:$AM,BV_Data_An_Cour!$AP:$AP,$B63,BV_Data_An_Cour!$AQ:$AQ,$C63,BV_Data_An_Cour!$AR:$AR,L$2)</f>
        <v>740.47999999999956</v>
      </c>
      <c r="M63" s="243"/>
      <c r="N63" s="266">
        <f t="shared" si="17"/>
        <v>740.47999999999956</v>
      </c>
      <c r="O63" s="243"/>
      <c r="P63" s="38"/>
      <c r="Q63" s="266">
        <f>SUMIFS(BV_Data_An_Prec!$AM:$AM,BV_Data_An_Prec!$AP:$AP,$B63,BV_Data_An_Prec!$AQ:$AQ,$C63,BV_Data_An_Prec!$AR:$AR,Q$2)</f>
        <v>2766.0299999999988</v>
      </c>
      <c r="R63" s="243"/>
      <c r="S63" s="266">
        <f t="shared" si="18"/>
        <v>-2025.5499999999993</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f>+INDEX('Budget original'!$A$2:$AO$501,MATCH($A64,'Budget original'!$A$2:$A$501,0),MATCH(F$2,'Budget original'!$A$2:$AO$2,0))</f>
        <v>0</v>
      </c>
      <c r="G64" s="288"/>
      <c r="H64" s="38"/>
      <c r="I64" s="244"/>
      <c r="J64" s="243"/>
      <c r="K64" s="38"/>
      <c r="L64" s="266">
        <f>SUMIFS(BV_Data_An_Cour!$AM:$AM,BV_Data_An_Cour!$AP:$AP,$B64,BV_Data_An_Cour!$AQ:$AQ,$C64,BV_Data_An_Cour!$AR:$AR,L$2)</f>
        <v>436.88000000000011</v>
      </c>
      <c r="M64" s="243"/>
      <c r="N64" s="266">
        <f t="shared" si="17"/>
        <v>436.88000000000011</v>
      </c>
      <c r="O64" s="243"/>
      <c r="P64" s="38"/>
      <c r="Q64" s="266">
        <f>SUMIFS(BV_Data_An_Prec!$AM:$AM,BV_Data_An_Prec!$AP:$AP,$B64,BV_Data_An_Prec!$AQ:$AQ,$C64,BV_Data_An_Prec!$AR:$AR,Q$2)</f>
        <v>157.96999999999935</v>
      </c>
      <c r="R64" s="243"/>
      <c r="S64" s="266">
        <f t="shared" si="18"/>
        <v>278.91000000000076</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f>+INDEX('Budget original'!$A$2:$AO$501,MATCH($A65,'Budget original'!$A$2:$A$501,0),MATCH(F$2,'Budget original'!$A$2:$AO$2,0))</f>
        <v>0</v>
      </c>
      <c r="G65" s="288"/>
      <c r="H65" s="38"/>
      <c r="I65" s="244"/>
      <c r="J65" s="243"/>
      <c r="K65" s="38"/>
      <c r="L65" s="266">
        <f>SUMIFS(BV_Data_An_Cour!$AM:$AM,BV_Data_An_Cour!$AP:$AP,$B65,BV_Data_An_Cour!$AQ:$AQ,$C65,BV_Data_An_Cour!$AR:$AR,L$2)</f>
        <v>1314.3499999999985</v>
      </c>
      <c r="M65" s="243"/>
      <c r="N65" s="266">
        <f t="shared" si="17"/>
        <v>1314.3499999999985</v>
      </c>
      <c r="O65" s="243"/>
      <c r="P65" s="38"/>
      <c r="Q65" s="266">
        <f>SUMIFS(BV_Data_An_Prec!$AM:$AM,BV_Data_An_Prec!$AP:$AP,$B65,BV_Data_An_Prec!$AQ:$AQ,$C65,BV_Data_An_Prec!$AR:$AR,Q$2)</f>
        <v>1214.46</v>
      </c>
      <c r="R65" s="243"/>
      <c r="S65" s="266">
        <f t="shared" si="18"/>
        <v>99.889999999998508</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f>+INDEX('Budget original'!$A$2:$AO$501,MATCH($A66,'Budget original'!$A$2:$A$501,0),MATCH(F$2,'Budget original'!$A$2:$AO$2,0))</f>
        <v>0</v>
      </c>
      <c r="G66" s="288"/>
      <c r="H66" s="38"/>
      <c r="I66" s="244"/>
      <c r="J66" s="243"/>
      <c r="K66" s="38"/>
      <c r="L66" s="266">
        <f>SUMIFS(BV_Data_An_Cour!$AM:$AM,BV_Data_An_Cour!$AP:$AP,$B66,BV_Data_An_Cour!$AQ:$AQ,$C66,BV_Data_An_Cour!$AR:$AR,L$2)</f>
        <v>3705.26</v>
      </c>
      <c r="M66" s="243"/>
      <c r="N66" s="266">
        <f t="shared" si="17"/>
        <v>3705.26</v>
      </c>
      <c r="O66" s="243"/>
      <c r="P66" s="38"/>
      <c r="Q66" s="266">
        <f>SUMIFS(BV_Data_An_Prec!$AM:$AM,BV_Data_An_Prec!$AP:$AP,$B66,BV_Data_An_Prec!$AQ:$AQ,$C66,BV_Data_An_Prec!$AR:$AR,Q$2)</f>
        <v>4629.3500000000004</v>
      </c>
      <c r="R66" s="243"/>
      <c r="S66" s="266">
        <f t="shared" si="18"/>
        <v>-924.09000000000015</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f>+INDEX('Budget original'!$A$2:$AO$501,MATCH($A67,'Budget original'!$A$2:$A$501,0),MATCH(F$2,'Budget original'!$A$2:$AO$2,0))</f>
        <v>0</v>
      </c>
      <c r="G67" s="288"/>
      <c r="H67" s="38"/>
      <c r="I67" s="244"/>
      <c r="J67" s="243"/>
      <c r="K67" s="38"/>
      <c r="L67" s="266">
        <f>SUMIFS(BV_Data_An_Cour!$AM:$AM,BV_Data_An_Cour!$AP:$AP,$B67,BV_Data_An_Cour!$AQ:$AQ,$C67,BV_Data_An_Cour!$AR:$AR,L$2)</f>
        <v>570</v>
      </c>
      <c r="M67" s="243"/>
      <c r="N67" s="266">
        <f t="shared" si="17"/>
        <v>570</v>
      </c>
      <c r="O67" s="243"/>
      <c r="P67" s="38"/>
      <c r="Q67" s="266">
        <f>SUMIFS(BV_Data_An_Prec!$AM:$AM,BV_Data_An_Prec!$AP:$AP,$B67,BV_Data_An_Prec!$AQ:$AQ,$C67,BV_Data_An_Prec!$AR:$AR,Q$2)</f>
        <v>965</v>
      </c>
      <c r="R67" s="243"/>
      <c r="S67" s="266">
        <f t="shared" si="18"/>
        <v>-395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f>+INDEX('Budget original'!$A$2:$AO$501,MATCH($A68,'Budget original'!$A$2:$A$501,0),MATCH(F$2,'Budget original'!$A$2:$AO$2,0))</f>
        <v>0</v>
      </c>
      <c r="G68" s="288"/>
      <c r="H68" s="38"/>
      <c r="I68" s="244"/>
      <c r="J68" s="243"/>
      <c r="K68" s="38"/>
      <c r="L68" s="266">
        <f>SUMIFS(BV_Data_An_Cour!$AM:$AM,BV_Data_An_Cour!$AP:$AP,$B68,BV_Data_An_Cour!$AQ:$AQ,$C68,BV_Data_An_Cour!$AR:$AR,L$2)</f>
        <v>2394.3199999999997</v>
      </c>
      <c r="M68" s="243"/>
      <c r="N68" s="658">
        <f t="shared" si="17"/>
        <v>2394.3199999999997</v>
      </c>
      <c r="O68" s="243"/>
      <c r="P68" s="38"/>
      <c r="Q68" s="266">
        <f>SUMIFS(BV_Data_An_Prec!$AM:$AM,BV_Data_An_Prec!$AP:$AP,$B68,BV_Data_An_Prec!$AQ:$AQ,$C68,BV_Data_An_Prec!$AR:$AR,Q$2)</f>
        <v>385.63000000000011</v>
      </c>
      <c r="R68" s="243"/>
      <c r="S68" s="266">
        <f t="shared" si="18"/>
        <v>2008.6899999999996</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f>+INDEX('Budget original'!$A$2:$AO$501,MATCH($A69,'Budget original'!$A$2:$A$501,0),MATCH(F$2,'Budget original'!$A$2:$AO$2,0))</f>
        <v>0</v>
      </c>
      <c r="G69" s="288"/>
      <c r="H69" s="38"/>
      <c r="I69" s="244"/>
      <c r="J69" s="243"/>
      <c r="K69" s="38"/>
      <c r="L69" s="266"/>
      <c r="M69" s="243"/>
      <c r="N69" s="266">
        <f t="shared" si="17"/>
        <v>0</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f>+INDEX('Budget original'!$A$2:$AO$501,MATCH($A70,'Budget original'!$A$2:$A$501,0),MATCH(F$2,'Budget original'!$A$2:$AO$2,0))</f>
        <v>0</v>
      </c>
      <c r="G70" s="288"/>
      <c r="H70" s="38"/>
      <c r="I70" s="244"/>
      <c r="J70" s="243"/>
      <c r="K70" s="38"/>
      <c r="L70" s="266">
        <f>SUMIFS(BV_Data_An_Cour!$AM:$AM,BV_Data_An_Cour!$AP:$AP,$B70,BV_Data_An_Cour!$AQ:$AQ,$C70,BV_Data_An_Cour!$AR:$AR,L$2)</f>
        <v>0</v>
      </c>
      <c r="M70" s="243"/>
      <c r="N70" s="266">
        <f t="shared" si="17"/>
        <v>0</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f>+INDEX('Budget original'!$A$2:$AO$501,MATCH($A71,'Budget original'!$A$2:$A$501,0),MATCH(F$2,'Budget original'!$A$2:$AO$2,0))</f>
        <v>0</v>
      </c>
      <c r="G71" s="288"/>
      <c r="H71" s="38"/>
      <c r="I71" s="244"/>
      <c r="J71" s="243"/>
      <c r="K71" s="38"/>
      <c r="L71" s="266">
        <f>SUMIFS(BV_Data_An_Cour!$AM:$AM,BV_Data_An_Cour!$AP:$AP,$B71,BV_Data_An_Cour!$AQ:$AQ,$C71,BV_Data_An_Cour!$AR:$AR,L$2)*0.32</f>
        <v>0</v>
      </c>
      <c r="M71" s="243"/>
      <c r="N71" s="266">
        <f t="shared" si="17"/>
        <v>0</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#DIV/0!</v>
      </c>
      <c r="F72" s="294">
        <f>+SUM(F55:F71)</f>
        <v>0</v>
      </c>
      <c r="G72" s="295"/>
      <c r="H72" s="293"/>
      <c r="I72" s="294"/>
      <c r="J72" s="295" t="s">
        <v>115</v>
      </c>
      <c r="K72" s="293">
        <f>L72/L$27</f>
        <v>0.10480770023820161</v>
      </c>
      <c r="L72" s="294">
        <f>+SUM(L55:L71)</f>
        <v>21856.819999999985</v>
      </c>
      <c r="M72" s="296"/>
      <c r="N72" s="294">
        <f>+SUM(N55:N71)</f>
        <v>21856.819999999985</v>
      </c>
      <c r="O72" s="295" t="s">
        <v>115</v>
      </c>
      <c r="P72" s="293">
        <f>Q72/Q$27</f>
        <v>0.17107473520102479</v>
      </c>
      <c r="Q72" s="294">
        <f>+SUM(Q55:Q71)</f>
        <v>43060.05999999999</v>
      </c>
      <c r="R72" s="297"/>
      <c r="S72" s="294">
        <f>+SUM(S55:S71)</f>
        <v>-21203.240000000005</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#DIV/0!</v>
      </c>
      <c r="F74" s="294">
        <f>F41+F54+F72</f>
        <v>0</v>
      </c>
      <c r="G74" s="295"/>
      <c r="H74" s="293"/>
      <c r="I74" s="294"/>
      <c r="J74" s="295" t="s">
        <v>115</v>
      </c>
      <c r="K74" s="293">
        <f>L74/L$27</f>
        <v>-0.14667646037164428</v>
      </c>
      <c r="L74" s="294">
        <f>L41+L54+L72</f>
        <v>-30588.219999999965</v>
      </c>
      <c r="M74" s="296"/>
      <c r="N74" s="294">
        <f t="shared" ref="N74:N82" si="19">L74-F74</f>
        <v>-30588.219999999965</v>
      </c>
      <c r="O74" s="295" t="s">
        <v>115</v>
      </c>
      <c r="P74" s="293">
        <f>Q74/Q$27</f>
        <v>-0.32725335525119542</v>
      </c>
      <c r="Q74" s="294">
        <f>Q41+Q54+Q72</f>
        <v>-82370.720000000176</v>
      </c>
      <c r="R74" s="297"/>
      <c r="S74" s="294">
        <f>L74-Q74</f>
        <v>51782.500000000211</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f>+INDEX('Budget original'!$A$2:$AO$501,MATCH($A75,'Budget original'!$A$2:$A$501,0),MATCH(F$2,'Budget original'!$A$2:$AO$2,0))</f>
        <v>0</v>
      </c>
      <c r="G75" s="288"/>
      <c r="H75" s="38"/>
      <c r="I75" s="244"/>
      <c r="J75" s="243"/>
      <c r="K75" s="38"/>
      <c r="L75" s="266">
        <f>-SUMIFS(BV_Data_An_Cour!$AM:$AM,BV_Data_An_Cour!$AP:$AP,$B75,BV_Data_An_Cour!$AQ:$AQ,$C75,BV_Data_An_Cour!$AR:$AR,L$2)</f>
        <v>0</v>
      </c>
      <c r="M75" s="243"/>
      <c r="N75" s="266">
        <f t="shared" si="19"/>
        <v>0</v>
      </c>
      <c r="O75" s="243"/>
      <c r="P75" s="38"/>
      <c r="Q75" s="266">
        <f>-SUMIFS(BV_Data_An_Prec!$AM:$AM,BV_Data_An_Prec!$AP:$AP,$B75,BV_Data_An_Prec!$AQ:$AQ,$C75,BV_Data_An_Prec!$AR:$AR,Q$2)-Q157</f>
        <v>26831.50999999998</v>
      </c>
      <c r="R75" s="243"/>
      <c r="S75" s="266">
        <f t="shared" ref="S75:S82" si="20">L75-Q75</f>
        <v>-26831.50999999998</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f>+INDEX('Budget original'!$A$2:$AO$501,MATCH($A76,'Budget original'!$A$2:$A$501,0),MATCH(F$2,'Budget original'!$A$2:$AO$2,0))</f>
        <v>0</v>
      </c>
      <c r="G76" s="288"/>
      <c r="H76" s="38"/>
      <c r="I76" s="244"/>
      <c r="J76" s="243"/>
      <c r="K76" s="38"/>
      <c r="L76" s="266">
        <f>-SUMIFS(BV_Data_An_Cour!$AM:$AM,BV_Data_An_Cour!$AP:$AP,$B76,BV_Data_An_Cour!$AQ:$AQ,$C76,BV_Data_An_Cour!$AR:$AR,L$2)</f>
        <v>0</v>
      </c>
      <c r="M76" s="243"/>
      <c r="N76" s="266">
        <f t="shared" si="19"/>
        <v>0</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f>+INDEX('Budget original'!$A$2:$AO$501,MATCH($A77,'Budget original'!$A$2:$A$501,0),MATCH(F$2,'Budget original'!$A$2:$AO$2,0))</f>
        <v>0</v>
      </c>
      <c r="G77" s="288"/>
      <c r="H77" s="38"/>
      <c r="I77" s="244"/>
      <c r="J77" s="243"/>
      <c r="K77" s="38"/>
      <c r="L77" s="266">
        <f>-SUMIFS(BV_Data_An_Cour!$AM:$AM,BV_Data_An_Cour!$AP:$AP,$B77,BV_Data_An_Cour!$AQ:$AQ,$C77,BV_Data_An_Cour!$AR:$AR,L$2)</f>
        <v>0</v>
      </c>
      <c r="M77" s="243"/>
      <c r="N77" s="266">
        <f t="shared" si="19"/>
        <v>0</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#DIV/0!</v>
      </c>
      <c r="F78" s="244">
        <f>+INDEX('Budget original'!$A$2:$AO$501,MATCH($A78,'Budget original'!$A$2:$A$501,0),MATCH(F$2,'Budget original'!$A$2:$AO$2,0))</f>
        <v>0</v>
      </c>
      <c r="G78" s="288"/>
      <c r="H78" s="38"/>
      <c r="I78" s="244"/>
      <c r="J78" s="734"/>
      <c r="K78" s="705">
        <f>+L78/J27</f>
        <v>0</v>
      </c>
      <c r="L78" s="266">
        <f>-SUMIFS(BV_Data_An_Cour!$AM:$AM,BV_Data_An_Cour!$AP:$AP,$B78,BV_Data_An_Cour!$AQ:$AQ,$C78,BV_Data_An_Cour!$AR:$AR,L$2)</f>
        <v>0</v>
      </c>
      <c r="M78" s="243"/>
      <c r="N78" s="266">
        <f t="shared" si="19"/>
        <v>0</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f>+INDEX('Budget original'!$A$2:$AO$501,MATCH($A79,'Budget original'!$A$2:$A$501,0),MATCH(F$2,'Budget original'!$A$2:$AO$2,0))</f>
        <v>0</v>
      </c>
      <c r="G79" s="288"/>
      <c r="H79" s="38"/>
      <c r="I79" s="244"/>
      <c r="J79" s="243"/>
      <c r="K79" s="38"/>
      <c r="L79" s="266">
        <f>-SUMIFS(BV_Data_An_Cour!$AM:$AM,BV_Data_An_Cour!$AP:$AP,$B79,BV_Data_An_Cour!$AQ:$AQ,$C79,BV_Data_An_Cour!$AR:$AR,L$2)</f>
        <v>0</v>
      </c>
      <c r="M79" s="243"/>
      <c r="N79" s="266">
        <f t="shared" si="19"/>
        <v>0</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f>+INDEX('Budget original'!$A$2:$AO$501,MATCH($A80,'Budget original'!$A$2:$A$501,0),MATCH(F$2,'Budget original'!$A$2:$AO$2,0))</f>
        <v>0</v>
      </c>
      <c r="G80" s="288"/>
      <c r="H80" s="38"/>
      <c r="I80" s="244"/>
      <c r="J80" s="243"/>
      <c r="K80" s="38"/>
      <c r="L80" s="266">
        <f>-SUMIFS(BV_Data_An_Cour!$AM:$AM,BV_Data_An_Cour!$AP:$AP,$B80,BV_Data_An_Cour!$AQ:$AQ,$C80,BV_Data_An_Cour!$AR:$AR,L$2)</f>
        <v>0</v>
      </c>
      <c r="M80" s="243"/>
      <c r="N80" s="266">
        <f t="shared" si="19"/>
        <v>0</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f>+INDEX('Budget original'!$A$2:$AO$501,MATCH($A81,'Budget original'!$A$2:$A$501,0),MATCH(F$2,'Budget original'!$A$2:$AO$2,0))</f>
        <v>0</v>
      </c>
      <c r="G81" s="288"/>
      <c r="H81" s="38"/>
      <c r="I81" s="244"/>
      <c r="J81" s="243"/>
      <c r="K81" s="38"/>
      <c r="L81" s="266">
        <f>-SUMIFS(BV_Data_An_Cour!$AM:$AM,BV_Data_An_Cour!$AP:$AP,$B81,BV_Data_An_Cour!$AQ:$AQ,$C81,BV_Data_An_Cour!$AR:$AR,L$2)</f>
        <v>0</v>
      </c>
      <c r="M81" s="243"/>
      <c r="N81" s="266">
        <f t="shared" si="19"/>
        <v>0</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#DIV/0!</v>
      </c>
      <c r="E82" s="307" t="e">
        <f>+F82/D24</f>
        <v>#DIV/0!</v>
      </c>
      <c r="F82" s="244">
        <f>+INDEX('Budget original'!$A$2:$AO$501,MATCH($A82,'Budget original'!$A$2:$A$501,0),MATCH(F$2,'Budget original'!$A$2:$AO$2,0))</f>
        <v>0</v>
      </c>
      <c r="G82" s="288"/>
      <c r="H82" s="38"/>
      <c r="I82" s="244"/>
      <c r="J82" s="744">
        <f>K82/699</f>
        <v>0.89060438845846568</v>
      </c>
      <c r="K82" s="307">
        <f>+L82/J24</f>
        <v>622.53246753246754</v>
      </c>
      <c r="L82" s="266">
        <f>-SUMIFS(BV_Data_An_Cour!$AM:$AM,BV_Data_An_Cour!$AP:$AP,$B82,BV_Data_An_Cour!$AQ:$AQ,$C82,BV_Data_An_Cour!$AR:$AR,L$2)</f>
        <v>47935</v>
      </c>
      <c r="M82" s="243"/>
      <c r="N82" s="266">
        <f t="shared" si="19"/>
        <v>47935</v>
      </c>
      <c r="O82" s="744">
        <f>P82/699</f>
        <v>0</v>
      </c>
      <c r="P82" s="307">
        <f>+Q82/O24</f>
        <v>0</v>
      </c>
      <c r="Q82" s="266">
        <f>-SUMIFS(BV_Data_An_Prec!$AM:$AM,BV_Data_An_Prec!$AP:$AP,$B82,BV_Data_An_Prec!$AQ:$AQ,$C82,BV_Data_An_Prec!$AR:$AR,Q$2)</f>
        <v>0</v>
      </c>
      <c r="R82" s="243"/>
      <c r="S82" s="266">
        <f t="shared" si="20"/>
        <v>47935</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f>+SUM(F75:F82)</f>
        <v>0</v>
      </c>
      <c r="G83" s="295"/>
      <c r="H83" s="293"/>
      <c r="I83" s="294"/>
      <c r="J83" s="295"/>
      <c r="K83" s="293"/>
      <c r="L83" s="294">
        <f>+SUM(L75:L82)</f>
        <v>47935</v>
      </c>
      <c r="M83" s="296"/>
      <c r="N83" s="294">
        <f>+SUM(N75:N82)</f>
        <v>47935</v>
      </c>
      <c r="O83" s="295"/>
      <c r="P83" s="293"/>
      <c r="Q83" s="294">
        <f>+SUM(Q75:Q82)</f>
        <v>26831.50999999998</v>
      </c>
      <c r="R83" s="297"/>
      <c r="S83" s="294">
        <f>+SUM(S75:S82)</f>
        <v>21103.49000000002</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f>F27-F74+F83</f>
        <v>0</v>
      </c>
      <c r="G85" s="957"/>
      <c r="H85" s="955"/>
      <c r="I85" s="956"/>
      <c r="J85" s="957"/>
      <c r="K85" s="955"/>
      <c r="L85" s="956">
        <f>L27-L74+L83</f>
        <v>287065.3400000087</v>
      </c>
      <c r="M85" s="958"/>
      <c r="N85" s="956">
        <f>N27-N41-N54-N72+N83</f>
        <v>287065.3400000087</v>
      </c>
      <c r="O85" s="957"/>
      <c r="P85" s="955"/>
      <c r="Q85" s="956">
        <f>Q27-Q74+Q83</f>
        <v>360905.44000001217</v>
      </c>
      <c r="R85" s="959"/>
      <c r="S85" s="956">
        <f>S27-S41-S54-S72+S83</f>
        <v>-73840.100000003469</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Septembre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4" t="s">
        <v>339</v>
      </c>
      <c r="E91" s="1279"/>
      <c r="F91" s="1280"/>
      <c r="G91" s="1281"/>
      <c r="H91" s="1279"/>
      <c r="I91" s="1280"/>
      <c r="J91" s="1281" t="s">
        <v>340</v>
      </c>
      <c r="K91" s="1279"/>
      <c r="L91" s="1280"/>
      <c r="M91" s="1281" t="s">
        <v>668</v>
      </c>
      <c r="N91" s="1280"/>
      <c r="O91" s="1274" t="s">
        <v>341</v>
      </c>
      <c r="P91" s="1279"/>
      <c r="Q91" s="1280"/>
      <c r="R91" s="1273" t="s">
        <v>670</v>
      </c>
      <c r="S91" s="1282"/>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f>+INDEX('Budget original'!$A$2:$AO$501,MATCH($A93,'Budget original'!$A$2:$A$501,0),MATCH(F$2,'Budget original'!$A$2:$AO$2,0))</f>
        <v>0</v>
      </c>
      <c r="G93" s="257"/>
      <c r="H93" s="949"/>
      <c r="I93" s="240"/>
      <c r="J93" s="238"/>
      <c r="K93" s="284"/>
      <c r="L93" s="286">
        <f>-SUMIFS(BV_Data_An_Cour!$AM:$AM,BV_Data_An_Cour!$AS:$AS,"Oui",BV_Data_An_Cour!$AP:$AP,$B93)</f>
        <v>1400233.5899999999</v>
      </c>
      <c r="M93" s="320"/>
      <c r="N93" s="321"/>
      <c r="O93" s="238"/>
      <c r="P93" s="284"/>
      <c r="Q93" s="286">
        <f>-SUMIFS(BV_Data_An_Prec!$AM:$AM,BV_Data_An_Prec!$AS:$AS,"Oui",BV_Data_An_Prec!$AP:$AP,$B93)</f>
        <v>2798079.140000002</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f>+INDEX('Budget original'!$A$2:$AO$501,MATCH($A94,'Budget original'!$A$2:$A$501,0),MATCH(D$2,'Budget original'!$A$2:$AO$2,0))</f>
        <v>0</v>
      </c>
      <c r="E94" s="244">
        <f>IF(D94=0,0,F94/D94)</f>
        <v>0</v>
      </c>
      <c r="F94" s="244">
        <f>+INDEX('Budget original'!$A$2:$AO$501,MATCH($A94,'Budget original'!$A$2:$A$501,0),MATCH(F$2,'Budget original'!$A$2:$AO$2,0))</f>
        <v>0</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f>J94-D94</f>
        <v>0</v>
      </c>
      <c r="N94" s="246">
        <f>L94-F94</f>
        <v>0</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f>+INDEX('Budget original'!$A$2:$AO$501,MATCH($A95,'Budget original'!$A$2:$A$501,0),MATCH(D$2,'Budget original'!$A$2:$AO$2,0))</f>
        <v>0</v>
      </c>
      <c r="E95" s="964">
        <f t="shared" ref="E95:E106" si="25">IF(D95=0,0,F95/D95)</f>
        <v>0</v>
      </c>
      <c r="F95" s="244">
        <f>+INDEX('Budget original'!$A$2:$AO$501,MATCH($A95,'Budget original'!$A$2:$A$501,0),MATCH(F$2,'Budget original'!$A$2:$AO$2,0))</f>
        <v>0</v>
      </c>
      <c r="G95" s="245"/>
      <c r="H95" s="244"/>
      <c r="I95" s="244"/>
      <c r="J95" s="245">
        <f>SUMIFS(BV_Data_An_Cour!$AW:$AW,BV_Data_An_Cour!$AP:$AP,$B95,BV_Data_An_Cour!$AQ:$AQ,$C95,BV_Data_An_Cour!$AY:$AY,J$2)</f>
        <v>22</v>
      </c>
      <c r="K95" s="281">
        <f t="shared" si="21"/>
        <v>1528.2427272727152</v>
      </c>
      <c r="L95" s="266">
        <f>-SUMIFS(BV_Data_An_Cour!$AM:$AM,BV_Data_An_Cour!$AP:$AP,$B95,BV_Data_An_Cour!$AQ:$AQ,$C95,BV_Data_An_Cour!$AR:$AR,$L2)</f>
        <v>33621.339999999735</v>
      </c>
      <c r="M95" s="245">
        <f>J95-D95</f>
        <v>22</v>
      </c>
      <c r="N95" s="246">
        <f>L95-F95</f>
        <v>33621.339999999735</v>
      </c>
      <c r="O95" s="245">
        <f>SUMIFS(BV_Data_An_Prec!$AW:$AW,BV_Data_An_Prec!$AP:$AP,$B95,BV_Data_An_Prec!$AQ:$AQ,$C95,BV_Data_An_Prec!$AY:$AY,O$2)</f>
        <v>14</v>
      </c>
      <c r="P95" s="281">
        <f t="shared" si="22"/>
        <v>262.2285714285598</v>
      </c>
      <c r="Q95" s="266">
        <f>-SUMIFS(BV_Data_An_Prec!$AM:$AM,BV_Data_An_Prec!$AP:$AP,$B95,BV_Data_An_Prec!$AQ:$AQ,$C95,BV_Data_An_Prec!$AR:$AR,$L2)</f>
        <v>3671.199999999837</v>
      </c>
      <c r="R95" s="245">
        <f>J95-O95</f>
        <v>8</v>
      </c>
      <c r="S95" s="266">
        <f t="shared" si="24"/>
        <v>29950.139999999898</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f>+INDEX('Budget original'!$A$2:$AO$501,MATCH($A96,'Budget original'!$A$2:$A$501,0),MATCH(D$2,'Budget original'!$A$2:$AO$2,0))</f>
        <v>0</v>
      </c>
      <c r="E96" s="965">
        <f t="shared" si="25"/>
        <v>0</v>
      </c>
      <c r="F96" s="244">
        <f>+INDEX('Budget original'!$A$2:$AO$501,MATCH($A96,'Budget original'!$A$2:$A$501,0),MATCH(F$2,'Budget original'!$A$2:$AO$2,0))</f>
        <v>0</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f>J96-D96</f>
        <v>0</v>
      </c>
      <c r="N96" s="967">
        <f>L96-F96</f>
        <v>0</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f>+D95+D94+D96</f>
        <v>0</v>
      </c>
      <c r="E97" s="711">
        <f t="shared" si="25"/>
        <v>0</v>
      </c>
      <c r="F97" s="251">
        <f>+F94+F95+F96</f>
        <v>0</v>
      </c>
      <c r="G97" s="252"/>
      <c r="H97" s="250"/>
      <c r="I97" s="251"/>
      <c r="J97" s="252">
        <f>+J94+J95+J96</f>
        <v>22</v>
      </c>
      <c r="K97" s="305">
        <f>IF(J97&lt;=0,0,L97/J97)</f>
        <v>1528.2427272727152</v>
      </c>
      <c r="L97" s="356">
        <f>+L94+L95+L96</f>
        <v>33621.339999999735</v>
      </c>
      <c r="M97" s="252">
        <f>J97-D97</f>
        <v>22</v>
      </c>
      <c r="N97" s="251">
        <f>L97-F97</f>
        <v>33621.339999999735</v>
      </c>
      <c r="O97" s="250">
        <f>+O94+O95+O96</f>
        <v>14</v>
      </c>
      <c r="P97" s="305">
        <f>IF(O97&lt;=0,0,Q97/O97)</f>
        <v>262.2285714285598</v>
      </c>
      <c r="Q97" s="356">
        <f>+Q94+Q95+Q96</f>
        <v>3671.199999999837</v>
      </c>
      <c r="R97" s="252">
        <f>R94+R95</f>
        <v>8</v>
      </c>
      <c r="S97" s="356">
        <f>S94+S95</f>
        <v>29950.139999999898</v>
      </c>
      <c r="T97" s="35">
        <v>22</v>
      </c>
      <c r="U97" s="1238">
        <v>34094</v>
      </c>
      <c r="V97" s="1239">
        <f>L97-U97</f>
        <v>-472.66000000026543</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0.5714285714285714</v>
      </c>
      <c r="S98" s="255">
        <f>IF(Q97=0,0,(S97/Q97))</f>
        <v>8.1581335803010528</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f>+INDEX('Budget original'!$A$2:$AO$501,MATCH($A101,'Budget original'!$A$2:$A$501,0),MATCH(D$2,'Budget original'!$A$2:$AO$2,0))</f>
        <v>0</v>
      </c>
      <c r="E101" s="244">
        <f t="shared" si="25"/>
        <v>0</v>
      </c>
      <c r="F101" s="244">
        <f>+INDEX('Budget original'!$A$2:$AO$501,MATCH($A101,'Budget original'!$A$2:$A$501,0),MATCH(F$2,'Budget original'!$A$2:$AO$2,0))</f>
        <v>0</v>
      </c>
      <c r="G101" s="245"/>
      <c r="H101" s="244"/>
      <c r="I101" s="244"/>
      <c r="J101" s="245">
        <f>SUMIFS(BV_Data_An_Cour!$AW:$AW,BV_Data_An_Cour!$AP:$AP,$B101,BV_Data_An_Cour!$AQ:$AQ,$C101,BV_Data_An_Cour!$AY:$AY,J$2)</f>
        <v>23</v>
      </c>
      <c r="K101" s="281">
        <f>IF(J101=0,0,L101/J101)</f>
        <v>-126.60695652173752</v>
      </c>
      <c r="L101" s="266">
        <f>-SUMIFS(BV_Data_An_Cour!$AM:$AM,BV_Data_An_Cour!$AP:$AP,$B101,BV_Data_An_Cour!$AQ:$AQ,$C101,BV_Data_An_Cour!$AR:$AR,L$2)</f>
        <v>-2911.9599999999627</v>
      </c>
      <c r="M101" s="245">
        <f>J101-D101</f>
        <v>23</v>
      </c>
      <c r="N101" s="246">
        <f>L101-F101</f>
        <v>-2911.9599999999627</v>
      </c>
      <c r="O101" s="245">
        <f>SUMIFS(BV_Data_An_Prec!$AW:$AW,BV_Data_An_Prec!$AP:$AP,$B101,BV_Data_An_Prec!$AQ:$AQ,$C101,BV_Data_An_Prec!$AY:$AY,O$2)</f>
        <v>65</v>
      </c>
      <c r="P101" s="281">
        <f>IF(O101=0,0,Q101/O101)</f>
        <v>1596.9832307692545</v>
      </c>
      <c r="Q101" s="266">
        <f>-SUMIFS(BV_Data_An_Prec!$AM:$AM,BV_Data_An_Prec!$AP:$AP,$B101,BV_Data_An_Prec!$AQ:$AQ,$C101,BV_Data_An_Prec!$AR:$AR,Q$2)</f>
        <v>103803.91000000155</v>
      </c>
      <c r="R101" s="267">
        <f>J101-O101</f>
        <v>-42</v>
      </c>
      <c r="S101" s="266">
        <f>L101-Q101</f>
        <v>-106715.87000000151</v>
      </c>
      <c r="T101" s="35">
        <v>20</v>
      </c>
      <c r="U101" s="1238">
        <v>-3262</v>
      </c>
      <c r="V101" s="1239">
        <f>L101-U101</f>
        <v>350.04000000003725</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f>+INDEX('Budget original'!$A$2:$AO$501,MATCH($A103,'Budget original'!$A$2:$A$501,0),MATCH(D$2,'Budget original'!$A$2:$AO$2,0))</f>
        <v>0</v>
      </c>
      <c r="E103" s="244">
        <f t="shared" si="25"/>
        <v>0</v>
      </c>
      <c r="F103" s="246">
        <f>+INDEX('Budget original'!$A$2:$AO$501,MATCH($A103,'Budget original'!$A$2:$A$501,0),MATCH(F$2,'Budget original'!$A$2:$AO$2,0))</f>
        <v>0</v>
      </c>
      <c r="G103" s="245"/>
      <c r="H103" s="244"/>
      <c r="I103" s="244"/>
      <c r="J103" s="245"/>
      <c r="K103" s="281">
        <f>IF(J97=0,0,L103/J97)</f>
        <v>0</v>
      </c>
      <c r="L103" s="266">
        <f>-SUMIFS(BV_Data_An_Cour!$AM:$AM,BV_Data_An_Cour!$AP:$AP,$B103,BV_Data_An_Cour!$AQ:$AQ,$C103,BV_Data_An_Cour!$AR:$AR,$L2)</f>
        <v>0</v>
      </c>
      <c r="M103" s="245"/>
      <c r="N103" s="246">
        <f>L103-F103</f>
        <v>0</v>
      </c>
      <c r="O103" s="245"/>
      <c r="P103" s="281">
        <f>IF(O97=0,0,Q103/O97)</f>
        <v>331.59928571428566</v>
      </c>
      <c r="Q103" s="266">
        <f>-SUMIFS(BV_Data_An_Prec!$AM:$AM,BV_Data_An_Prec!$AP:$AP,$B103,BV_Data_An_Prec!$AQ:$AQ,$C103,BV_Data_An_Prec!$AR:$AR,$L2)</f>
        <v>4642.3899999999994</v>
      </c>
      <c r="R103" s="267">
        <f>P103-K103</f>
        <v>331.59928571428566</v>
      </c>
      <c r="S103" s="266">
        <f t="shared" ref="S103:S105" si="29">L103-Q103</f>
        <v>-4642.3899999999994</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f>+INDEX('Budget original'!$A$2:$AO$501,MATCH($A104,'Budget original'!$A$2:$A$501,0),MATCH(D$2,'Budget original'!$A$2:$AO$2,0))</f>
        <v>0</v>
      </c>
      <c r="E104" s="244">
        <f t="shared" si="25"/>
        <v>0</v>
      </c>
      <c r="F104" s="246">
        <f>+INDEX('Budget original'!$A$2:$AO$501,MATCH($A104,'Budget original'!$A$2:$A$501,0),MATCH(F$2,'Budget original'!$A$2:$AO$2,0))</f>
        <v>0</v>
      </c>
      <c r="G104" s="245"/>
      <c r="H104" s="244"/>
      <c r="I104" s="244"/>
      <c r="J104" s="245"/>
      <c r="K104" s="281">
        <f>IF(J97=0,0,L104/J97)</f>
        <v>90.909090909090907</v>
      </c>
      <c r="L104" s="266">
        <f>-SUMIFS(BV_Data_An_Cour!$AM:$AM,BV_Data_An_Cour!$AP:$AP,$B104,BV_Data_An_Cour!$AQ:$AQ,$C104,BV_Data_An_Cour!$AR:$AR,$L2)</f>
        <v>2000</v>
      </c>
      <c r="M104" s="245"/>
      <c r="N104" s="246">
        <f>L104-F104</f>
        <v>2000</v>
      </c>
      <c r="O104" s="245"/>
      <c r="P104" s="281">
        <f>IF(O97=0,0,Q104/O97)</f>
        <v>697.64285714285711</v>
      </c>
      <c r="Q104" s="266">
        <f>-SUMIFS(BV_Data_An_Prec!$AM:$AM,BV_Data_An_Prec!$AP:$AP,$B104,BV_Data_An_Prec!$AQ:$AQ,$C104,BV_Data_An_Prec!$AR:$AR,$L2)</f>
        <v>9767</v>
      </c>
      <c r="R104" s="267">
        <f t="shared" ref="R104:R106" si="30">P104-K104</f>
        <v>606.73376623376623</v>
      </c>
      <c r="S104" s="266">
        <f t="shared" si="29"/>
        <v>-7767</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f>+INDEX('Budget original'!$A$2:$AO$501,MATCH($A105,'Budget original'!$A$2:$A$501,0),MATCH(D$2,'Budget original'!$A$2:$AO$2,0))</f>
        <v>0</v>
      </c>
      <c r="E105" s="949">
        <f t="shared" si="25"/>
        <v>0</v>
      </c>
      <c r="F105" s="246">
        <f>+INDEX('Budget original'!$A$2:$AO$501,MATCH($A105,'Budget original'!$A$2:$A$501,0),MATCH(F$2,'Budget original'!$A$2:$AO$2,0))</f>
        <v>0</v>
      </c>
      <c r="G105" s="245"/>
      <c r="H105" s="949"/>
      <c r="I105" s="244"/>
      <c r="J105" s="245"/>
      <c r="K105" s="284">
        <f>IF(J97=0,0,L105/J97)</f>
        <v>0</v>
      </c>
      <c r="L105" s="266">
        <f>-SUMIFS(BV_Data_An_Cour!$AM:$AM,BV_Data_An_Cour!$AP:$AP,$B105,BV_Data_An_Cour!$AQ:$AQ,$C105,BV_Data_An_Cour!$AR:$AR,$L$2)</f>
        <v>0</v>
      </c>
      <c r="M105" s="257"/>
      <c r="N105" s="246">
        <f>L105-F105</f>
        <v>0</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f>D97</f>
        <v>0</v>
      </c>
      <c r="E106" s="711">
        <f t="shared" si="25"/>
        <v>0</v>
      </c>
      <c r="F106" s="251">
        <f>F103+F104+F105</f>
        <v>0</v>
      </c>
      <c r="G106" s="252"/>
      <c r="H106" s="250"/>
      <c r="I106" s="251"/>
      <c r="J106" s="252">
        <f>J97</f>
        <v>22</v>
      </c>
      <c r="K106" s="355">
        <f>IF(J106&lt;=0,0,L106/J106)</f>
        <v>90.909090909090907</v>
      </c>
      <c r="L106" s="356">
        <f>L103+L104+L105</f>
        <v>2000</v>
      </c>
      <c r="M106" s="265">
        <f>J106-D106</f>
        <v>22</v>
      </c>
      <c r="N106" s="251">
        <f>L106-F106</f>
        <v>2000</v>
      </c>
      <c r="O106" s="252">
        <f>O97</f>
        <v>14</v>
      </c>
      <c r="P106" s="355">
        <f>IF(O106&lt;=0,0,Q106/O106)</f>
        <v>1029.2421428571429</v>
      </c>
      <c r="Q106" s="356">
        <f>Q103+Q104+Q105</f>
        <v>14409.39</v>
      </c>
      <c r="R106" s="357">
        <f t="shared" si="30"/>
        <v>938.333051948052</v>
      </c>
      <c r="S106" s="356">
        <f>L106-Q106</f>
        <v>-12409.39</v>
      </c>
      <c r="T106" s="35"/>
      <c r="U106" s="1238">
        <v>5059</v>
      </c>
      <c r="V106" s="1239">
        <f>L106-U106</f>
        <v>-3059</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#DIV/0!</v>
      </c>
      <c r="O107" s="260"/>
      <c r="P107" s="305"/>
      <c r="Q107" s="343"/>
      <c r="R107" s="342"/>
      <c r="S107" s="255">
        <f>IF(Q106=0,0,(S106/Q106))</f>
        <v>-0.86120161922191019</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f>D97+D101</f>
        <v>0</v>
      </c>
      <c r="E109" s="270">
        <f>IF(D109&lt;=0,0,F109/D109)</f>
        <v>0</v>
      </c>
      <c r="F109" s="271">
        <f>F97+F106+F101</f>
        <v>0</v>
      </c>
      <c r="G109" s="272"/>
      <c r="H109" s="270"/>
      <c r="I109" s="271"/>
      <c r="J109" s="272">
        <f>J97+J101</f>
        <v>45</v>
      </c>
      <c r="K109" s="269">
        <f>IF(J109&lt;=0,0,L109/J109)</f>
        <v>726.87511111110609</v>
      </c>
      <c r="L109" s="271">
        <f>L97+L106+L101+L99</f>
        <v>32709.379999999772</v>
      </c>
      <c r="M109" s="272">
        <f>J109-D109</f>
        <v>45</v>
      </c>
      <c r="N109" s="271">
        <f>L109-F109</f>
        <v>32709.379999999772</v>
      </c>
      <c r="O109" s="272">
        <f>O97+O101</f>
        <v>79</v>
      </c>
      <c r="P109" s="269">
        <f>IF(O109&lt;=0,0,Q109/O109)</f>
        <v>1542.8417721519163</v>
      </c>
      <c r="Q109" s="271">
        <f>Q97+Q106+Q101+Q99</f>
        <v>121884.50000000138</v>
      </c>
      <c r="R109" s="272">
        <f>J109-O109</f>
        <v>-34</v>
      </c>
      <c r="S109" s="271">
        <f>L109-Q109</f>
        <v>-89175.120000001611</v>
      </c>
      <c r="T109" s="35"/>
      <c r="U109" s="1238">
        <f>SUM(U97:U107)</f>
        <v>35891</v>
      </c>
      <c r="V109" s="1239">
        <f>L109-U109</f>
        <v>-3181.6200000002282</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-2.3235294117647061</v>
      </c>
      <c r="S110" s="326">
        <f>IF(Q109=0,0,(S109/Q109))</f>
        <v>-0.73163626219905398</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#DIV/0!</v>
      </c>
      <c r="E113" s="281" t="e">
        <f t="shared" ref="E113:E122" si="31">F113/D$97</f>
        <v>#DIV/0!</v>
      </c>
      <c r="F113" s="244">
        <f>+INDEX('Budget original'!$A$2:$AO$501,MATCH($A113,'Budget original'!$A$2:$A$501,0),MATCH(F$2,'Budget original'!$A$2:$AO$2,0))</f>
        <v>0</v>
      </c>
      <c r="G113" s="282"/>
      <c r="H113" s="281"/>
      <c r="I113" s="244"/>
      <c r="J113" s="282">
        <f>L113/L97</f>
        <v>0.24121316996883727</v>
      </c>
      <c r="K113" s="281">
        <f>IF($J$97=0,0,L113/(J$94+J$95+J96))</f>
        <v>368.63227272727289</v>
      </c>
      <c r="L113" s="266">
        <f>SUMIFS(BV_Data_An_Cour!$AM:$AM,BV_Data_An_Cour!$AP:$AP,$B113,BV_Data_An_Cour!$AQ:$AQ,$C113,BV_Data_An_Cour!$AR:$AR,$L$2)</f>
        <v>8109.9100000000035</v>
      </c>
      <c r="M113" s="243"/>
      <c r="N113" s="266">
        <f t="shared" ref="N113:N154" si="32">L113-F113</f>
        <v>8109.9100000000035</v>
      </c>
      <c r="O113" s="282">
        <f>Q113/Q97</f>
        <v>6.2610835694053781</v>
      </c>
      <c r="P113" s="281">
        <f>IF($J$97=0,0,Q113/(O$94+O$95+O96))</f>
        <v>1641.8350000000003</v>
      </c>
      <c r="Q113" s="266">
        <f>SUMIFS(BV_Data_An_Prec!$AM:$AM,BV_Data_An_Prec!$AP:$AP,$B113,BV_Data_An_Prec!$AQ:$AQ,$C113,BV_Data_An_Prec!$AR:$AR,$L$2)</f>
        <v>22985.690000000002</v>
      </c>
      <c r="R113" s="243"/>
      <c r="S113" s="266">
        <f>L113-Q113</f>
        <v>-14875.779999999999</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#DIV/0!</v>
      </c>
      <c r="E114" s="284" t="e">
        <f t="shared" si="31"/>
        <v>#DIV/0!</v>
      </c>
      <c r="F114" s="240">
        <f>+INDEX('Budget original'!$A$2:$AO$501,MATCH($A114,'Budget original'!$A$2:$A$501,0),MATCH(F$2,'Budget original'!$A$2:$AO$2,0))</f>
        <v>0</v>
      </c>
      <c r="G114" s="285"/>
      <c r="H114" s="284"/>
      <c r="I114" s="240"/>
      <c r="J114" s="285">
        <f>L114/(L106)</f>
        <v>0</v>
      </c>
      <c r="K114" s="284">
        <f>IF($J$97=0,0,L114/(J$94+J$95+J96))</f>
        <v>0</v>
      </c>
      <c r="L114" s="266">
        <f>SUMIFS(BV_Data_An_Cour!$AM:$AM,BV_Data_An_Cour!$AP:$AP,$B114,BV_Data_An_Cour!$AQ:$AQ,$C114,BV_Data_An_Cour!$AR:$AR,$L$2)</f>
        <v>0</v>
      </c>
      <c r="M114" s="238"/>
      <c r="N114" s="286">
        <f t="shared" si="32"/>
        <v>0</v>
      </c>
      <c r="O114" s="285">
        <f>Q114/(Q106)</f>
        <v>0.28982698087844105</v>
      </c>
      <c r="P114" s="284">
        <f>IF($J$97=0,0,Q114/(O$94+O$95+O96))</f>
        <v>298.30214285714283</v>
      </c>
      <c r="Q114" s="266">
        <f>SUMIFS(BV_Data_An_Prec!$AM:$AM,BV_Data_An_Prec!$AP:$AP,$B114,BV_Data_An_Prec!$AQ:$AQ,$C114,BV_Data_An_Prec!$AR:$AR,$L$2)</f>
        <v>4176.2299999999996</v>
      </c>
      <c r="R114" s="238"/>
      <c r="S114" s="286">
        <f t="shared" ref="S114:S166" si="33">L114-Q114</f>
        <v>-4176.2299999999996</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#DIV/0!</v>
      </c>
      <c r="F115" s="244">
        <f>+INDEX('Budget original'!$A$2:$AO$501,MATCH($A115,'Budget original'!$A$2:$A$501,0),MATCH(F$2,'Budget original'!$A$2:$AO$2,0))</f>
        <v>0</v>
      </c>
      <c r="G115" s="288"/>
      <c r="H115" s="281"/>
      <c r="I115" s="244"/>
      <c r="J115" s="243"/>
      <c r="K115" s="281">
        <f>IF($J$97=0,0,L115/(J$94+J$95+J96))</f>
        <v>-133.35136363636363</v>
      </c>
      <c r="L115" s="303">
        <f>SUMIFS(BV_Data_An_Cour!$AM:$AM,BV_Data_An_Cour!$AP:$AP,$B115,BV_Data_An_Cour!$AQ:$AQ,$C115,BV_Data_An_Cour!$AR:$AR,$L$2)</f>
        <v>-2933.7299999999996</v>
      </c>
      <c r="M115" s="243"/>
      <c r="N115" s="266">
        <f t="shared" si="32"/>
        <v>-2933.7299999999996</v>
      </c>
      <c r="O115" s="243"/>
      <c r="P115" s="281">
        <f>IF($J$97=0,0,Q115/(O$94+O$95+O96))</f>
        <v>-397.77000000000004</v>
      </c>
      <c r="Q115" s="303">
        <f>SUMIFS(BV_Data_An_Prec!$AM:$AM,BV_Data_An_Prec!$AP:$AP,$B115,BV_Data_An_Prec!$AQ:$AQ,$C115,BV_Data_An_Prec!$AR:$AR,$L$2)</f>
        <v>-5568.7800000000007</v>
      </c>
      <c r="R115" s="243"/>
      <c r="S115" s="266">
        <f t="shared" si="33"/>
        <v>2635.0500000000011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#DIV/0!</v>
      </c>
      <c r="F116" s="244">
        <f>+INDEX('Budget original'!$A$2:$AO$501,MATCH($A116,'Budget original'!$A$2:$A$501,0),MATCH(F$2,'Budget original'!$A$2:$AO$2,0))</f>
        <v>0</v>
      </c>
      <c r="G116" s="288"/>
      <c r="H116" s="281"/>
      <c r="I116" s="244"/>
      <c r="J116" s="243"/>
      <c r="K116" s="281">
        <f>IF($J$97=0,0,L116/(J$94+J$95+J96))</f>
        <v>11.772272727272718</v>
      </c>
      <c r="L116" s="266">
        <f>SUMIFS(BV_Data_An_Cour!$AM:$AM,BV_Data_An_Cour!$AP:$AP,$B116,BV_Data_An_Cour!$AQ:$AQ,$C116,BV_Data_An_Cour!$AR:$AR,$L$2)</f>
        <v>258.98999999999978</v>
      </c>
      <c r="M116" s="243"/>
      <c r="N116" s="266">
        <f t="shared" si="32"/>
        <v>258.98999999999978</v>
      </c>
      <c r="O116" s="243"/>
      <c r="P116" s="281">
        <f>IF($J$97=0,0,Q116/(O$94+O$95+O96))</f>
        <v>9.1950000000000021</v>
      </c>
      <c r="Q116" s="266">
        <f>SUMIFS(BV_Data_An_Prec!$AM:$AM,BV_Data_An_Prec!$AP:$AP,$B116,BV_Data_An_Prec!$AQ:$AQ,$C116,BV_Data_An_Prec!$AR:$AR,$L$2)</f>
        <v>128.73000000000002</v>
      </c>
      <c r="R116" s="243"/>
      <c r="S116" s="266">
        <f t="shared" si="33"/>
        <v>130.25999999999976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#DIV/0!</v>
      </c>
      <c r="F117" s="240">
        <f>+INDEX('Budget original'!$A$2:$AO$501,MATCH($A117,'Budget original'!$A$2:$A$501,0),MATCH(F$2,'Budget original'!$A$2:$AO$2,0))</f>
        <v>0</v>
      </c>
      <c r="G117" s="290"/>
      <c r="H117" s="284"/>
      <c r="I117" s="240"/>
      <c r="J117" s="238"/>
      <c r="K117" s="284">
        <f>IF($J$97=0,0,L117/(J$94+J$95+J96))</f>
        <v>55.264999999999993</v>
      </c>
      <c r="L117" s="286">
        <f>SUMIFS(BV_Data_An_Cour!$AM:$AM,BV_Data_An_Cour!$AP:$AP,$B117,BV_Data_An_Cour!$AQ:$AQ,$C117,BV_Data_An_Cour!$AR:$AR,$L$2)</f>
        <v>1215.83</v>
      </c>
      <c r="M117" s="238"/>
      <c r="N117" s="286">
        <f t="shared" si="32"/>
        <v>1215.83</v>
      </c>
      <c r="O117" s="238"/>
      <c r="P117" s="284">
        <f>IF($J$97=0,0,Q117/(O$94+O$95+O96))</f>
        <v>0</v>
      </c>
      <c r="Q117" s="286">
        <f>SUMIFS(BV_Data_An_Prec!$AM:$AM,BV_Data_An_Prec!$AP:$AP,$B117,BV_Data_An_Prec!$AQ:$AQ,$C117,BV_Data_An_Prec!$AR:$AR,$L$2)</f>
        <v>0</v>
      </c>
      <c r="R117" s="238"/>
      <c r="S117" s="286">
        <f t="shared" si="33"/>
        <v>1215.83</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#DIV/0!</v>
      </c>
      <c r="F118" s="244">
        <f>+INDEX('Budget original'!$A$2:$AO$501,MATCH($A118,'Budget original'!$A$2:$A$501,0),MATCH(F$2,'Budget original'!$A$2:$AO$2,0))</f>
        <v>0</v>
      </c>
      <c r="G118" s="288"/>
      <c r="H118" s="281"/>
      <c r="I118" s="244"/>
      <c r="J118" s="243"/>
      <c r="K118" s="281">
        <f>IF($J$97=0,0,L118/(J$94+J$95+J96))</f>
        <v>493.69772727272738</v>
      </c>
      <c r="L118" s="266">
        <f>SUMIFS(BV_Data_An_Cour!$AM:$AM,BV_Data_An_Cour!$AP:$AP,$B118,BV_Data_An_Cour!$AQ:$AQ,$C118,BV_Data_An_Cour!$AR:$AR,$L$2)</f>
        <v>10861.350000000002</v>
      </c>
      <c r="M118" s="243"/>
      <c r="N118" s="266">
        <f t="shared" si="32"/>
        <v>10861.350000000002</v>
      </c>
      <c r="O118" s="243"/>
      <c r="P118" s="281">
        <f>IF($J$97=0,0,Q118/(O$94+O$95+O96))</f>
        <v>634.28142857142848</v>
      </c>
      <c r="Q118" s="266">
        <f>SUMIFS(BV_Data_An_Prec!$AM:$AM,BV_Data_An_Prec!$AP:$AP,$B118,BV_Data_An_Prec!$AQ:$AQ,$C118,BV_Data_An_Prec!$AR:$AR,$L$2)</f>
        <v>8879.9399999999987</v>
      </c>
      <c r="R118" s="243"/>
      <c r="S118" s="266">
        <f t="shared" si="33"/>
        <v>1981.4100000000035</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#DIV/0!</v>
      </c>
      <c r="F119" s="244">
        <f>+INDEX('Budget original'!$A$2:$AO$501,MATCH($A119,'Budget original'!$A$2:$A$501,0),MATCH(F$2,'Budget original'!$A$2:$AO$2,0))</f>
        <v>0</v>
      </c>
      <c r="G119" s="288"/>
      <c r="H119" s="281"/>
      <c r="I119" s="244"/>
      <c r="J119" s="243"/>
      <c r="K119" s="281">
        <f>IF($J$97=0,0,L119/(J$94+J$95+J96))</f>
        <v>121.7559090909093</v>
      </c>
      <c r="L119" s="658">
        <f>SUMIFS(BV_Data_An_Cour!$AM:$AM,BV_Data_An_Cour!$AP:$AP,$B119,BV_Data_An_Cour!$AQ:$AQ,$C119,BV_Data_An_Cour!$AR:$AR,$L$2)</f>
        <v>2678.6300000000047</v>
      </c>
      <c r="M119" s="243"/>
      <c r="N119" s="658">
        <f t="shared" si="32"/>
        <v>2678.6300000000047</v>
      </c>
      <c r="O119" s="243"/>
      <c r="P119" s="281">
        <f>IF($J$97=0,0,Q119/(O$94+O$95+O96))</f>
        <v>928.15285714285812</v>
      </c>
      <c r="Q119" s="658">
        <f>SUMIFS(BV_Data_An_Prec!$AM:$AM,BV_Data_An_Prec!$AP:$AP,$B119,BV_Data_An_Prec!$AQ:$AQ,$C119,BV_Data_An_Prec!$AR:$AR,$L$2)</f>
        <v>12994.140000000014</v>
      </c>
      <c r="R119" s="243"/>
      <c r="S119" s="266">
        <f t="shared" si="33"/>
        <v>-10315.510000000009</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#DIV/0!</v>
      </c>
      <c r="F120" s="244">
        <f>+INDEX('Budget original'!$A$2:$AO$501,MATCH($A120,'Budget original'!$A$2:$A$501,0),MATCH(F$2,'Budget original'!$A$2:$AO$2,0))</f>
        <v>0</v>
      </c>
      <c r="G120" s="288"/>
      <c r="H120" s="281"/>
      <c r="I120" s="244"/>
      <c r="J120" s="243"/>
      <c r="K120" s="281">
        <f>IF($J$97=0,0,L120/(J$94+J$95))</f>
        <v>0</v>
      </c>
      <c r="L120" s="266">
        <f>SUMIFS(BV_Data_An_Cour!$AM:$AM,BV_Data_An_Cour!$AP:$AP,$B120,BV_Data_An_Cour!$AQ:$AQ,$C120,BV_Data_An_Cour!$AR:$AR,$L$2)</f>
        <v>0</v>
      </c>
      <c r="M120" s="243"/>
      <c r="N120" s="266">
        <f t="shared" si="32"/>
        <v>0</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#DIV/0!</v>
      </c>
      <c r="F121" s="244">
        <f>+INDEX('Budget original'!$A$2:$AO$501,MATCH($A121,'Budget original'!$A$2:$A$501,0),MATCH(F$2,'Budget original'!$A$2:$AO$2,0))</f>
        <v>0</v>
      </c>
      <c r="G121" s="288"/>
      <c r="H121" s="281"/>
      <c r="I121" s="244"/>
      <c r="J121" s="243"/>
      <c r="K121" s="281">
        <f>IF($J$97=0,0,L121/(J$94+J$95))</f>
        <v>0</v>
      </c>
      <c r="L121" s="266">
        <f>SUMIFS(BV_Data_An_Cour!$AM:$AM,BV_Data_An_Cour!$AP:$AP,$B121,BV_Data_An_Cour!$AQ:$AQ,$C121,BV_Data_An_Cour!$AR:$AR,$L$2)</f>
        <v>0</v>
      </c>
      <c r="M121" s="243"/>
      <c r="N121" s="266">
        <f t="shared" si="32"/>
        <v>0</v>
      </c>
      <c r="O121" s="243"/>
      <c r="P121" s="281">
        <f>IF($J$97=0,0,Q121/(O$94+O$95))</f>
        <v>0</v>
      </c>
      <c r="Q121" s="266">
        <f>SUMIFS(BV_Data_An_Prec!$AM:$AM,BV_Data_An_Prec!$AP:$AP,$B121,BV_Data_An_Prec!$AQ:$AQ,$C121,BV_Data_An_Prec!$AR:$AR,$L$2)</f>
        <v>0</v>
      </c>
      <c r="R121" s="243"/>
      <c r="S121" s="266">
        <f t="shared" si="33"/>
        <v>0</v>
      </c>
      <c r="T121" s="35"/>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#DIV/0!</v>
      </c>
      <c r="F122" s="244">
        <f>+INDEX('Budget original'!$A$2:$AO$501,MATCH($A122,'Budget original'!$A$2:$A$501,0),MATCH(F$2,'Budget original'!$A$2:$AO$2,0))</f>
        <v>0</v>
      </c>
      <c r="G122" s="288"/>
      <c r="H122" s="281"/>
      <c r="I122" s="244"/>
      <c r="J122" s="243"/>
      <c r="K122" s="281">
        <f>IF($J$97=0,0,L122/(J$94+J$95))</f>
        <v>0</v>
      </c>
      <c r="L122" s="246">
        <f>SUMIFS(BV_Data_An_Cour!$AM:$AM,BV_Data_An_Cour!$AP:$AP,$B122,BV_Data_An_Cour!$AQ:$AQ,$C122,BV_Data_An_Cour!$AR:$AR,$L$2)</f>
        <v>0</v>
      </c>
      <c r="M122" s="243"/>
      <c r="N122" s="266">
        <f t="shared" si="32"/>
        <v>0</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#DIV/0!</v>
      </c>
      <c r="F123" s="294">
        <f>SUM(F113:F122)</f>
        <v>0</v>
      </c>
      <c r="G123" s="295"/>
      <c r="H123" s="293"/>
      <c r="I123" s="294"/>
      <c r="J123" s="295" t="s">
        <v>115</v>
      </c>
      <c r="K123" s="293">
        <f>L123/L$109</f>
        <v>0.6172840940427532</v>
      </c>
      <c r="L123" s="294">
        <f>SUM(L113:L122)</f>
        <v>20190.98000000001</v>
      </c>
      <c r="M123" s="296"/>
      <c r="N123" s="294">
        <f t="shared" si="32"/>
        <v>20190.98000000001</v>
      </c>
      <c r="O123" s="295" t="s">
        <v>115</v>
      </c>
      <c r="P123" s="293">
        <f>Q123/Q$109</f>
        <v>0.35768247808375564</v>
      </c>
      <c r="Q123" s="294">
        <f>SUM(Q113:Q122)</f>
        <v>43595.950000000012</v>
      </c>
      <c r="R123" s="297"/>
      <c r="S123" s="294">
        <f t="shared" si="33"/>
        <v>-23404.97</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f>+INDEX('Budget original'!$A$2:$AO$501,MATCH($A124,'Budget original'!$A$2:$A$501,0),MATCH(F$2,'Budget original'!$A$2:$AO$2,0))</f>
        <v>0</v>
      </c>
      <c r="G124" s="243"/>
      <c r="H124" s="38"/>
      <c r="I124" s="244"/>
      <c r="J124" s="243"/>
      <c r="K124" s="38"/>
      <c r="L124" s="266">
        <f>SUMIFS(BV_Data_An_Cour!$AM:$AM,BV_Data_An_Cour!$AP:$AP,$B124,BV_Data_An_Cour!$AQ:$AQ,$C124,BV_Data_An_Cour!$AR:$AR,$L$2)</f>
        <v>2918.7799999999988</v>
      </c>
      <c r="M124" s="243"/>
      <c r="N124" s="266">
        <f t="shared" si="32"/>
        <v>2918.7799999999988</v>
      </c>
      <c r="O124" s="243"/>
      <c r="P124" s="38"/>
      <c r="Q124" s="266">
        <f>SUMIFS(BV_Data_An_Prec!$AM:$AM,BV_Data_An_Prec!$AP:$AP,$B124,BV_Data_An_Prec!$AQ:$AQ,$C124,BV_Data_An_Prec!$AR:$AR,$L$2)</f>
        <v>8566.4900000000052</v>
      </c>
      <c r="R124" s="243"/>
      <c r="S124" s="266">
        <f t="shared" si="33"/>
        <v>-5647.7100000000064</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f>+INDEX('Budget original'!$A$2:$AO$501,MATCH($A125,'Budget original'!$A$2:$A$501,0),MATCH(F$2,'Budget original'!$A$2:$AO$2,0))</f>
        <v>0</v>
      </c>
      <c r="G125" s="288"/>
      <c r="H125" s="38"/>
      <c r="I125" s="240"/>
      <c r="J125" s="243"/>
      <c r="K125" s="38"/>
      <c r="L125" s="266">
        <f>SUMIFS(BV_Data_An_Cour!$AM:$AM,BV_Data_An_Cour!$AP:$AP,$B125,BV_Data_An_Cour!$AQ:$AQ,$C125,BV_Data_An_Cour!$AR:$AR,$L$2)</f>
        <v>3763.6200000000026</v>
      </c>
      <c r="M125" s="243"/>
      <c r="N125" s="266">
        <f t="shared" si="32"/>
        <v>3763.6200000000026</v>
      </c>
      <c r="O125" s="243"/>
      <c r="P125" s="38"/>
      <c r="Q125" s="266">
        <f>SUMIFS(BV_Data_An_Prec!$AM:$AM,BV_Data_An_Prec!$AP:$AP,$B125,BV_Data_An_Prec!$AQ:$AQ,$C125,BV_Data_An_Prec!$AR:$AR,$L$2)</f>
        <v>14083.079999999994</v>
      </c>
      <c r="R125" s="243"/>
      <c r="S125" s="266">
        <f t="shared" si="33"/>
        <v>-10319.459999999992</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f>+INDEX('Budget original'!$A$2:$AO$501,MATCH($A126,'Budget original'!$A$2:$A$501,0),MATCH(F$2,'Budget original'!$A$2:$AO$2,0))</f>
        <v>0</v>
      </c>
      <c r="G126" s="302"/>
      <c r="H126" s="301"/>
      <c r="I126" s="244"/>
      <c r="J126" s="233"/>
      <c r="K126" s="301"/>
      <c r="L126" s="303">
        <f>SUMIFS(BV_Data_An_Cour!$AM:$AM,BV_Data_An_Cour!$AP:$AP,$B126,BV_Data_An_Cour!$AQ:$AQ,$C126,BV_Data_An_Cour!$AR:$AR,$L$2)</f>
        <v>1579.67</v>
      </c>
      <c r="M126" s="233"/>
      <c r="N126" s="303">
        <f t="shared" si="32"/>
        <v>1579.67</v>
      </c>
      <c r="O126" s="233"/>
      <c r="P126" s="301"/>
      <c r="Q126" s="303">
        <f>SUMIFS(BV_Data_An_Prec!$AM:$AM,BV_Data_An_Prec!$AP:$AP,$B126,BV_Data_An_Prec!$AQ:$AQ,$C126,BV_Data_An_Prec!$AR:$AR,$L$2)</f>
        <v>1534.6799999999985</v>
      </c>
      <c r="R126" s="233"/>
      <c r="S126" s="303">
        <f t="shared" si="33"/>
        <v>44.990000000001601</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f>+INDEX('Budget original'!$A$2:$AO$501,MATCH($A127,'Budget original'!$A$2:$A$501,0),MATCH(F$2,'Budget original'!$A$2:$AO$2,0))</f>
        <v>0</v>
      </c>
      <c r="G127" s="288"/>
      <c r="H127" s="38"/>
      <c r="I127" s="244"/>
      <c r="J127" s="243"/>
      <c r="K127" s="38"/>
      <c r="L127" s="266">
        <f>SUMIFS(BV_Data_An_Cour!$AM:$AM,BV_Data_An_Cour!$AP:$AP,$B127,BV_Data_An_Cour!$AQ:$AQ,$C127,BV_Data_An_Cour!$AR:$AR,$L$2)</f>
        <v>0</v>
      </c>
      <c r="M127" s="243"/>
      <c r="N127" s="266">
        <f t="shared" si="32"/>
        <v>0</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f>+INDEX('Budget original'!$A$2:$AO$501,MATCH($A128,'Budget original'!$A$2:$A$501,0),MATCH(F$2,'Budget original'!$A$2:$AO$2,0))</f>
        <v>0</v>
      </c>
      <c r="G128" s="288"/>
      <c r="H128" s="38"/>
      <c r="I128" s="244"/>
      <c r="J128" s="243"/>
      <c r="K128" s="38"/>
      <c r="L128" s="266">
        <f>SUMIFS(BV_Data_An_Cour!$AM:$AM,BV_Data_An_Cour!$AP:$AP,$B128,BV_Data_An_Cour!$AQ:$AQ,$C128,BV_Data_An_Cour!$AR:$AR,$L$2)</f>
        <v>0</v>
      </c>
      <c r="M128" s="243"/>
      <c r="N128" s="266">
        <f t="shared" si="32"/>
        <v>0</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f>+INDEX('Budget original'!$A$2:$AO$501,MATCH($A129,'Budget original'!$A$2:$A$501,0),MATCH(F$2,'Budget original'!$A$2:$AO$2,0))</f>
        <v>0</v>
      </c>
      <c r="G129" s="288"/>
      <c r="H129" s="38"/>
      <c r="I129" s="244"/>
      <c r="J129" s="243"/>
      <c r="K129" s="38"/>
      <c r="L129" s="266">
        <f>SUMIFS(BV_Data_An_Cour!$AM:$AM,BV_Data_An_Cour!$AP:$AP,$B129,BV_Data_An_Cour!$AQ:$AQ,$C129,BV_Data_An_Cour!$AR:$AR,$L$2)</f>
        <v>0</v>
      </c>
      <c r="M129" s="243"/>
      <c r="N129" s="266">
        <f t="shared" si="32"/>
        <v>0</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f>+INDEX('Budget original'!$A$2:$AO$501,MATCH($A130,'Budget original'!$A$2:$A$501,0),MATCH(F$2,'Budget original'!$A$2:$AO$2,0))</f>
        <v>0</v>
      </c>
      <c r="G130" s="288"/>
      <c r="H130" s="38"/>
      <c r="I130" s="244"/>
      <c r="J130" s="243"/>
      <c r="K130" s="38"/>
      <c r="L130" s="266">
        <f>SUMIFS(BV_Data_An_Cour!$AM:$AM,BV_Data_An_Cour!$AP:$AP,$B130,BV_Data_An_Cour!$AQ:$AQ,$C130,BV_Data_An_Cour!$AR:$AR,$L$2)</f>
        <v>0</v>
      </c>
      <c r="M130" s="243"/>
      <c r="N130" s="266">
        <f t="shared" si="32"/>
        <v>0</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f>+INDEX('Budget original'!$A$2:$AO$501,MATCH($A131,'Budget original'!$A$2:$A$501,0),MATCH(F$2,'Budget original'!$A$2:$AO$2,0))</f>
        <v>0</v>
      </c>
      <c r="G131" s="288"/>
      <c r="H131" s="38"/>
      <c r="I131" s="244"/>
      <c r="J131" s="243"/>
      <c r="K131" s="38"/>
      <c r="L131" s="266">
        <f>SUMIFS(BV_Data_An_Cour!$AM:$AM,BV_Data_An_Cour!$AP:$AP,$B131,BV_Data_An_Cour!$AQ:$AQ,$C131,BV_Data_An_Cour!$AR:$AR,$L$2)</f>
        <v>2524.7000000000007</v>
      </c>
      <c r="M131" s="243"/>
      <c r="N131" s="266">
        <f t="shared" si="32"/>
        <v>2524.7000000000007</v>
      </c>
      <c r="O131" s="243"/>
      <c r="P131" s="38"/>
      <c r="Q131" s="266">
        <f>SUMIFS(BV_Data_An_Prec!$AM:$AM,BV_Data_An_Prec!$AP:$AP,$B131,BV_Data_An_Prec!$AQ:$AQ,$C131,BV_Data_An_Prec!$AR:$AR,$L$2)</f>
        <v>1439.1000000000004</v>
      </c>
      <c r="R131" s="243"/>
      <c r="S131" s="266">
        <f t="shared" si="33"/>
        <v>1085.6000000000004</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f>+INDEX('Budget original'!$A$2:$AO$501,MATCH($A132,'Budget original'!$A$2:$A$501,0),MATCH(F$2,'Budget original'!$A$2:$AO$2,0))</f>
        <v>0</v>
      </c>
      <c r="G132" s="302"/>
      <c r="H132" s="301"/>
      <c r="I132" s="261"/>
      <c r="J132" s="233"/>
      <c r="K132" s="301"/>
      <c r="L132" s="303">
        <f>SUMIFS(BV_Data_An_Cour!$AM:$AM,BV_Data_An_Cour!$AP:$AP,$B132,BV_Data_An_Cour!$AQ:$AQ,$C132,BV_Data_An_Cour!$AR:$AR,$L$2)</f>
        <v>2188.0899999999965</v>
      </c>
      <c r="M132" s="233"/>
      <c r="N132" s="303">
        <f t="shared" si="32"/>
        <v>2188.0899999999965</v>
      </c>
      <c r="O132" s="233"/>
      <c r="P132" s="301"/>
      <c r="Q132" s="303">
        <f>SUMIFS(BV_Data_An_Prec!$AM:$AM,BV_Data_An_Prec!$AP:$AP,$B132,BV_Data_An_Prec!$AQ:$AQ,$C132,BV_Data_An_Prec!$AR:$AR,$L$2)</f>
        <v>1792.9300000000003</v>
      </c>
      <c r="R132" s="233"/>
      <c r="S132" s="303">
        <f t="shared" si="33"/>
        <v>395.15999999999622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f>+INDEX('Budget original'!$A$2:$AO$501,MATCH($A133,'Budget original'!$A$2:$A$501,0),MATCH(F$2,'Budget original'!$A$2:$AO$2,0))</f>
        <v>0</v>
      </c>
      <c r="G133" s="288"/>
      <c r="H133" s="38"/>
      <c r="I133" s="244"/>
      <c r="J133" s="243"/>
      <c r="K133" s="38"/>
      <c r="L133" s="266">
        <f>SUMIFS(BV_Data_An_Cour!$AM:$AM,BV_Data_An_Cour!$AP:$AP,$B133,BV_Data_An_Cour!$AQ:$AQ,$C133,BV_Data_An_Cour!$AR:$AR,$L$2)</f>
        <v>223.52000000000044</v>
      </c>
      <c r="M133" s="243"/>
      <c r="N133" s="266">
        <f t="shared" si="32"/>
        <v>223.52000000000044</v>
      </c>
      <c r="O133" s="243"/>
      <c r="P133" s="38"/>
      <c r="Q133" s="266">
        <f>SUMIFS(BV_Data_An_Prec!$AM:$AM,BV_Data_An_Prec!$AP:$AP,$B133,BV_Data_An_Prec!$AQ:$AQ,$C133,BV_Data_An_Prec!$AR:$AR,$L$2)</f>
        <v>3430.5800000000017</v>
      </c>
      <c r="R133" s="243"/>
      <c r="S133" s="266">
        <f t="shared" si="33"/>
        <v>-3207.0600000000013</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f>+INDEX('Budget original'!$A$2:$AO$501,MATCH($A134,'Budget original'!$A$2:$A$501,0),MATCH(F$2,'Budget original'!$A$2:$AO$2,0))</f>
        <v>0</v>
      </c>
      <c r="G134" s="288"/>
      <c r="H134" s="38"/>
      <c r="I134" s="244"/>
      <c r="J134" s="243"/>
      <c r="K134" s="38"/>
      <c r="L134" s="266">
        <f>SUMIFS(BV_Data_An_Cour!$AM:$AM,BV_Data_An_Cour!$AP:$AP,$B134,BV_Data_An_Cour!$AQ:$AQ,$C134,BV_Data_An_Cour!$AR:$AR,$L$2)</f>
        <v>2161.8999999999996</v>
      </c>
      <c r="M134" s="243"/>
      <c r="N134" s="266">
        <f t="shared" si="32"/>
        <v>2161.8999999999996</v>
      </c>
      <c r="O134" s="243"/>
      <c r="P134" s="38"/>
      <c r="Q134" s="266">
        <f>SUMIFS(BV_Data_An_Prec!$AM:$AM,BV_Data_An_Prec!$AP:$AP,$B134,BV_Data_An_Prec!$AQ:$AQ,$C134,BV_Data_An_Prec!$AR:$AR,$L$2)</f>
        <v>31.949999999999989</v>
      </c>
      <c r="R134" s="243"/>
      <c r="S134" s="266">
        <f t="shared" si="33"/>
        <v>2129.9499999999998</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f>+INDEX('Budget original'!$A$2:$AO$501,MATCH($A135,'Budget original'!$A$2:$A$501,0),MATCH(F$2,'Budget original'!$A$2:$AO$2,0))</f>
        <v>0</v>
      </c>
      <c r="G135" s="290"/>
      <c r="H135" s="304"/>
      <c r="I135" s="244"/>
      <c r="J135" s="238"/>
      <c r="K135" s="304"/>
      <c r="L135" s="266">
        <f>SUMIFS(BV_Data_An_Cour!$AM:$AM,BV_Data_An_Cour!$AP:$AP,$B135,BV_Data_An_Cour!$AQ:$AQ,$C135,BV_Data_An_Cour!$AR:$AR,$L$2)</f>
        <v>0</v>
      </c>
      <c r="M135" s="238"/>
      <c r="N135" s="286">
        <f t="shared" si="32"/>
        <v>0</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#DIV/0!</v>
      </c>
      <c r="F136" s="294">
        <f>+SUM(F124:F135)</f>
        <v>0</v>
      </c>
      <c r="G136" s="295"/>
      <c r="H136" s="293"/>
      <c r="I136" s="294"/>
      <c r="J136" s="295" t="s">
        <v>115</v>
      </c>
      <c r="K136" s="293">
        <f>L136/L$109</f>
        <v>0.469598628894834</v>
      </c>
      <c r="L136" s="294">
        <f>SUM(L124:L135)</f>
        <v>15360.279999999999</v>
      </c>
      <c r="M136" s="296"/>
      <c r="N136" s="294">
        <f t="shared" si="32"/>
        <v>15360.279999999999</v>
      </c>
      <c r="O136" s="295" t="s">
        <v>115</v>
      </c>
      <c r="P136" s="293">
        <f>Q136/Q$109</f>
        <v>0.25334484696577209</v>
      </c>
      <c r="Q136" s="294">
        <f>SUM(Q124:Q135)</f>
        <v>30878.81</v>
      </c>
      <c r="R136" s="297"/>
      <c r="S136" s="294">
        <f t="shared" si="33"/>
        <v>-15518.530000000002</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f>+INDEX('Budget original'!$A$2:$AO$501,MATCH($A137,'Budget original'!$A$2:$A$501,0),MATCH(F$2,'Budget original'!$A$2:$AO$2,0))</f>
        <v>0</v>
      </c>
      <c r="G137" s="288"/>
      <c r="H137" s="38"/>
      <c r="I137" s="244"/>
      <c r="J137" s="243"/>
      <c r="K137" s="38"/>
      <c r="L137" s="266">
        <f>SUMIFS(BV_Data_An_Cour!$AM:$AM,BV_Data_An_Cour!$AP:$AP,$B137,BV_Data_An_Cour!$AQ:$AQ,$C137,BV_Data_An_Cour!$AR:$AR,$L$2)</f>
        <v>0</v>
      </c>
      <c r="M137" s="243"/>
      <c r="N137" s="266">
        <f t="shared" si="32"/>
        <v>0</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f>+INDEX('Budget original'!$A$2:$AO$501,MATCH($A138,'Budget original'!$A$2:$A$501,0),MATCH(F$2,'Budget original'!$A$2:$AO$2,0))</f>
        <v>0</v>
      </c>
      <c r="G138" s="288"/>
      <c r="H138" s="38"/>
      <c r="I138" s="244"/>
      <c r="J138" s="243"/>
      <c r="K138" s="38"/>
      <c r="L138" s="266">
        <f>SUMIFS(BV_Data_An_Cour!$AM:$AM,BV_Data_An_Cour!$AP:$AP,$B138,BV_Data_An_Cour!$AQ:$AQ,$C138,BV_Data_An_Cour!$AR:$AR,$L$2)</f>
        <v>0</v>
      </c>
      <c r="M138" s="243"/>
      <c r="N138" s="266">
        <f t="shared" si="32"/>
        <v>0</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f>+INDEX('Budget original'!$A$2:$AO$501,MATCH($A139,'Budget original'!$A$2:$A$501,0),MATCH(F$2,'Budget original'!$A$2:$AO$2,0))</f>
        <v>0</v>
      </c>
      <c r="G139" s="290"/>
      <c r="H139" s="304"/>
      <c r="I139" s="240"/>
      <c r="J139" s="238"/>
      <c r="K139" s="304"/>
      <c r="L139" s="286">
        <f>SUMIFS(BV_Data_An_Cour!$AM:$AM,BV_Data_An_Cour!$AP:$AP,$B139,BV_Data_An_Cour!$AQ:$AQ,$C139,BV_Data_An_Cour!$AR:$AR,$L$2)</f>
        <v>1525.9300000000003</v>
      </c>
      <c r="M139" s="238"/>
      <c r="N139" s="286">
        <f t="shared" si="32"/>
        <v>1525.9300000000003</v>
      </c>
      <c r="O139" s="238"/>
      <c r="P139" s="304"/>
      <c r="Q139" s="286">
        <f>SUMIFS(BV_Data_An_Prec!$AM:$AM,BV_Data_An_Prec!$AP:$AP,$B139,BV_Data_An_Prec!$AQ:$AQ,$C139,BV_Data_An_Prec!$AR:$AR,$L$2)</f>
        <v>3988.6800000000021</v>
      </c>
      <c r="R139" s="238"/>
      <c r="S139" s="286">
        <f t="shared" si="33"/>
        <v>-2462.7500000000018</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f>+INDEX('Budget original'!$A$2:$AO$501,MATCH($A140,'Budget original'!$A$2:$A$501,0),MATCH(F$2,'Budget original'!$A$2:$AO$2,0))</f>
        <v>0</v>
      </c>
      <c r="G140" s="288"/>
      <c r="H140" s="38"/>
      <c r="I140" s="244"/>
      <c r="J140" s="243"/>
      <c r="K140" s="38"/>
      <c r="L140" s="266">
        <f>SUMIFS(BV_Data_An_Cour!$AM:$AM,BV_Data_An_Cour!$AP:$AP,$B140,BV_Data_An_Cour!$AQ:$AQ,$C140,BV_Data_An_Cour!$AR:$AR,$L$2)</f>
        <v>1257.4400000000005</v>
      </c>
      <c r="M140" s="243"/>
      <c r="N140" s="266">
        <f t="shared" si="32"/>
        <v>1257.4400000000005</v>
      </c>
      <c r="O140" s="243"/>
      <c r="P140" s="38"/>
      <c r="Q140" s="266">
        <f>SUMIFS(BV_Data_An_Prec!$AM:$AM,BV_Data_An_Prec!$AP:$AP,$B140,BV_Data_An_Prec!$AQ:$AQ,$C140,BV_Data_An_Prec!$AR:$AR,$L$2)</f>
        <v>892.35999999999876</v>
      </c>
      <c r="R140" s="243"/>
      <c r="S140" s="266">
        <f t="shared" si="33"/>
        <v>365.08000000000175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f>+INDEX('Budget original'!$A$2:$AO$501,MATCH($A141,'Budget original'!$A$2:$A$501,0),MATCH(F$2,'Budget original'!$A$2:$AO$2,0))</f>
        <v>0</v>
      </c>
      <c r="G141" s="288"/>
      <c r="H141" s="38"/>
      <c r="I141" s="244"/>
      <c r="J141" s="243"/>
      <c r="K141" s="38"/>
      <c r="L141" s="266">
        <f>SUMIFS(BV_Data_An_Cour!$AM:$AM,BV_Data_An_Cour!$AP:$AP,$B141,BV_Data_An_Cour!$AQ:$AQ,$C141,BV_Data_An_Cour!$AR:$AR,$L$2)</f>
        <v>439.38999999999942</v>
      </c>
      <c r="M141" s="243"/>
      <c r="N141" s="266">
        <f t="shared" si="32"/>
        <v>439.38999999999942</v>
      </c>
      <c r="O141" s="243"/>
      <c r="P141" s="38"/>
      <c r="Q141" s="266">
        <f>SUMIFS(BV_Data_An_Prec!$AM:$AM,BV_Data_An_Prec!$AP:$AP,$B141,BV_Data_An_Prec!$AQ:$AQ,$C141,BV_Data_An_Prec!$AR:$AR,$L$2)</f>
        <v>6479.02</v>
      </c>
      <c r="R141" s="243"/>
      <c r="S141" s="266">
        <f t="shared" si="33"/>
        <v>-6039.630000000001</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f>+INDEX('Budget original'!$A$2:$AO$501,MATCH($A142,'Budget original'!$A$2:$A$501,0),MATCH(F$2,'Budget original'!$A$2:$AO$2,0))</f>
        <v>0</v>
      </c>
      <c r="G142" s="290"/>
      <c r="H142" s="304"/>
      <c r="I142" s="240"/>
      <c r="J142" s="238"/>
      <c r="K142" s="304"/>
      <c r="L142" s="286">
        <f>SUMIFS(BV_Data_An_Cour!$AM:$AM,BV_Data_An_Cour!$AP:$AP,$B142,BV_Data_An_Cour!$AQ:$AQ,$C142,BV_Data_An_Cour!$AR:$AR,$L$2)</f>
        <v>1957.0200000000004</v>
      </c>
      <c r="M142" s="238"/>
      <c r="N142" s="286">
        <f t="shared" si="32"/>
        <v>1957.0200000000004</v>
      </c>
      <c r="O142" s="238"/>
      <c r="P142" s="304"/>
      <c r="Q142" s="286">
        <f>SUMIFS(BV_Data_An_Prec!$AM:$AM,BV_Data_An_Prec!$AP:$AP,$B142,BV_Data_An_Prec!$AQ:$AQ,$C142,BV_Data_An_Prec!$AR:$AR,$L$2)</f>
        <v>5700.76</v>
      </c>
      <c r="R142" s="238"/>
      <c r="S142" s="286">
        <f t="shared" si="33"/>
        <v>-3743.74</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f>+INDEX('Budget original'!$A$2:$AO$501,MATCH($A143,'Budget original'!$A$2:$A$501,0),MATCH(F$2,'Budget original'!$A$2:$AO$2,0))</f>
        <v>0</v>
      </c>
      <c r="G143" s="288"/>
      <c r="H143" s="38"/>
      <c r="I143" s="244"/>
      <c r="J143" s="243"/>
      <c r="K143" s="38"/>
      <c r="L143" s="266">
        <f>SUMIFS(BV_Data_An_Cour!$AM:$AM,BV_Data_An_Cour!$AP:$AP,$B143,BV_Data_An_Cour!$AQ:$AQ,$C143,BV_Data_An_Cour!$AR:$AR,$L$2)</f>
        <v>210.47000000000003</v>
      </c>
      <c r="M143" s="243"/>
      <c r="N143" s="266">
        <f t="shared" si="32"/>
        <v>210.47000000000003</v>
      </c>
      <c r="O143" s="243"/>
      <c r="P143" s="38"/>
      <c r="Q143" s="266">
        <f>SUMIFS(BV_Data_An_Prec!$AM:$AM,BV_Data_An_Prec!$AP:$AP,$B143,BV_Data_An_Prec!$AQ:$AQ,$C143,BV_Data_An_Prec!$AR:$AR,$L$2)</f>
        <v>104.11999999999989</v>
      </c>
      <c r="R143" s="243"/>
      <c r="S143" s="266">
        <f t="shared" si="33"/>
        <v>106.35000000000014</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f>+INDEX('Budget original'!$A$2:$AO$501,MATCH($A144,'Budget original'!$A$2:$A$501,0),MATCH(F$2,'Budget original'!$A$2:$AO$2,0))</f>
        <v>0</v>
      </c>
      <c r="G144" s="288"/>
      <c r="H144" s="38"/>
      <c r="I144" s="244"/>
      <c r="J144" s="243"/>
      <c r="K144" s="38"/>
      <c r="L144" s="266">
        <f>SUMIFS(BV_Data_An_Cour!$AM:$AM,BV_Data_An_Cour!$AP:$AP,$B144,BV_Data_An_Cour!$AQ:$AQ,$C144,BV_Data_An_Cour!$AR:$AR,$L$2)</f>
        <v>0</v>
      </c>
      <c r="M144" s="243"/>
      <c r="N144" s="266">
        <f t="shared" si="32"/>
        <v>0</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f>+INDEX('Budget original'!$A$2:$AO$501,MATCH($A145,'Budget original'!$A$2:$A$501,0),MATCH(F$2,'Budget original'!$A$2:$AO$2,0))</f>
        <v>0</v>
      </c>
      <c r="G145" s="288"/>
      <c r="H145" s="38"/>
      <c r="I145" s="244"/>
      <c r="J145" s="243"/>
      <c r="K145" s="38"/>
      <c r="L145" s="266">
        <f>SUMIFS(BV_Data_An_Cour!$AM:$AM,BV_Data_An_Cour!$AP:$AP,$B145,BV_Data_An_Cour!$AQ:$AQ,$C145,BV_Data_An_Cour!$AR:$AR,$L$2)</f>
        <v>162.69999999999982</v>
      </c>
      <c r="M145" s="243"/>
      <c r="N145" s="266">
        <f t="shared" si="32"/>
        <v>162.69999999999982</v>
      </c>
      <c r="O145" s="243"/>
      <c r="P145" s="38"/>
      <c r="Q145" s="266">
        <f>SUMIFS(BV_Data_An_Prec!$AM:$AM,BV_Data_An_Prec!$AP:$AP,$B145,BV_Data_An_Prec!$AQ:$AQ,$C145,BV_Data_An_Prec!$AR:$AR,$L$2)</f>
        <v>240.25</v>
      </c>
      <c r="R145" s="243"/>
      <c r="S145" s="266">
        <f t="shared" si="33"/>
        <v>-77.550000000000182</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f>+INDEX('Budget original'!$A$2:$AO$501,MATCH($A146,'Budget original'!$A$2:$A$501,0),MATCH(F$2,'Budget original'!$A$2:$AO$2,0))</f>
        <v>0</v>
      </c>
      <c r="G146" s="288"/>
      <c r="H146" s="38"/>
      <c r="I146" s="244"/>
      <c r="J146" s="243"/>
      <c r="K146" s="38"/>
      <c r="L146" s="266">
        <f>SUMIFS(BV_Data_An_Cour!$AM:$AM,BV_Data_An_Cour!$AP:$AP,$B146,BV_Data_An_Cour!$AQ:$AQ,$C146,BV_Data_An_Cour!$AR:$AR,$L$2)</f>
        <v>291.25</v>
      </c>
      <c r="M146" s="243"/>
      <c r="N146" s="266">
        <f t="shared" si="32"/>
        <v>291.25</v>
      </c>
      <c r="O146" s="243"/>
      <c r="P146" s="38"/>
      <c r="Q146" s="266">
        <f>SUMIFS(BV_Data_An_Prec!$AM:$AM,BV_Data_An_Prec!$AP:$AP,$B146,BV_Data_An_Prec!$AQ:$AQ,$C146,BV_Data_An_Prec!$AR:$AR,$L$2)</f>
        <v>105.3100000000004</v>
      </c>
      <c r="R146" s="243"/>
      <c r="S146" s="266">
        <f t="shared" si="33"/>
        <v>185.9399999999996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f>+INDEX('Budget original'!$A$2:$AO$501,MATCH($A147,'Budget original'!$A$2:$A$501,0),MATCH(F$2,'Budget original'!$A$2:$AO$2,0))</f>
        <v>0</v>
      </c>
      <c r="G147" s="288"/>
      <c r="H147" s="38"/>
      <c r="I147" s="244"/>
      <c r="J147" s="243"/>
      <c r="K147" s="38"/>
      <c r="L147" s="266">
        <f>SUMIFS(BV_Data_An_Cour!$AM:$AM,BV_Data_An_Cour!$AP:$AP,$B147,BV_Data_An_Cour!$AQ:$AQ,$C147,BV_Data_An_Cour!$AR:$AR,$L$2)</f>
        <v>765.27999999999884</v>
      </c>
      <c r="M147" s="243"/>
      <c r="N147" s="266">
        <f t="shared" si="32"/>
        <v>765.27999999999884</v>
      </c>
      <c r="O147" s="243"/>
      <c r="P147" s="38"/>
      <c r="Q147" s="266">
        <f>SUMIFS(BV_Data_An_Prec!$AM:$AM,BV_Data_An_Prec!$AP:$AP,$B147,BV_Data_An_Prec!$AQ:$AQ,$C147,BV_Data_An_Prec!$AR:$AR,$L$2)</f>
        <v>1586.2599999999993</v>
      </c>
      <c r="R147" s="243"/>
      <c r="S147" s="266">
        <f t="shared" si="33"/>
        <v>-820.98000000000047</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f>+INDEX('Budget original'!$A$2:$AO$501,MATCH($A148,'Budget original'!$A$2:$A$501,0),MATCH(F$2,'Budget original'!$A$2:$AO$2,0))</f>
        <v>0</v>
      </c>
      <c r="G148" s="288"/>
      <c r="H148" s="38"/>
      <c r="I148" s="244"/>
      <c r="J148" s="243"/>
      <c r="K148" s="38"/>
      <c r="L148" s="266">
        <f>SUMIFS(BV_Data_An_Cour!$AM:$AM,BV_Data_An_Cour!$AP:$AP,$B148,BV_Data_An_Cour!$AQ:$AQ,$C148,BV_Data_An_Cour!$AR:$AR,$L$2)</f>
        <v>1872.1899999999996</v>
      </c>
      <c r="M148" s="243"/>
      <c r="N148" s="266">
        <f t="shared" si="32"/>
        <v>1872.1899999999996</v>
      </c>
      <c r="O148" s="243"/>
      <c r="P148" s="38"/>
      <c r="Q148" s="266">
        <f>SUMIFS(BV_Data_An_Prec!$AM:$AM,BV_Data_An_Prec!$AP:$AP,$B148,BV_Data_An_Prec!$AQ:$AQ,$C148,BV_Data_An_Prec!$AR:$AR,$L$2)</f>
        <v>3098.5</v>
      </c>
      <c r="R148" s="243"/>
      <c r="S148" s="266">
        <f t="shared" si="33"/>
        <v>-1226.3100000000004</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f>+INDEX('Budget original'!$A$2:$AO$501,MATCH($A149,'Budget original'!$A$2:$A$501,0),MATCH(F$2,'Budget original'!$A$2:$AO$2,0))</f>
        <v>0</v>
      </c>
      <c r="G149" s="288"/>
      <c r="H149" s="38"/>
      <c r="I149" s="244"/>
      <c r="J149" s="243"/>
      <c r="K149" s="38"/>
      <c r="L149" s="266">
        <f>SUMIFS(BV_Data_An_Cour!$AM:$AM,BV_Data_An_Cour!$AP:$AP,$B149,BV_Data_An_Cour!$AQ:$AQ,$C149,BV_Data_An_Cour!$AR:$AR,$L$2)</f>
        <v>0</v>
      </c>
      <c r="M149" s="243"/>
      <c r="N149" s="266">
        <f t="shared" si="32"/>
        <v>0</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f>+INDEX('Budget original'!$A$2:$AO$501,MATCH($A150,'Budget original'!$A$2:$A$501,0),MATCH(F$2,'Budget original'!$A$2:$AO$2,0))</f>
        <v>0</v>
      </c>
      <c r="G150" s="288"/>
      <c r="H150" s="38"/>
      <c r="I150" s="244"/>
      <c r="J150" s="243"/>
      <c r="K150" s="38"/>
      <c r="L150" s="658">
        <f>SUMIFS(BV_Data_An_Cour!$AM:$AM,BV_Data_An_Cour!$AP:$AP,$B150,BV_Data_An_Cour!$AQ:$AQ,$C150,BV_Data_An_Cour!$AR:$AR,$L$2)</f>
        <v>1645.38</v>
      </c>
      <c r="M150" s="243"/>
      <c r="N150" s="658">
        <f t="shared" si="32"/>
        <v>1645.38</v>
      </c>
      <c r="O150" s="243"/>
      <c r="P150" s="38"/>
      <c r="Q150" s="658">
        <f>SUMIFS(BV_Data_An_Prec!$AM:$AM,BV_Data_An_Prec!$AP:$AP,$B150,BV_Data_An_Prec!$AQ:$AQ,$C150,BV_Data_An_Prec!$AR:$AR,$L$2)</f>
        <v>251.75</v>
      </c>
      <c r="R150" s="243"/>
      <c r="S150" s="266">
        <f t="shared" si="33"/>
        <v>1393.63</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f>+INDEX('Budget original'!$A$2:$AO$501,MATCH($A151,'Budget original'!$A$2:$A$501,0),MATCH(F$2,'Budget original'!$A$2:$AO$2,0))</f>
        <v>0</v>
      </c>
      <c r="G151" s="288"/>
      <c r="H151" s="38"/>
      <c r="I151" s="244"/>
      <c r="J151" s="243"/>
      <c r="K151" s="38"/>
      <c r="L151" s="266">
        <f>SUMIFS(BV_Data_An_Cour!$AM:$AM,BV_Data_An_Cour!$AP:$AP,$B151,BV_Data_An_Cour!$AQ:$AQ,$C151,BV_Data_An_Cour!$AR:$AR,$L$2)</f>
        <v>0</v>
      </c>
      <c r="M151" s="243"/>
      <c r="N151" s="266">
        <f t="shared" si="32"/>
        <v>0</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f>+INDEX('Budget original'!$A$2:$AO$501,MATCH($A152,'Budget original'!$A$2:$A$501,0),MATCH(F$2,'Budget original'!$A$2:$AO$2,0))</f>
        <v>0</v>
      </c>
      <c r="G152" s="288"/>
      <c r="H152" s="38"/>
      <c r="I152" s="244"/>
      <c r="J152" s="243"/>
      <c r="K152" s="38"/>
      <c r="L152" s="266">
        <f>SUMIFS(BV_Data_An_Cour!$AM:$AM,BV_Data_An_Cour!$AP:$AP,$B152,BV_Data_An_Cour!$AQ:$AQ,$C152,BV_Data_An_Cour!$AR:$AR,$L$2)</f>
        <v>0</v>
      </c>
      <c r="M152" s="243"/>
      <c r="N152" s="266">
        <f t="shared" si="32"/>
        <v>0</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f>+INDEX('Budget original'!$A$2:$AO$501,MATCH($A153,'Budget original'!$A$2:$A$501,0),MATCH(F$2,'Budget original'!$A$2:$AO$2,0))</f>
        <v>0</v>
      </c>
      <c r="G153" s="288"/>
      <c r="H153" s="38"/>
      <c r="I153" s="244"/>
      <c r="J153" s="243"/>
      <c r="K153" s="38"/>
      <c r="L153" s="266">
        <f>SUMIFS(BV_Data_An_Cour!$AM:$AM,BV_Data_An_Cour!$AP:$AP,$B153,BV_Data_An_Cour!$AQ:$AQ,$C153,BV_Data_An_Cour!$AR:$AR,$L$2)</f>
        <v>0</v>
      </c>
      <c r="M153" s="243"/>
      <c r="N153" s="266">
        <f t="shared" si="32"/>
        <v>0</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#DIV/0!</v>
      </c>
      <c r="F154" s="294">
        <f>+SUM(F137:F153)</f>
        <v>0</v>
      </c>
      <c r="G154" s="295"/>
      <c r="H154" s="293"/>
      <c r="I154" s="294"/>
      <c r="J154" s="295" t="s">
        <v>115</v>
      </c>
      <c r="K154" s="293">
        <f>L154/L$109</f>
        <v>0.30960690786557465</v>
      </c>
      <c r="L154" s="294">
        <f>+SUM(L137:L153)</f>
        <v>10127.049999999999</v>
      </c>
      <c r="M154" s="296"/>
      <c r="N154" s="294">
        <f t="shared" si="32"/>
        <v>10127.049999999999</v>
      </c>
      <c r="O154" s="295" t="s">
        <v>115</v>
      </c>
      <c r="P154" s="293">
        <f>Q154/Q$109</f>
        <v>0.18416623934954604</v>
      </c>
      <c r="Q154" s="294">
        <f>+SUM(Q137:Q153)</f>
        <v>22447.01</v>
      </c>
      <c r="R154" s="297"/>
      <c r="S154" s="294">
        <f t="shared" si="33"/>
        <v>-12319.96</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#DIV/0!</v>
      </c>
      <c r="F156" s="294">
        <f>F123+F136+F154</f>
        <v>0</v>
      </c>
      <c r="G156" s="295"/>
      <c r="H156" s="293"/>
      <c r="I156" s="294"/>
      <c r="J156" s="295" t="s">
        <v>115</v>
      </c>
      <c r="K156" s="293">
        <f>L156/L$109</f>
        <v>1.396489630803162</v>
      </c>
      <c r="L156" s="294">
        <f>L123+L136+L154</f>
        <v>45678.310000000012</v>
      </c>
      <c r="M156" s="296"/>
      <c r="N156" s="294">
        <f t="shared" ref="N156:N163" si="34">L156-F156</f>
        <v>45678.310000000012</v>
      </c>
      <c r="O156" s="295" t="s">
        <v>115</v>
      </c>
      <c r="P156" s="293">
        <f>Q156/Q$109</f>
        <v>0.79519356439907374</v>
      </c>
      <c r="Q156" s="294">
        <f>Q123+Q136+Q154</f>
        <v>96921.77</v>
      </c>
      <c r="R156" s="297"/>
      <c r="S156" s="294">
        <f t="shared" si="33"/>
        <v>-51243.459999999992</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f>+INDEX('Budget original'!$A$2:$AO$501,MATCH($A157,'Budget original'!$A$2:$A$501,0),MATCH(F$2,'Budget original'!$A$2:$AO$2,0))</f>
        <v>0</v>
      </c>
      <c r="G157" s="331"/>
      <c r="H157" s="330"/>
      <c r="I157" s="244"/>
      <c r="J157" s="331"/>
      <c r="K157" s="330"/>
      <c r="L157" s="266">
        <v>0</v>
      </c>
      <c r="M157" s="243"/>
      <c r="N157" s="266">
        <f t="shared" si="34"/>
        <v>0</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f>+INDEX('Budget original'!$A$2:$AO$501,MATCH($A158,'Budget original'!$A$2:$A$501,0),MATCH(F$2,'Budget original'!$A$2:$AO$2,0))</f>
        <v>0</v>
      </c>
      <c r="G158" s="331"/>
      <c r="H158" s="330"/>
      <c r="I158" s="244"/>
      <c r="J158" s="331"/>
      <c r="K158" s="330"/>
      <c r="L158" s="266">
        <f>-SUMIFS(BV_Data_An_Cour!$AM:$AM,BV_Data_An_Cour!$AP:$AP,$B158,BV_Data_An_Cour!$AQ:$AQ,$C158,BV_Data_An_Cour!$AR:$AR,$L$2)</f>
        <v>0</v>
      </c>
      <c r="M158" s="243"/>
      <c r="N158" s="266">
        <f t="shared" si="34"/>
        <v>0</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f>+INDEX('Budget original'!$A$2:$AO$501,MATCH($A159,'Budget original'!$A$2:$A$501,0),MATCH(F$2,'Budget original'!$A$2:$AO$2,0))</f>
        <v>0</v>
      </c>
      <c r="G159" s="288"/>
      <c r="H159" s="38"/>
      <c r="I159" s="244"/>
      <c r="J159" s="243"/>
      <c r="K159" s="38"/>
      <c r="L159" s="266">
        <f>-SUMIFS(BV_Data_An_Cour!$AM:$AM,BV_Data_An_Cour!$AP:$AP,$B159,BV_Data_An_Cour!$AQ:$AQ,$C159,BV_Data_An_Cour!$AR:$AR,$L$2)</f>
        <v>0</v>
      </c>
      <c r="M159" s="243"/>
      <c r="N159" s="266">
        <f t="shared" si="34"/>
        <v>0</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#DIV/0!</v>
      </c>
      <c r="E160" s="307" t="e">
        <f>F160/D97</f>
        <v>#DIV/0!</v>
      </c>
      <c r="F160" s="244">
        <f>+INDEX('Budget original'!$A$2:$AO$501,MATCH($A160,'Budget original'!$A$2:$A$501,0),MATCH(F$2,'Budget original'!$A$2:$AO$2,0))</f>
        <v>0</v>
      </c>
      <c r="G160" s="288"/>
      <c r="H160" s="38"/>
      <c r="I160" s="244"/>
      <c r="J160" s="744">
        <f>K160/500</f>
        <v>0.5</v>
      </c>
      <c r="K160" s="307">
        <f>L160/J97</f>
        <v>250</v>
      </c>
      <c r="L160" s="266">
        <f>-SUMIFS(BV_Data_An_Cour!$AM:$AM,BV_Data_An_Cour!$AP:$AP,$B160,BV_Data_An_Cour!$AQ:$AQ,$C160,BV_Data_An_Cour!$AR:$AR,L$2)</f>
        <v>5500</v>
      </c>
      <c r="M160" s="243"/>
      <c r="N160" s="266">
        <f t="shared" si="34"/>
        <v>5500</v>
      </c>
      <c r="O160" s="744">
        <f>P160/500</f>
        <v>0</v>
      </c>
      <c r="P160" s="307">
        <f>Q160/O97</f>
        <v>0</v>
      </c>
      <c r="Q160" s="266">
        <f>-SUMIFS(BV_Data_An_Prec!$AM:$AM,BV_Data_An_Prec!$AP:$AP,$B160,BV_Data_An_Prec!$AQ:$AQ,$C160,BV_Data_An_Prec!$AR:$AR,Q$2)</f>
        <v>0</v>
      </c>
      <c r="R160" s="243"/>
      <c r="S160" s="266">
        <f t="shared" si="33"/>
        <v>5500</v>
      </c>
      <c r="T160" s="1253"/>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f>+INDEX('Budget original'!$A$2:$AO$501,MATCH($A161,'Budget original'!$A$2:$A$501,0),MATCH(F$2,'Budget original'!$A$2:$AO$2,0))</f>
        <v>0</v>
      </c>
      <c r="G161" s="288"/>
      <c r="H161" s="38"/>
      <c r="I161" s="244"/>
      <c r="J161" s="243"/>
      <c r="K161" s="38"/>
      <c r="L161" s="266">
        <f>-SUMIFS(BV_Data_An_Cour!$AM:$AM,BV_Data_An_Cour!$AP:$AP,$B161,BV_Data_An_Cour!$AQ:$AQ,$C161,BV_Data_An_Cour!$AR:$AR,$L$2)</f>
        <v>0</v>
      </c>
      <c r="M161" s="243"/>
      <c r="N161" s="266">
        <f t="shared" si="34"/>
        <v>0</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f>+INDEX('Budget original'!$A$2:$AO$501,MATCH($A162,'Budget original'!$A$2:$A$501,0),MATCH(F$2,'Budget original'!$A$2:$AO$2,0))</f>
        <v>0</v>
      </c>
      <c r="G162" s="288"/>
      <c r="H162" s="38"/>
      <c r="I162" s="244"/>
      <c r="J162" s="243"/>
      <c r="K162" s="38"/>
      <c r="L162" s="266">
        <f>-SUMIFS(BV_Data_An_Cour!$AM:$AM,BV_Data_An_Cour!$AP:$AP,$B162,BV_Data_An_Cour!$AQ:$AQ,$C162,BV_Data_An_Cour!$AR:$AR,$L$2)</f>
        <v>0</v>
      </c>
      <c r="M162" s="243"/>
      <c r="N162" s="266">
        <f t="shared" si="34"/>
        <v>0</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f>+INDEX('Budget original'!$A$2:$AO$501,MATCH($A163,'Budget original'!$A$2:$A$501,0),MATCH(F$2,'Budget original'!$A$2:$AO$2,0))</f>
        <v>0</v>
      </c>
      <c r="G163" s="288"/>
      <c r="H163" s="38"/>
      <c r="I163" s="244"/>
      <c r="J163" s="243"/>
      <c r="K163" s="38"/>
      <c r="L163" s="266">
        <f>-SUMIFS(BV_Data_An_Cour!$AM:$AM,BV_Data_An_Cour!$AP:$AP,$B163,BV_Data_An_Cour!$AQ:$AQ,$C163,BV_Data_An_Cour!$AR:$AR,$L$2)</f>
        <v>0</v>
      </c>
      <c r="M163" s="243"/>
      <c r="N163" s="266">
        <f t="shared" si="34"/>
        <v>0</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f>+SUM(F157:F163)</f>
        <v>0</v>
      </c>
      <c r="G164" s="295"/>
      <c r="H164" s="293"/>
      <c r="I164" s="294"/>
      <c r="J164" s="295"/>
      <c r="K164" s="293"/>
      <c r="L164" s="294">
        <f>+SUM(L157:L163)</f>
        <v>5500</v>
      </c>
      <c r="M164" s="296"/>
      <c r="N164" s="294">
        <f>SUM(N157:N160)</f>
        <v>5500</v>
      </c>
      <c r="O164" s="295"/>
      <c r="P164" s="293"/>
      <c r="Q164" s="294">
        <f>+SUM(Q157:Q163)</f>
        <v>0</v>
      </c>
      <c r="R164" s="297"/>
      <c r="S164" s="294">
        <f t="shared" si="33"/>
        <v>5500</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f>F109-F156+F164</f>
        <v>0</v>
      </c>
      <c r="G166" s="957"/>
      <c r="H166" s="955"/>
      <c r="I166" s="956"/>
      <c r="J166" s="957"/>
      <c r="K166" s="955"/>
      <c r="L166" s="956">
        <f>L109-L156+L164</f>
        <v>-7468.9300000002404</v>
      </c>
      <c r="M166" s="958"/>
      <c r="N166" s="956">
        <f>L166-F166</f>
        <v>-7468.9300000002404</v>
      </c>
      <c r="O166" s="957"/>
      <c r="P166" s="955"/>
      <c r="Q166" s="956">
        <f>Q109-Q156+Q164</f>
        <v>24962.730000001378</v>
      </c>
      <c r="R166" s="959"/>
      <c r="S166" s="956">
        <f t="shared" si="33"/>
        <v>-32431.660000001619</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Septembre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f>+INDEX('Budget original'!$A$2:$AO$501,MATCH($A173,'Budget original'!$A$2:$A$501,0),MATCH(F$2,'Budget original'!$A$2:$AO$2,0))</f>
        <v>0</v>
      </c>
      <c r="G173" s="257"/>
      <c r="H173" s="949"/>
      <c r="I173" s="240"/>
      <c r="J173" s="238"/>
      <c r="K173" s="284"/>
      <c r="L173" s="286">
        <f>-SUMIFS(BV_Data_An_Cour!$AM:$AM,BV_Data_An_Cour!$AS:$AS,"Oui",BV_Data_An_Cour!$AP:$AP,$B173)</f>
        <v>1505174.4299999997</v>
      </c>
      <c r="M173" s="320"/>
      <c r="N173" s="321"/>
      <c r="O173" s="238"/>
      <c r="P173" s="284"/>
      <c r="Q173" s="286">
        <f>-SUMIFS(BV_Data_An_Prec!$AM:$AM,BV_Data_An_Prec!$AS:$AS,"Oui",BV_Data_An_Prec!$AP:$AP,$B173)</f>
        <v>3840991.4200000018</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f>+INDEX('Budget original'!$A$2:$AO$501,MATCH($A175,'Budget original'!$A$2:$A$501,0),MATCH(D$2,'Budget original'!$A$2:$AO$2,0))</f>
        <v>0</v>
      </c>
      <c r="E175" s="244">
        <f>IF(D175=0,0,F175/D175)</f>
        <v>0</v>
      </c>
      <c r="F175" s="244">
        <f>+INDEX('Budget original'!$A$2:$AO$501,MATCH($A175,'Budget original'!$A$2:$A$501,0),MATCH(F$2,'Budget original'!$A$2:$AO$2,0))</f>
        <v>0</v>
      </c>
      <c r="G175" s="245"/>
      <c r="H175" s="244"/>
      <c r="I175" s="244"/>
      <c r="J175" s="245">
        <f>SUMIFS(BV_Data_An_Cour!$AW:$AW,BV_Data_An_Cour!$AP:$AP,$B175,BV_Data_An_Cour!$AQ:$AQ,$C175,BV_Data_An_Cour!$AY:$AY,J$2)</f>
        <v>12</v>
      </c>
      <c r="K175" s="281">
        <f t="shared" ref="K175:K179" si="35">IF(J175=0,0,L175/J175)</f>
        <v>-5578.1141666667536</v>
      </c>
      <c r="L175" s="266">
        <f>-SUMIFS(BV_Data_An_Cour!$AM:$AM,BV_Data_An_Cour!$AP:$AP,$B175,BV_Data_An_Cour!$AQ:$AQ,$C175,BV_Data_An_Cour!$AR:$AR,$L2)</f>
        <v>-66937.370000001043</v>
      </c>
      <c r="M175" s="245">
        <f>J175-D175</f>
        <v>12</v>
      </c>
      <c r="N175" s="246">
        <f>L175-F175</f>
        <v>-66937.370000001043</v>
      </c>
      <c r="O175" s="245">
        <f>SUMIFS(BV_Data_An_Prec!$AW:$AW,BV_Data_An_Prec!$AP:$AP,$B175,BV_Data_An_Prec!$AQ:$AQ,$C175,BV_Data_An_Prec!$AY:$AY,O$2)</f>
        <v>10</v>
      </c>
      <c r="P175" s="281">
        <f t="shared" ref="P175:P179" si="36">IF(O175=0,0,Q175/O175)</f>
        <v>-1561.5249999999883</v>
      </c>
      <c r="Q175" s="266">
        <f>-SUMIFS(BV_Data_An_Prec!$AM:$AM,BV_Data_An_Prec!$AP:$AP,$B175,BV_Data_An_Prec!$AQ:$AQ,$C175,BV_Data_An_Prec!$AR:$AR,$L2)</f>
        <v>-15615.249999999884</v>
      </c>
      <c r="R175" s="245">
        <f t="shared" ref="R175:R177" si="37">J175-O175</f>
        <v>2</v>
      </c>
      <c r="S175" s="266">
        <f t="shared" ref="S175:S177" si="38">L175-Q175</f>
        <v>-51322.120000001159</v>
      </c>
      <c r="T175" s="35">
        <v>12</v>
      </c>
      <c r="U175" s="1240">
        <v>-66937</v>
      </c>
      <c r="V175" s="1239">
        <f>L175-U175</f>
        <v>-0.37000000104308128</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0.2</v>
      </c>
      <c r="S176" s="986">
        <f>IF(Q175=0,0,(S175/Q175))</f>
        <v>3.2866665599334972</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f>+INDEX('Budget original'!$A$2:$AO$501,MATCH($A177,'Budget original'!$A$2:$A$501,0),MATCH(D$2,'Budget original'!$A$2:$AO$2,0))</f>
        <v>0</v>
      </c>
      <c r="E177" s="964">
        <f t="shared" ref="E177:E179" si="39">IF(D177=0,0,F177/D177)</f>
        <v>0</v>
      </c>
      <c r="F177" s="244">
        <f>+INDEX('Budget original'!$A$2:$AO$501,MATCH($A177,'Budget original'!$A$2:$A$501,0),MATCH(F$2,'Budget original'!$A$2:$AO$2,0))</f>
        <v>0</v>
      </c>
      <c r="G177" s="245"/>
      <c r="H177" s="244"/>
      <c r="I177" s="244"/>
      <c r="J177" s="245">
        <f>SUMIFS(BV_Data_An_Cour!$AW:$AW,BV_Data_An_Cour!$AP:$AP,$B177,BV_Data_An_Cour!$AQ:$AQ,$C177,BV_Data_An_Cour!$AY:$AY,J$2)</f>
        <v>18</v>
      </c>
      <c r="K177" s="281">
        <f t="shared" si="35"/>
        <v>968.45388888888476</v>
      </c>
      <c r="L177" s="266">
        <f>-SUMIFS(BV_Data_An_Cour!$AM:$AM,BV_Data_An_Cour!$AP:$AP,$B177,BV_Data_An_Cour!$AQ:$AQ,$C177,BV_Data_An_Cour!$AR:$AR,$L2)</f>
        <v>17432.169999999925</v>
      </c>
      <c r="M177" s="245">
        <f>J177-D177</f>
        <v>18</v>
      </c>
      <c r="N177" s="246">
        <f>L177-F177</f>
        <v>17432.169999999925</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18</v>
      </c>
      <c r="S177" s="266">
        <f t="shared" si="38"/>
        <v>17432.169999999925</v>
      </c>
      <c r="T177" s="35">
        <v>18</v>
      </c>
      <c r="U177" s="1238">
        <v>17432</v>
      </c>
      <c r="V177" s="1239">
        <f>L177-U177</f>
        <v>0.16999999992549419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1</v>
      </c>
      <c r="K179" s="281">
        <f t="shared" si="35"/>
        <v>6000</v>
      </c>
      <c r="L179" s="266">
        <f>-SUMIFS(BV_Data_An_Cour!$AM:$AM,BV_Data_An_Cour!$AP:$AP,$B179,BV_Data_An_Cour!$AQ:$AQ,$C179,BV_Data_An_Cour!$AR:$AR,$L2)</f>
        <v>6000</v>
      </c>
      <c r="M179" s="245" t="e">
        <f>J179-D179</f>
        <v>#N/A</v>
      </c>
      <c r="N179" s="246" t="e">
        <f>L179-F179</f>
        <v>#N/A</v>
      </c>
      <c r="O179" s="245">
        <f>SUMIFS(BV_Data_An_Prec!$AW:$AW,BV_Data_An_Prec!$AP:$AP,$B179,BV_Data_An_Prec!$AQ:$AQ,$C179,BV_Data_An_Prec!$AY:$AY,O$2)</f>
        <v>21</v>
      </c>
      <c r="P179" s="281">
        <f t="shared" si="36"/>
        <v>3421.4285714285716</v>
      </c>
      <c r="Q179" s="266">
        <f>-SUMIFS(BV_Data_An_Prec!$AM:$AM,BV_Data_An_Prec!$AP:$AP,$B179,BV_Data_An_Prec!$AQ:$AQ,$C179,BV_Data_An_Prec!$AR:$AR,$L2)</f>
        <v>71850</v>
      </c>
      <c r="R179" s="245">
        <f>J179-O179</f>
        <v>-20</v>
      </c>
      <c r="S179" s="266">
        <f>L179-Q179</f>
        <v>-65850</v>
      </c>
      <c r="T179" s="35"/>
      <c r="U179" s="1240"/>
      <c r="V179" s="1239">
        <f>L179-U179</f>
        <v>6000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-0.95238095238095233</v>
      </c>
      <c r="S180" s="332">
        <f>IF(Q179=0,0,(S179/Q179))</f>
        <v>-0.91649269311064718</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31</v>
      </c>
      <c r="K182" s="269">
        <f>IF(J182&lt;=0,0,L182/J182)</f>
        <v>-1403.3935483871328</v>
      </c>
      <c r="L182" s="271">
        <f>L175+L179+L177</f>
        <v>-43505.200000001118</v>
      </c>
      <c r="M182" s="272" t="e">
        <f>J182-D182</f>
        <v>#N/A</v>
      </c>
      <c r="N182" s="271" t="e">
        <f>L182-F182</f>
        <v>#REF!</v>
      </c>
      <c r="O182" s="272">
        <f>O175+O177+O179</f>
        <v>31</v>
      </c>
      <c r="P182" s="269">
        <f>IF(O182&lt;=0,0,Q182/O182)</f>
        <v>1814.0241935483909</v>
      </c>
      <c r="Q182" s="271">
        <f>Q175+Q179+Q177</f>
        <v>56234.750000000116</v>
      </c>
      <c r="R182" s="272">
        <f>J182-O182</f>
        <v>0</v>
      </c>
      <c r="S182" s="271">
        <f>L182-Q182</f>
        <v>-99739.950000001234</v>
      </c>
      <c r="T182" s="35"/>
      <c r="U182" s="1238">
        <f>SUM(U175:U181)</f>
        <v>-49505</v>
      </c>
      <c r="V182" s="1239">
        <f>L182-U182</f>
        <v>5999.7999999988824</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t="e">
        <f>O182/R182</f>
        <v>#DIV/0!</v>
      </c>
      <c r="S183" s="326">
        <f>IF(Q182=0,0,(S182/Q182))</f>
        <v>-1.7736355189629371</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#REF!</v>
      </c>
      <c r="E186" s="281" t="e">
        <f>IF($J$97=0,0,F186/(D$94+D$95+D182))</f>
        <v>#N/A</v>
      </c>
      <c r="F186" s="244">
        <f>+INDEX('Budget original'!$A$2:$AO$501,MATCH($A186,'Budget original'!$A$2:$A$501,0),MATCH(F$2,'Budget original'!$A$2:$AO$2,0))</f>
        <v>0</v>
      </c>
      <c r="G186" s="282"/>
      <c r="H186" s="281"/>
      <c r="I186" s="244"/>
      <c r="J186" s="282">
        <f>L186/L182</f>
        <v>-5.5165819258386088E-2</v>
      </c>
      <c r="K186" s="281">
        <f>IF($J$97=0,0,L186/(J$94+J$95+J182))</f>
        <v>45.283018867924525</v>
      </c>
      <c r="L186" s="266">
        <f>SUMIFS(BV_Data_An_Cour!$AM:$AM,BV_Data_An_Cour!$AP:$AP,$B186,BV_Data_An_Cour!$AQ:$AQ,$C186,BV_Data_An_Cour!$AR:$AR,$L$2)</f>
        <v>2400</v>
      </c>
      <c r="M186" s="243"/>
      <c r="N186" s="266">
        <f t="shared" ref="N186:N227" si="40">L186-F186</f>
        <v>2400</v>
      </c>
      <c r="O186" s="282">
        <f>Q186/Q182</f>
        <v>0</v>
      </c>
      <c r="P186" s="281">
        <f>IF($J$97=0,0,Q186/(O$94+O$95+O182))</f>
        <v>0</v>
      </c>
      <c r="Q186" s="266">
        <f>SUMIFS(BV_Data_An_Prec!$AM:$AM,BV_Data_An_Prec!$AP:$AP,$B186,BV_Data_An_Prec!$AQ:$AQ,$C186,BV_Data_An_Prec!$AR:$AR,$L$2)</f>
        <v>0</v>
      </c>
      <c r="R186" s="243"/>
      <c r="S186" s="266">
        <f t="shared" ref="S186:S227" si="41">L186-Q186</f>
        <v>2400</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#REF!</v>
      </c>
      <c r="E187" s="284" t="e">
        <f>IF($J$97=0,0,F187/(D$94+D$95+D182))</f>
        <v>#N/A</v>
      </c>
      <c r="F187" s="240">
        <f>+INDEX('Budget original'!$A$2:$AO$501,MATCH($A187,'Budget original'!$A$2:$A$501,0),MATCH(F$2,'Budget original'!$A$2:$AO$2,0))</f>
        <v>0</v>
      </c>
      <c r="G187" s="285"/>
      <c r="H187" s="284"/>
      <c r="I187" s="240"/>
      <c r="J187" s="285">
        <f>L187/(L182)</f>
        <v>0</v>
      </c>
      <c r="K187" s="284">
        <f>IF($J$97=0,0,L187/(J$94+J$95+J182))</f>
        <v>0</v>
      </c>
      <c r="L187" s="266">
        <f>SUMIFS(BV_Data_An_Cour!$AM:$AM,BV_Data_An_Cour!$AP:$AP,$B187,BV_Data_An_Cour!$AQ:$AQ,$C187,BV_Data_An_Cour!$AR:$AR,$L$2)</f>
        <v>0</v>
      </c>
      <c r="M187" s="238"/>
      <c r="N187" s="286">
        <f t="shared" si="40"/>
        <v>0</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f>+INDEX('Budget original'!$A$2:$AO$501,MATCH($A188,'Budget original'!$A$2:$A$501,0),MATCH(F$2,'Budget original'!$A$2:$AO$2,0))</f>
        <v>0</v>
      </c>
      <c r="G188" s="288"/>
      <c r="H188" s="281"/>
      <c r="I188" s="244"/>
      <c r="J188" s="243"/>
      <c r="K188" s="281">
        <f>IF($J$97=0,0,L188/(J$94+J$95+J182))</f>
        <v>7.3916981132075517</v>
      </c>
      <c r="L188" s="303">
        <f>SUMIFS(BV_Data_An_Cour!$AM:$AM,BV_Data_An_Cour!$AP:$AP,$B188,BV_Data_An_Cour!$AQ:$AQ,$C188,BV_Data_An_Cour!$AR:$AR,$L$2)</f>
        <v>391.76000000000022</v>
      </c>
      <c r="M188" s="243"/>
      <c r="N188" s="266">
        <f t="shared" si="40"/>
        <v>391.76000000000022</v>
      </c>
      <c r="O188" s="243"/>
      <c r="P188" s="281">
        <f>IF($J$97=0,0,Q188/(O$94+O$95+O182))</f>
        <v>49.010222222222225</v>
      </c>
      <c r="Q188" s="303">
        <f>SUMIFS(BV_Data_An_Prec!$AM:$AM,BV_Data_An_Prec!$AP:$AP,$B188,BV_Data_An_Prec!$AQ:$AQ,$C188,BV_Data_An_Prec!$AR:$AR,$L$2)</f>
        <v>2205.46</v>
      </c>
      <c r="R188" s="243"/>
      <c r="S188" s="266">
        <f t="shared" si="41"/>
        <v>-1813.6999999999998</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f>+INDEX('Budget original'!$A$2:$AO$501,MATCH($A189,'Budget original'!$A$2:$A$501,0),MATCH(F$2,'Budget original'!$A$2:$AO$2,0))</f>
        <v>0</v>
      </c>
      <c r="G189" s="288"/>
      <c r="H189" s="281"/>
      <c r="I189" s="244"/>
      <c r="J189" s="243"/>
      <c r="K189" s="281">
        <f>IF($J$97=0,0,L189/(J$94+J$95+J182))</f>
        <v>0</v>
      </c>
      <c r="L189" s="266">
        <f>SUMIFS(BV_Data_An_Cour!$AM:$AM,BV_Data_An_Cour!$AP:$AP,$B189,BV_Data_An_Cour!$AQ:$AQ,$C189,BV_Data_An_Cour!$AR:$AR,$L$2)</f>
        <v>0</v>
      </c>
      <c r="M189" s="243"/>
      <c r="N189" s="266">
        <f t="shared" si="40"/>
        <v>0</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f>+INDEX('Budget original'!$A$2:$AO$501,MATCH($A190,'Budget original'!$A$2:$A$501,0),MATCH(F$2,'Budget original'!$A$2:$AO$2,0))</f>
        <v>0</v>
      </c>
      <c r="G190" s="290"/>
      <c r="H190" s="284"/>
      <c r="I190" s="240"/>
      <c r="J190" s="238"/>
      <c r="K190" s="284">
        <f>IF($J$97=0,0,L190/(J$94+J$95+J182))</f>
        <v>0.330188679245283</v>
      </c>
      <c r="L190" s="286">
        <f>SUMIFS(BV_Data_An_Cour!$AM:$AM,BV_Data_An_Cour!$AP:$AP,$B190,BV_Data_An_Cour!$AQ:$AQ,$C190,BV_Data_An_Cour!$AR:$AR,$L$2)</f>
        <v>17.5</v>
      </c>
      <c r="M190" s="238"/>
      <c r="N190" s="286">
        <f t="shared" si="40"/>
        <v>17.5</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f>+INDEX('Budget original'!$A$2:$AO$501,MATCH($A191,'Budget original'!$A$2:$A$501,0),MATCH(F$2,'Budget original'!$A$2:$AO$2,0))</f>
        <v>0</v>
      </c>
      <c r="G191" s="288"/>
      <c r="H191" s="281"/>
      <c r="I191" s="244"/>
      <c r="J191" s="243"/>
      <c r="K191" s="281">
        <f>IF($J$97=0,0,L191/(J$94+J$95+J182))</f>
        <v>0</v>
      </c>
      <c r="L191" s="266">
        <f>SUMIFS(BV_Data_An_Cour!$AM:$AM,BV_Data_An_Cour!$AP:$AP,$B191,BV_Data_An_Cour!$AQ:$AQ,$C191,BV_Data_An_Cour!$AR:$AR,$L$2)</f>
        <v>0</v>
      </c>
      <c r="M191" s="243"/>
      <c r="N191" s="266">
        <f t="shared" si="40"/>
        <v>0</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f>+INDEX('Budget original'!$A$2:$AO$501,MATCH($A192,'Budget original'!$A$2:$A$501,0),MATCH(F$2,'Budget original'!$A$2:$AO$2,0))</f>
        <v>0</v>
      </c>
      <c r="G192" s="288"/>
      <c r="H192" s="281"/>
      <c r="I192" s="244"/>
      <c r="J192" s="243"/>
      <c r="K192" s="281">
        <f>IF($J$97=0,0,L192/(J$94+J$95+J182))</f>
        <v>101.9237735849055</v>
      </c>
      <c r="L192" s="658">
        <f>SUMIFS(BV_Data_An_Cour!$AM:$AM,BV_Data_An_Cour!$AP:$AP,$B192,BV_Data_An_Cour!$AQ:$AQ,$C192,BV_Data_An_Cour!$AR:$AR,$L$2)</f>
        <v>5401.9599999999919</v>
      </c>
      <c r="M192" s="243"/>
      <c r="N192" s="658">
        <f t="shared" si="40"/>
        <v>5401.9599999999919</v>
      </c>
      <c r="O192" s="243"/>
      <c r="P192" s="281">
        <f>IF($J$97=0,0,Q192/(O$94+O$95+O182))</f>
        <v>36.94688888888858</v>
      </c>
      <c r="Q192" s="658">
        <f>SUMIFS(BV_Data_An_Prec!$AM:$AM,BV_Data_An_Prec!$AP:$AP,$B192,BV_Data_An_Prec!$AQ:$AQ,$C192,BV_Data_An_Prec!$AR:$AR,$L$2)</f>
        <v>1662.609999999986</v>
      </c>
      <c r="R192" s="243"/>
      <c r="S192" s="266">
        <f t="shared" si="41"/>
        <v>3739.3500000000058</v>
      </c>
      <c r="T192" s="35"/>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#DIV/0!</v>
      </c>
      <c r="F193" s="244">
        <f>+INDEX('Budget original'!$A$2:$AO$501,MATCH($A193,'Budget original'!$A$2:$A$501,0),MATCH(F$2,'Budget original'!$A$2:$AO$2,0))</f>
        <v>0</v>
      </c>
      <c r="G193" s="288"/>
      <c r="H193" s="281"/>
      <c r="I193" s="244"/>
      <c r="J193" s="243"/>
      <c r="K193" s="281">
        <f>IF($J$97=0,0,L193/(J$94+J$95))</f>
        <v>0</v>
      </c>
      <c r="L193" s="246">
        <f>SUMIFS(BV_Data_An_Cour!$AM:$AM,BV_Data_An_Cour!$AP:$AP,$B193,BV_Data_An_Cour!$AQ:$AQ,$C193,BV_Data_An_Cour!$AR:$AR,$L$2)</f>
        <v>0</v>
      </c>
      <c r="M193" s="243"/>
      <c r="N193" s="266">
        <f t="shared" si="40"/>
        <v>0</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#DIV/0!</v>
      </c>
      <c r="F194" s="244">
        <f>+INDEX('Budget original'!$A$2:$AO$501,MATCH($A194,'Budget original'!$A$2:$A$501,0),MATCH(F$2,'Budget original'!$A$2:$AO$2,0))</f>
        <v>0</v>
      </c>
      <c r="G194" s="288"/>
      <c r="H194" s="281"/>
      <c r="I194" s="244"/>
      <c r="J194" s="243"/>
      <c r="K194" s="281">
        <f>IF($J$97=0,0,L194/(J$94+J$95))</f>
        <v>0</v>
      </c>
      <c r="L194" s="266">
        <f>SUMIFS(BV_Data_An_Cour!$AM:$AM,BV_Data_An_Cour!$AP:$AP,$B194,BV_Data_An_Cour!$AQ:$AQ,$C194,BV_Data_An_Cour!$AR:$AR,$L$2)</f>
        <v>0</v>
      </c>
      <c r="M194" s="243"/>
      <c r="N194" s="266">
        <f t="shared" si="40"/>
        <v>0</v>
      </c>
      <c r="O194" s="243"/>
      <c r="P194" s="281">
        <f>IF($J$97=0,0,Q194/(O$94+O$95))</f>
        <v>0</v>
      </c>
      <c r="Q194" s="246">
        <f>SUMIFS(BV_Data_An_Prec!$AM:$AM,BV_Data_An_Prec!$AP:$AP,$B194,BV_Data_An_Prec!$AQ:$AQ,$C194,BV_Data_An_Prec!$AR:$AR,$L$2)</f>
        <v>0</v>
      </c>
      <c r="R194" s="243"/>
      <c r="S194" s="266">
        <f t="shared" si="41"/>
        <v>0</v>
      </c>
      <c r="T194" s="35"/>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#DIV/0!</v>
      </c>
      <c r="F195" s="244">
        <f>+INDEX('Budget original'!$A$2:$AO$501,MATCH($A195,'Budget original'!$A$2:$A$501,0),MATCH(F$2,'Budget original'!$A$2:$AO$2,0))</f>
        <v>0</v>
      </c>
      <c r="G195" s="288"/>
      <c r="H195" s="281"/>
      <c r="I195" s="244"/>
      <c r="J195" s="243"/>
      <c r="K195" s="281">
        <f>IF($J$97=0,0,L195/(J$94+J$95))</f>
        <v>0</v>
      </c>
      <c r="L195" s="246">
        <f>SUMIFS(BV_Data_An_Cour!$AM:$AM,BV_Data_An_Cour!$AP:$AP,$B195,BV_Data_An_Cour!$AQ:$AQ,$C195,BV_Data_An_Cour!$AR:$AR,$L$2)</f>
        <v>0</v>
      </c>
      <c r="M195" s="243"/>
      <c r="N195" s="266">
        <f t="shared" si="40"/>
        <v>0</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#DIV/0!</v>
      </c>
      <c r="F196" s="294">
        <f>SUM(F186:F195)</f>
        <v>0</v>
      </c>
      <c r="G196" s="295"/>
      <c r="H196" s="293"/>
      <c r="I196" s="294"/>
      <c r="J196" s="295" t="s">
        <v>115</v>
      </c>
      <c r="K196" s="293">
        <f>L196/L$109</f>
        <v>0.25103563564946962</v>
      </c>
      <c r="L196" s="294">
        <f>SUM(L186:L195)</f>
        <v>8211.2199999999921</v>
      </c>
      <c r="M196" s="296"/>
      <c r="N196" s="294">
        <f t="shared" si="40"/>
        <v>8211.2199999999921</v>
      </c>
      <c r="O196" s="295" t="s">
        <v>115</v>
      </c>
      <c r="P196" s="293">
        <f>Q196/Q$109</f>
        <v>3.1735536512025257E-2</v>
      </c>
      <c r="Q196" s="294">
        <f>SUM(Q186:Q195)</f>
        <v>3868.0699999999861</v>
      </c>
      <c r="R196" s="297"/>
      <c r="S196" s="294">
        <f t="shared" si="41"/>
        <v>4343.150000000006</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f>+INDEX('Budget original'!$A$2:$AO$501,MATCH($A197,'Budget original'!$A$2:$A$501,0),MATCH(F$2,'Budget original'!$A$2:$AO$2,0))</f>
        <v>0</v>
      </c>
      <c r="G197" s="243"/>
      <c r="H197" s="38"/>
      <c r="I197" s="244"/>
      <c r="J197" s="243"/>
      <c r="K197" s="38"/>
      <c r="L197" s="266">
        <f>SUMIFS(BV_Data_An_Cour!$AM:$AM,BV_Data_An_Cour!$AP:$AP,$B197,BV_Data_An_Cour!$AQ:$AQ,$C197,BV_Data_An_Cour!$AR:$AR,$L$2)</f>
        <v>0</v>
      </c>
      <c r="M197" s="243"/>
      <c r="N197" s="266">
        <f t="shared" si="40"/>
        <v>0</v>
      </c>
      <c r="O197" s="243"/>
      <c r="P197" s="38"/>
      <c r="Q197" s="266">
        <f>SUMIFS(BV_Data_An_Prec!$AM:$AM,BV_Data_An_Prec!$AP:$AP,$B197,BV_Data_An_Prec!$AQ:$AQ,$C197,BV_Data_An_Prec!$AR:$AR,$L$2)</f>
        <v>1000</v>
      </c>
      <c r="R197" s="243"/>
      <c r="S197" s="266">
        <f t="shared" si="41"/>
        <v>-1000</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f>+INDEX('Budget original'!$A$2:$AO$501,MATCH($A198,'Budget original'!$A$2:$A$501,0),MATCH(F$2,'Budget original'!$A$2:$AO$2,0))</f>
        <v>0</v>
      </c>
      <c r="G198" s="288"/>
      <c r="H198" s="38"/>
      <c r="I198" s="240"/>
      <c r="J198" s="243"/>
      <c r="K198" s="38"/>
      <c r="L198" s="266">
        <f>SUMIFS(BV_Data_An_Cour!$AM:$AM,BV_Data_An_Cour!$AP:$AP,$B198,BV_Data_An_Cour!$AQ:$AQ,$C198,BV_Data_An_Cour!$AR:$AR,$L$2)</f>
        <v>4362.0199999999968</v>
      </c>
      <c r="M198" s="243"/>
      <c r="N198" s="266">
        <f t="shared" si="40"/>
        <v>4362.0199999999968</v>
      </c>
      <c r="O198" s="243"/>
      <c r="P198" s="38"/>
      <c r="Q198" s="266">
        <f>SUMIFS(BV_Data_An_Prec!$AM:$AM,BV_Data_An_Prec!$AP:$AP,$B198,BV_Data_An_Prec!$AQ:$AQ,$C198,BV_Data_An_Prec!$AR:$AR,$L$2)</f>
        <v>13845.399999999994</v>
      </c>
      <c r="R198" s="243"/>
      <c r="S198" s="266">
        <f t="shared" si="41"/>
        <v>-9483.3799999999974</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f>+INDEX('Budget original'!$A$2:$AO$501,MATCH($A199,'Budget original'!$A$2:$A$501,0),MATCH(F$2,'Budget original'!$A$2:$AO$2,0))</f>
        <v>0</v>
      </c>
      <c r="G199" s="302"/>
      <c r="H199" s="301"/>
      <c r="I199" s="244"/>
      <c r="J199" s="233"/>
      <c r="K199" s="301"/>
      <c r="L199" s="303">
        <f>SUMIFS(BV_Data_An_Cour!$AM:$AM,BV_Data_An_Cour!$AP:$AP,$B199,BV_Data_An_Cour!$AQ:$AQ,$C199,BV_Data_An_Cour!$AR:$AR,$L$2)</f>
        <v>0</v>
      </c>
      <c r="M199" s="233"/>
      <c r="N199" s="303">
        <f t="shared" si="40"/>
        <v>0</v>
      </c>
      <c r="O199" s="233"/>
      <c r="P199" s="301"/>
      <c r="Q199" s="303">
        <f>SUMIFS(BV_Data_An_Prec!$AM:$AM,BV_Data_An_Prec!$AP:$AP,$B199,BV_Data_An_Prec!$AQ:$AQ,$C199,BV_Data_An_Prec!$AR:$AR,$L$2)</f>
        <v>46957.5</v>
      </c>
      <c r="R199" s="233"/>
      <c r="S199" s="303">
        <f t="shared" si="41"/>
        <v>-46957.5</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f>+INDEX('Budget original'!$A$2:$AO$501,MATCH($A200,'Budget original'!$A$2:$A$501,0),MATCH(F$2,'Budget original'!$A$2:$AO$2,0))</f>
        <v>0</v>
      </c>
      <c r="G200" s="288"/>
      <c r="H200" s="38"/>
      <c r="I200" s="244"/>
      <c r="J200" s="243"/>
      <c r="K200" s="38"/>
      <c r="L200" s="266">
        <f>SUMIFS(BV_Data_An_Cour!$AM:$AM,BV_Data_An_Cour!$AP:$AP,$B200,BV_Data_An_Cour!$AQ:$AQ,$C200,BV_Data_An_Cour!$AR:$AR,$L$2)</f>
        <v>0</v>
      </c>
      <c r="M200" s="243"/>
      <c r="N200" s="266">
        <f t="shared" si="40"/>
        <v>0</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f>+INDEX('Budget original'!$A$2:$AO$501,MATCH($A201,'Budget original'!$A$2:$A$501,0),MATCH(F$2,'Budget original'!$A$2:$AO$2,0))</f>
        <v>0</v>
      </c>
      <c r="G201" s="288"/>
      <c r="H201" s="38"/>
      <c r="I201" s="244"/>
      <c r="J201" s="243"/>
      <c r="K201" s="38"/>
      <c r="L201" s="266">
        <f>SUMIFS(BV_Data_An_Cour!$AM:$AM,BV_Data_An_Cour!$AP:$AP,$B201,BV_Data_An_Cour!$AQ:$AQ,$C201,BV_Data_An_Cour!$AR:$AR,$L$2)</f>
        <v>0</v>
      </c>
      <c r="M201" s="243"/>
      <c r="N201" s="266">
        <f t="shared" si="40"/>
        <v>0</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f>+INDEX('Budget original'!$A$2:$AO$501,MATCH($A202,'Budget original'!$A$2:$A$501,0),MATCH(F$2,'Budget original'!$A$2:$AO$2,0))</f>
        <v>0</v>
      </c>
      <c r="G202" s="288"/>
      <c r="H202" s="38"/>
      <c r="I202" s="244"/>
      <c r="J202" s="243"/>
      <c r="K202" s="38"/>
      <c r="L202" s="266">
        <f>SUMIFS(BV_Data_An_Cour!$AM:$AM,BV_Data_An_Cour!$AP:$AP,$B202,BV_Data_An_Cour!$AQ:$AQ,$C202,BV_Data_An_Cour!$AR:$AR,$L$2)</f>
        <v>0</v>
      </c>
      <c r="M202" s="243"/>
      <c r="N202" s="266">
        <f t="shared" si="40"/>
        <v>0</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f>+INDEX('Budget original'!$A$2:$AO$501,MATCH($A203,'Budget original'!$A$2:$A$501,0),MATCH(F$2,'Budget original'!$A$2:$AO$2,0))</f>
        <v>0</v>
      </c>
      <c r="G203" s="288"/>
      <c r="H203" s="38"/>
      <c r="I203" s="244"/>
      <c r="J203" s="243"/>
      <c r="K203" s="38"/>
      <c r="L203" s="266">
        <f>SUMIFS(BV_Data_An_Cour!$AM:$AM,BV_Data_An_Cour!$AP:$AP,$B203,BV_Data_An_Cour!$AQ:$AQ,$C203,BV_Data_An_Cour!$AR:$AR,$L$2)</f>
        <v>0</v>
      </c>
      <c r="M203" s="243"/>
      <c r="N203" s="266">
        <f t="shared" si="40"/>
        <v>0</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f>+INDEX('Budget original'!$A$2:$AO$501,MATCH($A204,'Budget original'!$A$2:$A$501,0),MATCH(F$2,'Budget original'!$A$2:$AO$2,0))</f>
        <v>0</v>
      </c>
      <c r="G204" s="288"/>
      <c r="H204" s="38"/>
      <c r="I204" s="244"/>
      <c r="J204" s="243"/>
      <c r="K204" s="38"/>
      <c r="L204" s="266">
        <f>SUMIFS(BV_Data_An_Cour!$AM:$AM,BV_Data_An_Cour!$AP:$AP,$B204,BV_Data_An_Cour!$AQ:$AQ,$C204,BV_Data_An_Cour!$AR:$AR,$L$2)</f>
        <v>1777.5600000000013</v>
      </c>
      <c r="M204" s="243"/>
      <c r="N204" s="266">
        <f t="shared" si="40"/>
        <v>1777.5600000000013</v>
      </c>
      <c r="O204" s="243"/>
      <c r="P204" s="38"/>
      <c r="Q204" s="266">
        <f>SUMIFS(BV_Data_An_Prec!$AM:$AM,BV_Data_An_Prec!$AP:$AP,$B204,BV_Data_An_Prec!$AQ:$AQ,$C204,BV_Data_An_Prec!$AR:$AR,$L$2)</f>
        <v>2708.369999999999</v>
      </c>
      <c r="R204" s="243"/>
      <c r="S204" s="266">
        <f t="shared" si="41"/>
        <v>-930.80999999999767</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f>+INDEX('Budget original'!$A$2:$AO$501,MATCH($A205,'Budget original'!$A$2:$A$501,0),MATCH(F$2,'Budget original'!$A$2:$AO$2,0))</f>
        <v>0</v>
      </c>
      <c r="G205" s="302"/>
      <c r="H205" s="301"/>
      <c r="I205" s="261"/>
      <c r="J205" s="233"/>
      <c r="K205" s="301"/>
      <c r="L205" s="303">
        <f>SUMIFS(BV_Data_An_Cour!$AM:$AM,BV_Data_An_Cour!$AP:$AP,$B205,BV_Data_An_Cour!$AQ:$AQ,$C205,BV_Data_An_Cour!$AR:$AR,$L$2)</f>
        <v>1682.7099999999991</v>
      </c>
      <c r="M205" s="233"/>
      <c r="N205" s="303">
        <f t="shared" si="40"/>
        <v>1682.7099999999991</v>
      </c>
      <c r="O205" s="233"/>
      <c r="P205" s="301"/>
      <c r="Q205" s="303">
        <f>SUMIFS(BV_Data_An_Prec!$AM:$AM,BV_Data_An_Prec!$AP:$AP,$B205,BV_Data_An_Prec!$AQ:$AQ,$C205,BV_Data_An_Prec!$AR:$AR,$L$2)</f>
        <v>3245.260000000002</v>
      </c>
      <c r="R205" s="233"/>
      <c r="S205" s="303">
        <f t="shared" si="41"/>
        <v>-1562.5500000000029</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f>+INDEX('Budget original'!$A$2:$AO$501,MATCH($A206,'Budget original'!$A$2:$A$501,0),MATCH(F$2,'Budget original'!$A$2:$AO$2,0))</f>
        <v>0</v>
      </c>
      <c r="G206" s="288"/>
      <c r="H206" s="38"/>
      <c r="I206" s="244"/>
      <c r="J206" s="243"/>
      <c r="K206" s="38"/>
      <c r="L206" s="266">
        <f>SUMIFS(BV_Data_An_Cour!$AM:$AM,BV_Data_An_Cour!$AP:$AP,$B206,BV_Data_An_Cour!$AQ:$AQ,$C206,BV_Data_An_Cour!$AR:$AR,$L$2)</f>
        <v>175.15999999999985</v>
      </c>
      <c r="M206" s="243"/>
      <c r="N206" s="266">
        <f t="shared" si="40"/>
        <v>175.15999999999985</v>
      </c>
      <c r="O206" s="243"/>
      <c r="P206" s="38"/>
      <c r="Q206" s="266">
        <f>SUMIFS(BV_Data_An_Prec!$AM:$AM,BV_Data_An_Prec!$AP:$AP,$B206,BV_Data_An_Prec!$AQ:$AQ,$C206,BV_Data_An_Prec!$AR:$AR,$L$2)</f>
        <v>311.31999999999971</v>
      </c>
      <c r="R206" s="243"/>
      <c r="S206" s="266">
        <f t="shared" si="41"/>
        <v>-136.15999999999985</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f>+INDEX('Budget original'!$A$2:$AO$501,MATCH($A207,'Budget original'!$A$2:$A$501,0),MATCH(F$2,'Budget original'!$A$2:$AO$2,0))</f>
        <v>0</v>
      </c>
      <c r="G207" s="288"/>
      <c r="H207" s="38"/>
      <c r="I207" s="244"/>
      <c r="J207" s="243"/>
      <c r="K207" s="38"/>
      <c r="L207" s="266">
        <f>SUMIFS(BV_Data_An_Cour!$AM:$AM,BV_Data_An_Cour!$AP:$AP,$B207,BV_Data_An_Cour!$AQ:$AQ,$C207,BV_Data_An_Cour!$AR:$AR,$L$2)</f>
        <v>215.29999999999995</v>
      </c>
      <c r="M207" s="243"/>
      <c r="N207" s="266">
        <f t="shared" si="40"/>
        <v>215.29999999999995</v>
      </c>
      <c r="O207" s="243"/>
      <c r="P207" s="38"/>
      <c r="Q207" s="266">
        <f>SUMIFS(BV_Data_An_Prec!$AM:$AM,BV_Data_An_Prec!$AP:$AP,$B207,BV_Data_An_Prec!$AQ:$AQ,$C207,BV_Data_An_Prec!$AR:$AR,$L$2)</f>
        <v>0</v>
      </c>
      <c r="R207" s="243"/>
      <c r="S207" s="266">
        <f t="shared" si="41"/>
        <v>215.29999999999995</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f>+INDEX('Budget original'!$A$2:$AO$501,MATCH($A208,'Budget original'!$A$2:$A$501,0),MATCH(F$2,'Budget original'!$A$2:$AO$2,0))</f>
        <v>0</v>
      </c>
      <c r="G208" s="290"/>
      <c r="H208" s="304"/>
      <c r="I208" s="244"/>
      <c r="J208" s="238"/>
      <c r="K208" s="304"/>
      <c r="L208" s="266">
        <f>SUMIFS(BV_Data_An_Cour!$AM:$AM,BV_Data_An_Cour!$AP:$AP,$B208,BV_Data_An_Cour!$AQ:$AQ,$C208,BV_Data_An_Cour!$AR:$AR,$L$2)</f>
        <v>0</v>
      </c>
      <c r="M208" s="238"/>
      <c r="N208" s="286">
        <f t="shared" si="40"/>
        <v>0</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#DIV/0!</v>
      </c>
      <c r="F209" s="294">
        <f>+SUM(F197:F208)</f>
        <v>0</v>
      </c>
      <c r="G209" s="295"/>
      <c r="H209" s="293"/>
      <c r="I209" s="294"/>
      <c r="J209" s="295" t="s">
        <v>115</v>
      </c>
      <c r="K209" s="293">
        <f>L209/L$109</f>
        <v>0.25108241122271513</v>
      </c>
      <c r="L209" s="294">
        <f>SUM(L197:L208)</f>
        <v>8212.7499999999964</v>
      </c>
      <c r="M209" s="296"/>
      <c r="N209" s="294">
        <f t="shared" si="40"/>
        <v>8212.7499999999964</v>
      </c>
      <c r="O209" s="295" t="s">
        <v>115</v>
      </c>
      <c r="P209" s="293">
        <f>Q209/Q$109</f>
        <v>0.55846190450794997</v>
      </c>
      <c r="Q209" s="294">
        <f>SUM(Q197:Q208)</f>
        <v>68067.850000000006</v>
      </c>
      <c r="R209" s="297"/>
      <c r="S209" s="294">
        <f t="shared" si="41"/>
        <v>-59855.100000000006</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f>+INDEX('Budget original'!$A$2:$AO$501,MATCH($A210,'Budget original'!$A$2:$A$501,0),MATCH(F$2,'Budget original'!$A$2:$AO$2,0))</f>
        <v>0</v>
      </c>
      <c r="G210" s="288"/>
      <c r="H210" s="38"/>
      <c r="I210" s="244"/>
      <c r="J210" s="243"/>
      <c r="K210" s="38"/>
      <c r="L210" s="266">
        <f>SUMIFS(BV_Data_An_Cour!$AM:$AM,BV_Data_An_Cour!$AP:$AP,$B210,BV_Data_An_Cour!$AQ:$AQ,$C210,BV_Data_An_Cour!$AR:$AR,$L$2)</f>
        <v>0</v>
      </c>
      <c r="M210" s="243"/>
      <c r="N210" s="266">
        <f t="shared" si="40"/>
        <v>0</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f>+INDEX('Budget original'!$A$2:$AO$501,MATCH($A211,'Budget original'!$A$2:$A$501,0),MATCH(F$2,'Budget original'!$A$2:$AO$2,0))</f>
        <v>0</v>
      </c>
      <c r="G211" s="288"/>
      <c r="H211" s="38"/>
      <c r="I211" s="244"/>
      <c r="J211" s="243"/>
      <c r="K211" s="38"/>
      <c r="L211" s="266">
        <f>SUMIFS(BV_Data_An_Cour!$AM:$AM,BV_Data_An_Cour!$AP:$AP,$B211,BV_Data_An_Cour!$AQ:$AQ,$C211,BV_Data_An_Cour!$AR:$AR,$L$2)</f>
        <v>0</v>
      </c>
      <c r="M211" s="243"/>
      <c r="N211" s="266">
        <f t="shared" si="40"/>
        <v>0</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f>+INDEX('Budget original'!$A$2:$AO$501,MATCH($A212,'Budget original'!$A$2:$A$501,0),MATCH(F$2,'Budget original'!$A$2:$AO$2,0))</f>
        <v>0</v>
      </c>
      <c r="G212" s="290"/>
      <c r="H212" s="304"/>
      <c r="I212" s="240"/>
      <c r="J212" s="238"/>
      <c r="K212" s="304"/>
      <c r="L212" s="286">
        <f>SUMIFS(BV_Data_An_Cour!$AM:$AM,BV_Data_An_Cour!$AP:$AP,$B212,BV_Data_An_Cour!$AQ:$AQ,$C212,BV_Data_An_Cour!$AR:$AR,$L$2)</f>
        <v>0</v>
      </c>
      <c r="M212" s="238"/>
      <c r="N212" s="286">
        <f t="shared" si="40"/>
        <v>0</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f>+INDEX('Budget original'!$A$2:$AO$501,MATCH($A213,'Budget original'!$A$2:$A$501,0),MATCH(F$2,'Budget original'!$A$2:$AO$2,0))</f>
        <v>0</v>
      </c>
      <c r="G213" s="288"/>
      <c r="H213" s="38"/>
      <c r="I213" s="244"/>
      <c r="J213" s="243"/>
      <c r="K213" s="38"/>
      <c r="L213" s="266">
        <f>SUMIFS(BV_Data_An_Cour!$AM:$AM,BV_Data_An_Cour!$AP:$AP,$B213,BV_Data_An_Cour!$AQ:$AQ,$C213,BV_Data_An_Cour!$AR:$AR,$L$2)</f>
        <v>0</v>
      </c>
      <c r="M213" s="243"/>
      <c r="N213" s="266">
        <f t="shared" si="40"/>
        <v>0</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f>+INDEX('Budget original'!$A$2:$AO$501,MATCH($A214,'Budget original'!$A$2:$A$501,0),MATCH(F$2,'Budget original'!$A$2:$AO$2,0))</f>
        <v>0</v>
      </c>
      <c r="G214" s="288"/>
      <c r="H214" s="38"/>
      <c r="I214" s="244"/>
      <c r="J214" s="243"/>
      <c r="K214" s="38"/>
      <c r="L214" s="266">
        <f>SUMIFS(BV_Data_An_Cour!$AM:$AM,BV_Data_An_Cour!$AP:$AP,$B214,BV_Data_An_Cour!$AQ:$AQ,$C214,BV_Data_An_Cour!$AR:$AR,$L$2)</f>
        <v>0</v>
      </c>
      <c r="M214" s="243"/>
      <c r="N214" s="266">
        <f t="shared" si="40"/>
        <v>0</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f>+INDEX('Budget original'!$A$2:$AO$501,MATCH($A215,'Budget original'!$A$2:$A$501,0),MATCH(F$2,'Budget original'!$A$2:$AO$2,0))</f>
        <v>0</v>
      </c>
      <c r="G215" s="290"/>
      <c r="H215" s="304"/>
      <c r="I215" s="240"/>
      <c r="J215" s="238"/>
      <c r="K215" s="304"/>
      <c r="L215" s="286">
        <f>SUMIFS(BV_Data_An_Cour!$AM:$AM,BV_Data_An_Cour!$AP:$AP,$B215,BV_Data_An_Cour!$AQ:$AQ,$C215,BV_Data_An_Cour!$AR:$AR,$L$2)</f>
        <v>0</v>
      </c>
      <c r="M215" s="238"/>
      <c r="N215" s="286">
        <f t="shared" si="40"/>
        <v>0</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f>+INDEX('Budget original'!$A$2:$AO$501,MATCH($A216,'Budget original'!$A$2:$A$501,0),MATCH(F$2,'Budget original'!$A$2:$AO$2,0))</f>
        <v>0</v>
      </c>
      <c r="G216" s="288"/>
      <c r="H216" s="38"/>
      <c r="I216" s="244"/>
      <c r="J216" s="243"/>
      <c r="K216" s="38"/>
      <c r="L216" s="266">
        <f>SUMIFS(BV_Data_An_Cour!$AM:$AM,BV_Data_An_Cour!$AP:$AP,$B216,BV_Data_An_Cour!$AQ:$AQ,$C216,BV_Data_An_Cour!$AR:$AR,$L$2)</f>
        <v>0</v>
      </c>
      <c r="M216" s="243"/>
      <c r="N216" s="266">
        <f t="shared" si="40"/>
        <v>0</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f>+INDEX('Budget original'!$A$2:$AO$501,MATCH($A217,'Budget original'!$A$2:$A$501,0),MATCH(F$2,'Budget original'!$A$2:$AO$2,0))</f>
        <v>0</v>
      </c>
      <c r="G217" s="288"/>
      <c r="H217" s="38"/>
      <c r="I217" s="244"/>
      <c r="J217" s="243"/>
      <c r="K217" s="38"/>
      <c r="L217" s="266">
        <f>SUMIFS(BV_Data_An_Cour!$AM:$AM,BV_Data_An_Cour!$AP:$AP,$B217,BV_Data_An_Cour!$AQ:$AQ,$C217,BV_Data_An_Cour!$AR:$AR,$L$2)</f>
        <v>0</v>
      </c>
      <c r="M217" s="243"/>
      <c r="N217" s="266">
        <f t="shared" si="40"/>
        <v>0</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f>+INDEX('Budget original'!$A$2:$AO$501,MATCH($A218,'Budget original'!$A$2:$A$501,0),MATCH(F$2,'Budget original'!$A$2:$AO$2,0))</f>
        <v>0</v>
      </c>
      <c r="G218" s="288"/>
      <c r="H218" s="38"/>
      <c r="I218" s="244"/>
      <c r="J218" s="243"/>
      <c r="K218" s="38"/>
      <c r="L218" s="266">
        <f>SUMIFS(BV_Data_An_Cour!$AM:$AM,BV_Data_An_Cour!$AP:$AP,$B218,BV_Data_An_Cour!$AQ:$AQ,$C218,BV_Data_An_Cour!$AR:$AR,$L$2)</f>
        <v>0</v>
      </c>
      <c r="M218" s="243"/>
      <c r="N218" s="266">
        <f t="shared" si="40"/>
        <v>0</v>
      </c>
      <c r="O218" s="243"/>
      <c r="P218" s="38"/>
      <c r="Q218" s="266">
        <f>SUMIFS(BV_Data_An_Prec!$AM:$AM,BV_Data_An_Prec!$AP:$AP,$B218,BV_Data_An_Prec!$AQ:$AQ,$C218,BV_Data_An_Prec!$AR:$AR,$L$2)</f>
        <v>0</v>
      </c>
      <c r="R218" s="243"/>
      <c r="S218" s="266">
        <f t="shared" si="41"/>
        <v>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f>+INDEX('Budget original'!$A$2:$AO$501,MATCH($A219,'Budget original'!$A$2:$A$501,0),MATCH(F$2,'Budget original'!$A$2:$AO$2,0))</f>
        <v>0</v>
      </c>
      <c r="G219" s="288"/>
      <c r="H219" s="38"/>
      <c r="I219" s="244"/>
      <c r="J219" s="243"/>
      <c r="K219" s="38"/>
      <c r="L219" s="266">
        <f>SUMIFS(BV_Data_An_Cour!$AM:$AM,BV_Data_An_Cour!$AP:$AP,$B219,BV_Data_An_Cour!$AQ:$AQ,$C219,BV_Data_An_Cour!$AR:$AR,$L$2)</f>
        <v>0</v>
      </c>
      <c r="M219" s="243"/>
      <c r="N219" s="266">
        <f t="shared" si="40"/>
        <v>0</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f>+INDEX('Budget original'!$A$2:$AO$501,MATCH($A220,'Budget original'!$A$2:$A$501,0),MATCH(F$2,'Budget original'!$A$2:$AO$2,0))</f>
        <v>0</v>
      </c>
      <c r="G220" s="288"/>
      <c r="H220" s="38"/>
      <c r="I220" s="244"/>
      <c r="J220" s="243"/>
      <c r="K220" s="38"/>
      <c r="L220" s="266">
        <f>SUMIFS(BV_Data_An_Cour!$AM:$AM,BV_Data_An_Cour!$AP:$AP,$B220,BV_Data_An_Cour!$AQ:$AQ,$C220,BV_Data_An_Cour!$AR:$AR,$L$2)</f>
        <v>19</v>
      </c>
      <c r="M220" s="243"/>
      <c r="N220" s="266">
        <f t="shared" si="40"/>
        <v>19</v>
      </c>
      <c r="O220" s="243"/>
      <c r="P220" s="38"/>
      <c r="Q220" s="266">
        <f>SUMIFS(BV_Data_An_Prec!$AM:$AM,BV_Data_An_Prec!$AP:$AP,$B220,BV_Data_An_Prec!$AQ:$AQ,$C220,BV_Data_An_Prec!$AR:$AR,$L$2)</f>
        <v>672.31999999999971</v>
      </c>
      <c r="R220" s="243"/>
      <c r="S220" s="266">
        <f t="shared" si="41"/>
        <v>-653.31999999999971</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f>+INDEX('Budget original'!$A$2:$AO$501,MATCH($A221,'Budget original'!$A$2:$A$501,0),MATCH(F$2,'Budget original'!$A$2:$AO$2,0))</f>
        <v>0</v>
      </c>
      <c r="G221" s="288"/>
      <c r="H221" s="38"/>
      <c r="I221" s="244"/>
      <c r="J221" s="243"/>
      <c r="K221" s="38"/>
      <c r="L221" s="266">
        <f>SUMIFS(BV_Data_An_Cour!$AM:$AM,BV_Data_An_Cour!$AP:$AP,$B221,BV_Data_An_Cour!$AQ:$AQ,$C221,BV_Data_An_Cour!$AR:$AR,$L$2)</f>
        <v>0</v>
      </c>
      <c r="M221" s="243"/>
      <c r="N221" s="266">
        <f t="shared" si="40"/>
        <v>0</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f>+INDEX('Budget original'!$A$2:$AO$501,MATCH($A222,'Budget original'!$A$2:$A$501,0),MATCH(F$2,'Budget original'!$A$2:$AO$2,0))</f>
        <v>0</v>
      </c>
      <c r="G222" s="288"/>
      <c r="H222" s="38"/>
      <c r="I222" s="244"/>
      <c r="J222" s="243"/>
      <c r="K222" s="38"/>
      <c r="L222" s="266">
        <f>SUMIFS(BV_Data_An_Cour!$AM:$AM,BV_Data_An_Cour!$AP:$AP,$B222,BV_Data_An_Cour!$AQ:$AQ,$C222,BV_Data_An_Cour!$AR:$AR,$L$2)</f>
        <v>0</v>
      </c>
      <c r="M222" s="243"/>
      <c r="N222" s="266">
        <f t="shared" si="40"/>
        <v>0</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f>+INDEX('Budget original'!$A$2:$AO$501,MATCH($A223,'Budget original'!$A$2:$A$501,0),MATCH(F$2,'Budget original'!$A$2:$AO$2,0))</f>
        <v>0</v>
      </c>
      <c r="G223" s="288"/>
      <c r="H223" s="38"/>
      <c r="I223" s="244"/>
      <c r="J223" s="243"/>
      <c r="K223" s="38"/>
      <c r="L223" s="658">
        <f>SUMIFS(BV_Data_An_Cour!$AM:$AM,BV_Data_An_Cour!$AP:$AP,$B223,BV_Data_An_Cour!$AQ:$AQ,$C223,BV_Data_An_Cour!$AR:$AR,$L$2)</f>
        <v>0</v>
      </c>
      <c r="M223" s="243"/>
      <c r="N223" s="658">
        <f t="shared" si="40"/>
        <v>0</v>
      </c>
      <c r="O223" s="243"/>
      <c r="P223" s="38"/>
      <c r="Q223" s="658">
        <f>SUMIFS(BV_Data_An_Prec!$AM:$AM,BV_Data_An_Prec!$AP:$AP,$B223,BV_Data_An_Prec!$AQ:$AQ,$C223,BV_Data_An_Prec!$AR:$AR,$L$2)</f>
        <v>0</v>
      </c>
      <c r="R223" s="243"/>
      <c r="S223" s="266">
        <f t="shared" si="41"/>
        <v>0</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f>+INDEX('Budget original'!$A$2:$AO$501,MATCH($A224,'Budget original'!$A$2:$A$501,0),MATCH(F$2,'Budget original'!$A$2:$AO$2,0))</f>
        <v>0</v>
      </c>
      <c r="G224" s="288"/>
      <c r="H224" s="38"/>
      <c r="I224" s="244"/>
      <c r="J224" s="243"/>
      <c r="K224" s="38"/>
      <c r="L224" s="266">
        <f>SUMIFS(BV_Data_An_Cour!$AM:$AM,BV_Data_An_Cour!$AP:$AP,$B224,BV_Data_An_Cour!$AQ:$AQ,$C224,BV_Data_An_Cour!$AR:$AR,$L$2)</f>
        <v>0</v>
      </c>
      <c r="M224" s="243"/>
      <c r="N224" s="266">
        <f t="shared" si="40"/>
        <v>0</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f>+INDEX('Budget original'!$A$2:$AO$501,MATCH($A225,'Budget original'!$A$2:$A$501,0),MATCH(F$2,'Budget original'!$A$2:$AO$2,0))</f>
        <v>0</v>
      </c>
      <c r="G225" s="288"/>
      <c r="H225" s="38"/>
      <c r="I225" s="244"/>
      <c r="J225" s="243"/>
      <c r="K225" s="38"/>
      <c r="L225" s="266">
        <f>SUMIFS(BV_Data_An_Cour!$AM:$AM,BV_Data_An_Cour!$AP:$AP,$B225,BV_Data_An_Cour!$AQ:$AQ,$C225,BV_Data_An_Cour!$AR:$AR,$L$2)</f>
        <v>0</v>
      </c>
      <c r="M225" s="243"/>
      <c r="N225" s="266">
        <f t="shared" si="40"/>
        <v>0</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f>+INDEX('Budget original'!$A$2:$AO$501,MATCH($A226,'Budget original'!$A$2:$A$501,0),MATCH(F$2,'Budget original'!$A$2:$AO$2,0))</f>
        <v>0</v>
      </c>
      <c r="G226" s="288"/>
      <c r="H226" s="38"/>
      <c r="I226" s="244"/>
      <c r="J226" s="243"/>
      <c r="K226" s="38"/>
      <c r="L226" s="266">
        <f>SUMIFS(BV_Data_An_Cour!$AM:$AM,BV_Data_An_Cour!$AP:$AP,$B226,BV_Data_An_Cour!$AQ:$AQ,$C226,BV_Data_An_Cour!$AR:$AR,$L$2)</f>
        <v>0</v>
      </c>
      <c r="M226" s="243"/>
      <c r="N226" s="266">
        <f t="shared" si="40"/>
        <v>0</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#DIV/0!</v>
      </c>
      <c r="F227" s="294">
        <f>+SUM(F210:F226)</f>
        <v>0</v>
      </c>
      <c r="G227" s="295"/>
      <c r="H227" s="293"/>
      <c r="I227" s="294"/>
      <c r="J227" s="295" t="s">
        <v>115</v>
      </c>
      <c r="K227" s="293">
        <f>L227/L$109</f>
        <v>5.8087313180500927E-4</v>
      </c>
      <c r="L227" s="294">
        <f>+SUM(L210:L226)</f>
        <v>19</v>
      </c>
      <c r="M227" s="296"/>
      <c r="N227" s="294">
        <f t="shared" si="40"/>
        <v>19</v>
      </c>
      <c r="O227" s="295" t="s">
        <v>115</v>
      </c>
      <c r="P227" s="293">
        <f>Q227/Q$109</f>
        <v>5.5160418264832041E-3</v>
      </c>
      <c r="Q227" s="294">
        <f>+SUM(Q210:Q226)</f>
        <v>672.31999999999971</v>
      </c>
      <c r="R227" s="297"/>
      <c r="S227" s="294">
        <f t="shared" si="41"/>
        <v>-653.31999999999971</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#DIV/0!</v>
      </c>
      <c r="F229" s="294">
        <f>F196+F209+F227</f>
        <v>0</v>
      </c>
      <c r="G229" s="295"/>
      <c r="H229" s="293"/>
      <c r="I229" s="294"/>
      <c r="J229" s="295" t="s">
        <v>115</v>
      </c>
      <c r="K229" s="293">
        <f>L229/L$109</f>
        <v>0.50269892000398975</v>
      </c>
      <c r="L229" s="294">
        <f>L196+L209+L227</f>
        <v>16442.969999999987</v>
      </c>
      <c r="M229" s="296"/>
      <c r="N229" s="294">
        <f t="shared" ref="N229:N236" si="42">L229-F229</f>
        <v>16442.969999999987</v>
      </c>
      <c r="O229" s="295" t="s">
        <v>115</v>
      </c>
      <c r="P229" s="293">
        <f>Q229/Q$109</f>
        <v>0.59571348284645842</v>
      </c>
      <c r="Q229" s="294">
        <f>Q196+Q209+Q227</f>
        <v>72608.239999999991</v>
      </c>
      <c r="R229" s="297"/>
      <c r="S229" s="294">
        <f t="shared" ref="S229:S236" si="43">L229-Q229</f>
        <v>-56165.270000000004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f>+INDEX('Budget original'!$A$2:$AO$501,MATCH($A230,'Budget original'!$A$2:$A$501,0),MATCH(F$2,'Budget original'!$A$2:$AO$2,0))</f>
        <v>0</v>
      </c>
      <c r="G230" s="331"/>
      <c r="H230" s="330"/>
      <c r="I230" s="244"/>
      <c r="J230" s="331"/>
      <c r="K230" s="330"/>
      <c r="L230" s="266">
        <v>0</v>
      </c>
      <c r="M230" s="243"/>
      <c r="N230" s="266">
        <f t="shared" si="42"/>
        <v>0</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f>+INDEX('Budget original'!$A$2:$AO$501,MATCH($A231,'Budget original'!$A$2:$A$501,0),MATCH(F$2,'Budget original'!$A$2:$AO$2,0))</f>
        <v>0</v>
      </c>
      <c r="G231" s="331"/>
      <c r="H231" s="330"/>
      <c r="I231" s="244"/>
      <c r="J231" s="331"/>
      <c r="K231" s="330"/>
      <c r="L231" s="266">
        <f>-SUMIFS(BV_Data_An_Cour!$AM:$AM,BV_Data_An_Cour!$AP:$AP,$B231,BV_Data_An_Cour!$AQ:$AQ,$C231,BV_Data_An_Cour!$AR:$AR,$L$2)</f>
        <v>0</v>
      </c>
      <c r="M231" s="243"/>
      <c r="N231" s="266">
        <f t="shared" si="42"/>
        <v>0</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f>+INDEX('Budget original'!$A$2:$AO$501,MATCH($A232,'Budget original'!$A$2:$A$501,0),MATCH(F$2,'Budget original'!$A$2:$AO$2,0))</f>
        <v>0</v>
      </c>
      <c r="G232" s="288"/>
      <c r="H232" s="38"/>
      <c r="I232" s="244"/>
      <c r="J232" s="243"/>
      <c r="K232" s="38"/>
      <c r="L232" s="266">
        <f>-SUMIFS(BV_Data_An_Cour!$AM:$AM,BV_Data_An_Cour!$AP:$AP,$B232,BV_Data_An_Cour!$AQ:$AQ,$C232,BV_Data_An_Cour!$AR:$AR,$L$2)</f>
        <v>0</v>
      </c>
      <c r="M232" s="243"/>
      <c r="N232" s="266">
        <f t="shared" si="42"/>
        <v>0</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#REF!</v>
      </c>
      <c r="E233" s="307" t="e">
        <f>F233/#REF!</f>
        <v>#REF!</v>
      </c>
      <c r="F233" s="244">
        <f>+INDEX('Budget original'!$A$2:$AO$501,MATCH($A233,'Budget original'!$A$2:$A$501,0),MATCH(F$2,'Budget original'!$A$2:$AO$2,0))</f>
        <v>0</v>
      </c>
      <c r="G233" s="288"/>
      <c r="H233" s="38"/>
      <c r="I233" s="244"/>
      <c r="J233" s="744"/>
      <c r="K233" s="307"/>
      <c r="L233" s="266">
        <f>-SUMIFS(BV_Data_An_Cour!$AM:$AM,BV_Data_An_Cour!$AP:$AP,$B233,BV_Data_An_Cour!$AQ:$AQ,$C233,BV_Data_An_Cour!$AR:$AR,L$2)</f>
        <v>0</v>
      </c>
      <c r="M233" s="243"/>
      <c r="N233" s="266">
        <f t="shared" si="42"/>
        <v>0</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f>+INDEX('Budget original'!$A$2:$AO$501,MATCH($A234,'Budget original'!$A$2:$A$501,0),MATCH(F$2,'Budget original'!$A$2:$AO$2,0))</f>
        <v>0</v>
      </c>
      <c r="G234" s="288"/>
      <c r="H234" s="38"/>
      <c r="I234" s="244"/>
      <c r="J234" s="243"/>
      <c r="K234" s="38"/>
      <c r="L234" s="266">
        <f>-SUMIFS(BV_Data_An_Cour!$AM:$AM,BV_Data_An_Cour!$AP:$AP,$B234,BV_Data_An_Cour!$AQ:$AQ,$C234,BV_Data_An_Cour!$AR:$AR,$L$2)</f>
        <v>0</v>
      </c>
      <c r="M234" s="243"/>
      <c r="N234" s="266">
        <f t="shared" si="42"/>
        <v>0</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f>+INDEX('Budget original'!$A$2:$AO$501,MATCH($A235,'Budget original'!$A$2:$A$501,0),MATCH(F$2,'Budget original'!$A$2:$AO$2,0))</f>
        <v>0</v>
      </c>
      <c r="G235" s="288"/>
      <c r="H235" s="38"/>
      <c r="I235" s="244"/>
      <c r="J235" s="243"/>
      <c r="K235" s="38"/>
      <c r="L235" s="266">
        <f>-SUMIFS(BV_Data_An_Cour!$AM:$AM,BV_Data_An_Cour!$AP:$AP,$B235,BV_Data_An_Cour!$AQ:$AQ,$C235,BV_Data_An_Cour!$AR:$AR,$L$2)</f>
        <v>0</v>
      </c>
      <c r="M235" s="243"/>
      <c r="N235" s="266">
        <f t="shared" si="42"/>
        <v>0</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f>+INDEX('Budget original'!$A$2:$AO$501,MATCH($A236,'Budget original'!$A$2:$A$501,0),MATCH(F$2,'Budget original'!$A$2:$AO$2,0))</f>
        <v>0</v>
      </c>
      <c r="G236" s="288"/>
      <c r="H236" s="38"/>
      <c r="I236" s="244"/>
      <c r="J236" s="243"/>
      <c r="K236" s="38"/>
      <c r="L236" s="266">
        <f>-SUMIFS(BV_Data_An_Cour!$AM:$AM,BV_Data_An_Cour!$AP:$AP,$B236,BV_Data_An_Cour!$AQ:$AQ,$C236,BV_Data_An_Cour!$AR:$AR,$L$2)</f>
        <v>0</v>
      </c>
      <c r="M236" s="243"/>
      <c r="N236" s="266">
        <f t="shared" si="42"/>
        <v>0</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f>+SUM(F230:F236)</f>
        <v>0</v>
      </c>
      <c r="G237" s="295"/>
      <c r="H237" s="293"/>
      <c r="I237" s="294"/>
      <c r="J237" s="295"/>
      <c r="K237" s="293"/>
      <c r="L237" s="294">
        <f>+SUM(L230:L236)</f>
        <v>0</v>
      </c>
      <c r="M237" s="296"/>
      <c r="N237" s="294">
        <f>SUM(N230:N233)</f>
        <v>0</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-59948.170000001104</v>
      </c>
      <c r="M239" s="958"/>
      <c r="N239" s="956" t="e">
        <f>L239-F239</f>
        <v>#REF!</v>
      </c>
      <c r="O239" s="957"/>
      <c r="P239" s="955"/>
      <c r="Q239" s="956">
        <f>Q182-Q229+Q237</f>
        <v>-16373.489999999874</v>
      </c>
      <c r="R239" s="959"/>
      <c r="S239" s="956">
        <f>L239-Q239</f>
        <v>-43574.68000000123</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Septembre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4" t="s">
        <v>339</v>
      </c>
      <c r="E244" s="1279"/>
      <c r="F244" s="1280"/>
      <c r="G244" s="1281"/>
      <c r="H244" s="1279"/>
      <c r="I244" s="1280"/>
      <c r="J244" s="1281" t="s">
        <v>340</v>
      </c>
      <c r="K244" s="1279"/>
      <c r="L244" s="1280"/>
      <c r="M244" s="1281" t="s">
        <v>668</v>
      </c>
      <c r="N244" s="1280"/>
      <c r="O244" s="1274" t="s">
        <v>341</v>
      </c>
      <c r="P244" s="1279"/>
      <c r="Q244" s="1280"/>
      <c r="R244" s="1273" t="s">
        <v>670</v>
      </c>
      <c r="S244" s="1282"/>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f>+INDEX('Budget original'!$A$2:$AO$501,MATCH($A246,'Budget original'!$A$2:$A$501,0),MATCH(D$2,'Budget original'!$A$2:$AO$2,0))</f>
        <v>0</v>
      </c>
      <c r="E246" s="281">
        <f>+INDEX('Budget original'!$A$2:$AO$501,MATCH($A246,'Budget original'!$A$2:$A$501,0),MATCH(E$2,'Budget original'!$A$2:$AO$2,0))</f>
        <v>0</v>
      </c>
      <c r="F246" s="281">
        <f>+INDEX('Budget original'!$A$2:$AO$501,MATCH($A246,'Budget original'!$A$2:$A$501,0),MATCH(F$2,'Budget original'!$A$2:$AO$2,0))</f>
        <v>0</v>
      </c>
      <c r="G246" s="267"/>
      <c r="H246" s="281"/>
      <c r="I246" s="281"/>
      <c r="J246" s="245">
        <f>SUMIFS(BV_Data_An_Cour!$AW:$AW,BV_Data_An_Cour!$AP:$AP,$B246,BV_Data_An_Cour!$AQ:$AQ,$C246,BV_Data_An_Cour!$AY:$AY,J$2)</f>
        <v>231</v>
      </c>
      <c r="K246" s="281">
        <f>-SUMIFS(BV_Data_An_Cour!$AM:$AM,BV_Data_An_Cour!$AS:$AS,"Oui",BV_Data_An_Cour!$AP:$AP,$B246,BV_Data_An_Cour!$AQ:$AQ,$C246)</f>
        <v>55775.450000000041</v>
      </c>
      <c r="L246" s="266">
        <f>-SUMIFS(BV_Data_An_Cour!$AM:$AM,BV_Data_An_Cour!$AP:$AP,$B246,BV_Data_An_Cour!$AQ:$AQ,$C246,BV_Data_An_Cour!$AR:$AR,$L$2)</f>
        <v>39841.950000000048</v>
      </c>
      <c r="M246" s="282" t="e">
        <f>(K246-E246)/E246</f>
        <v>#DIV/0!</v>
      </c>
      <c r="N246" s="266">
        <f>L246-F246</f>
        <v>39841.950000000048</v>
      </c>
      <c r="O246" s="245">
        <f>SUMIFS(BV_Data_An_Prec!$AW:$AW,BV_Data_An_Prec!$AP:$AP,$B246,BV_Data_An_Prec!$AQ:$AQ,$C246,BV_Data_An_Prec!$AY:$AY,O$2)</f>
        <v>209</v>
      </c>
      <c r="P246" s="281">
        <f>-SUMIFS(BV_Data_An_Prec!$AM:$AM,BV_Data_An_Prec!$AS:$AS,"Oui",BV_Data_An_Prec!$AP:$AP,$B246,BV_Data_An_Prec!$AQ:$AQ,$C246)</f>
        <v>73555.150000000067</v>
      </c>
      <c r="Q246" s="266">
        <f>-SUMIFS(BV_Data_An_Prec!$AM:$AM,BV_Data_An_Prec!$AP:$AP,$B246,BV_Data_An_Prec!$AQ:$AQ,$C246,BV_Data_An_Prec!$AR:$AR,$L$2)</f>
        <v>58839.140000000058</v>
      </c>
      <c r="R246" s="282">
        <f>IF(O246=0,0,J246/O246)</f>
        <v>1.1052631578947369</v>
      </c>
      <c r="S246" s="266">
        <f>L246-Q246</f>
        <v>-18997.19000000001</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#DIV/0!</v>
      </c>
      <c r="G247" s="267"/>
      <c r="H247" s="325"/>
      <c r="I247" s="332"/>
      <c r="J247" s="267"/>
      <c r="K247" s="38"/>
      <c r="L247" s="332">
        <f>IF(L246=0,0,L246/K246)</f>
        <v>0.71432771945363094</v>
      </c>
      <c r="M247" s="282"/>
      <c r="N247" s="266"/>
      <c r="O247" s="267"/>
      <c r="P247" s="38"/>
      <c r="Q247" s="332">
        <f>IF(Q246=0,0,Q246/P246)</f>
        <v>0.79993229569921354</v>
      </c>
      <c r="R247" s="267"/>
      <c r="S247" s="332">
        <f>IF(Q246=0,0,(S246/Q246))</f>
        <v>-0.32286654767557771</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241.45216450216469</v>
      </c>
      <c r="L248" s="334"/>
      <c r="M248" s="285"/>
      <c r="N248" s="286"/>
      <c r="O248" s="335"/>
      <c r="P248" s="333">
        <f>IFERROR(P246/O246,0)</f>
        <v>351.93851674641178</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f>+INDEX('Budget original'!$A$2:$AO$501,MATCH($A249,'Budget original'!$A$2:$A$501,0),MATCH(D$2,'Budget original'!$A$2:$AO$2,0))</f>
        <v>0</v>
      </c>
      <c r="E249" s="281">
        <f>+INDEX('Budget original'!$A$2:$AO$501,MATCH($A249,'Budget original'!$A$2:$A$501,0),MATCH(E$2,'Budget original'!$A$2:$AO$2,0))</f>
        <v>0</v>
      </c>
      <c r="F249" s="281">
        <f>+INDEX('Budget original'!$A$2:$AO$501,MATCH($A249,'Budget original'!$A$2:$A$501,0),MATCH(F$2,'Budget original'!$A$2:$AO$2,0))</f>
        <v>0</v>
      </c>
      <c r="G249" s="337"/>
      <c r="H249" s="281"/>
      <c r="I249" s="281"/>
      <c r="J249" s="245">
        <f>SUMIFS(BV_Data_An_Cour!$AW:$AW,BV_Data_An_Cour!$AP:$AP,$B249,BV_Data_An_Cour!$AQ:$AQ,$C249,BV_Data_An_Cour!$AY:$AY,J$2)</f>
        <v>211</v>
      </c>
      <c r="K249" s="336">
        <f>-SUMIFS(BV_Data_An_Cour!$AM:$AM,BV_Data_An_Cour!$AS:$AS,"Oui",BV_Data_An_Cour!$AP:$AP,$B249,BV_Data_An_Cour!$AQ:$AQ,$C249)</f>
        <v>29474.859999999986</v>
      </c>
      <c r="L249" s="266">
        <f>-SUMIFS(BV_Data_An_Cour!$AM:$AM,BV_Data_An_Cour!$AP:$AP,$B249,BV_Data_An_Cour!$AQ:$AQ,$C249,BV_Data_An_Cour!$AR:$AR,$L$2)</f>
        <v>17192.239999999991</v>
      </c>
      <c r="M249" s="282" t="e">
        <f>(K249-E249)/E249</f>
        <v>#DIV/0!</v>
      </c>
      <c r="N249" s="303">
        <f>L249-F249</f>
        <v>17192.239999999991</v>
      </c>
      <c r="O249" s="245">
        <f>SUMIFS(BV_Data_An_Prec!$AW:$AW,BV_Data_An_Prec!$AP:$AP,$B249,BV_Data_An_Prec!$AQ:$AQ,$C249,BV_Data_An_Prec!$AY:$AY,O$2)</f>
        <v>328</v>
      </c>
      <c r="P249" s="336">
        <f>-SUMIFS(BV_Data_An_Prec!$AM:$AM,BV_Data_An_Prec!$AS:$AS,"Oui",BV_Data_An_Prec!$AP:$AP,$B249,BV_Data_An_Prec!$AQ:$AQ,$C249)</f>
        <v>54748.200000000012</v>
      </c>
      <c r="Q249" s="266">
        <f>-SUMIFS(BV_Data_An_Prec!$AM:$AM,BV_Data_An_Prec!$AP:$AP,$B249,BV_Data_An_Prec!$AQ:$AQ,$C249,BV_Data_An_Prec!$AR:$AR,$L$2)</f>
        <v>34977.760000000024</v>
      </c>
      <c r="R249" s="282">
        <f>IF(O249=0,0,J249/O249)</f>
        <v>0.64329268292682928</v>
      </c>
      <c r="S249" s="266">
        <f>L249-Q249</f>
        <v>-17785.520000000033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#DIV/0!</v>
      </c>
      <c r="G250" s="243"/>
      <c r="H250" s="38"/>
      <c r="I250" s="332"/>
      <c r="J250" s="243"/>
      <c r="K250" s="38"/>
      <c r="L250" s="332">
        <f>IF(L249=0,0,L249/K249)</f>
        <v>0.58328487395699247</v>
      </c>
      <c r="M250" s="282"/>
      <c r="N250" s="332"/>
      <c r="O250" s="243"/>
      <c r="P250" s="38"/>
      <c r="Q250" s="332">
        <f>IF(Q249=0,0,Q249/P249)</f>
        <v>0.63888420075911201</v>
      </c>
      <c r="R250" s="282"/>
      <c r="S250" s="332">
        <f>IF(Q249=0,0,(S249/Q249))</f>
        <v>-0.50848081752519381</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139.69127962085301</v>
      </c>
      <c r="L251" s="334"/>
      <c r="M251" s="285"/>
      <c r="N251" s="286"/>
      <c r="O251" s="335"/>
      <c r="P251" s="333">
        <f>IFERROR(P249/O249,0)</f>
        <v>166.91524390243907</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f>+INDEX('Budget original'!$A$2:$AO$501,MATCH($A252,'Budget original'!$A$2:$A$501,0),MATCH(D$2,'Budget original'!$A$2:$AO$2,0))</f>
        <v>0</v>
      </c>
      <c r="E252" s="281">
        <f>+INDEX('Budget original'!$A$2:$AO$501,MATCH($A252,'Budget original'!$A$2:$A$501,0),MATCH(E$2,'Budget original'!$A$2:$AO$2,0))</f>
        <v>0</v>
      </c>
      <c r="F252" s="281">
        <f>+INDEX('Budget original'!$A$2:$AO$501,MATCH($A252,'Budget original'!$A$2:$A$501,0),MATCH(F$2,'Budget original'!$A$2:$AO$2,0))</f>
        <v>0</v>
      </c>
      <c r="G252" s="267"/>
      <c r="H252" s="281"/>
      <c r="I252" s="281"/>
      <c r="J252" s="245">
        <f>SUMIFS(BV_Data_An_Cour!$AW:$AW,BV_Data_An_Cour!$AP:$AP,$B252,BV_Data_An_Cour!$AQ:$AQ,$C252,BV_Data_An_Cour!$AY:$AY,J$2)</f>
        <v>430</v>
      </c>
      <c r="K252" s="336">
        <f>-SUMIFS(BV_Data_An_Cour!$AM:$AM,BV_Data_An_Cour!$AS:$AS,"Oui",BV_Data_An_Cour!$AP:$AP,$B252,BV_Data_An_Cour!$AQ:$AQ,$C252)</f>
        <v>66263.48000000001</v>
      </c>
      <c r="L252" s="266">
        <f>-SUMIFS(BV_Data_An_Cour!$AM:$AM,BV_Data_An_Cour!$AP:$AP,$B252,BV_Data_An_Cour!$AQ:$AQ,$C252,BV_Data_An_Cour!$AR:$AR,$L$2)</f>
        <v>46710.400000000009</v>
      </c>
      <c r="M252" s="282" t="e">
        <f>(K252-E252)/E252</f>
        <v>#DIV/0!</v>
      </c>
      <c r="N252" s="266">
        <f>L252-F252</f>
        <v>46710.400000000009</v>
      </c>
      <c r="O252" s="245">
        <f>SUMIFS(BV_Data_An_Prec!$AW:$AW,BV_Data_An_Prec!$AP:$AP,$B252,BV_Data_An_Prec!$AQ:$AQ,$C252,BV_Data_An_Prec!$AY:$AY,O$2)</f>
        <v>517</v>
      </c>
      <c r="P252" s="336">
        <f>-SUMIFS(BV_Data_An_Prec!$AM:$AM,BV_Data_An_Prec!$AS:$AS,"Oui",BV_Data_An_Prec!$AP:$AP,$B252,BV_Data_An_Prec!$AQ:$AQ,$C252)</f>
        <v>68576.219999999972</v>
      </c>
      <c r="Q252" s="266">
        <f>-SUMIFS(BV_Data_An_Prec!$AM:$AM,BV_Data_An_Prec!$AP:$AP,$B252,BV_Data_An_Prec!$AQ:$AQ,$C252,BV_Data_An_Prec!$AR:$AR,$L$2)</f>
        <v>51169.099999999969</v>
      </c>
      <c r="R252" s="282">
        <f>IF(O252=0,0,J252/O252)</f>
        <v>0.83172147001934238</v>
      </c>
      <c r="S252" s="266">
        <f>L252-Q252</f>
        <v>-4458.6999999999607</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#DIV/0!</v>
      </c>
      <c r="G253" s="267"/>
      <c r="H253" s="325"/>
      <c r="I253" s="332"/>
      <c r="J253" s="267"/>
      <c r="K253" s="325"/>
      <c r="L253" s="332">
        <f>IF(L252=0,0,L252/K252)</f>
        <v>0.70491921040066119</v>
      </c>
      <c r="M253" s="282"/>
      <c r="N253" s="266" t="e">
        <f>L253-F253</f>
        <v>#DIV/0!</v>
      </c>
      <c r="O253" s="267"/>
      <c r="P253" s="325"/>
      <c r="Q253" s="332">
        <f>IF(Q252=0,0,Q252/P252)</f>
        <v>0.74616390346391204</v>
      </c>
      <c r="R253" s="267"/>
      <c r="S253" s="332">
        <f>IF(Q252=0,0,(S252/Q252))</f>
        <v>-8.7136572658107397E-2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154.1011162790698</v>
      </c>
      <c r="L254" s="334"/>
      <c r="M254" s="285"/>
      <c r="N254" s="286"/>
      <c r="O254" s="335"/>
      <c r="P254" s="333">
        <f>IFERROR(P252/O252,0)</f>
        <v>132.64259187620885</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f>+INDEX('Budget original'!$A$2:$AO$501,MATCH($A255,'Budget original'!$A$2:$A$501,0),MATCH(D$2,'Budget original'!$A$2:$AO$2,0))</f>
        <v>0</v>
      </c>
      <c r="E255" s="281">
        <f>+INDEX('Budget original'!$A$2:$AO$501,MATCH($A255,'Budget original'!$A$2:$A$501,0),MATCH(E$2,'Budget original'!$A$2:$AO$2,0))</f>
        <v>0</v>
      </c>
      <c r="F255" s="281">
        <f>+INDEX('Budget original'!$A$2:$AO$501,MATCH($A255,'Budget original'!$A$2:$A$501,0),MATCH(F$2,'Budget original'!$A$2:$AO$2,0))</f>
        <v>0</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f>IF(E255=0,0,(K255-E255)/E255)</f>
        <v>0</v>
      </c>
      <c r="N255" s="303">
        <f>L255-F255</f>
        <v>0</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f>+INDEX('Budget original'!$A$2:$AO$501,MATCH($A258,'Budget original'!$A$2:$A$501,0),MATCH(F$2,'Budget original'!$A$2:$AO$2,0))</f>
        <v>0</v>
      </c>
      <c r="G258" s="243"/>
      <c r="H258" s="281"/>
      <c r="I258" s="281"/>
      <c r="J258" s="267"/>
      <c r="K258" s="281"/>
      <c r="L258" s="281">
        <f>-SUMIFS(BV_Data_An_Cour!$AM:$AM,BV_Data_An_Cour!$AP:$AP,$B258,BV_Data_An_Cour!$AQ:$AQ,$C258,BV_Data_An_Cour!$AR:$AR,$L$2)</f>
        <v>0</v>
      </c>
      <c r="M258" s="267"/>
      <c r="N258" s="266">
        <f>L258-F258</f>
        <v>0</v>
      </c>
      <c r="O258" s="267"/>
      <c r="P258" s="281"/>
      <c r="Q258" s="281">
        <f>-SUMIFS(BV_Data_An_Prec!$AM:$AM,BV_Data_An_Prec!$AP:$AP,$B258,BV_Data_An_Prec!$AQ:$AQ,$C258,BV_Data_An_Prec!$AR:$AR,$L$2)</f>
        <v>1668.8900000000031</v>
      </c>
      <c r="R258" s="345"/>
      <c r="S258" s="266">
        <f t="shared" ref="S258:S259" si="44">L258-Q258</f>
        <v>-1668.8900000000031</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f>D246+D249+D252+D255+D258</f>
        <v>0</v>
      </c>
      <c r="E259" s="347">
        <f>E246+E249+E252+E255+E258</f>
        <v>0</v>
      </c>
      <c r="F259" s="348">
        <f>F246+F249+F252+F255+F258</f>
        <v>0</v>
      </c>
      <c r="G259" s="349"/>
      <c r="H259" s="347"/>
      <c r="I259" s="348"/>
      <c r="J259" s="973">
        <f t="shared" ref="J259:K259" si="45">J246+J249+J252+J255+J258</f>
        <v>872</v>
      </c>
      <c r="K259" s="974">
        <f t="shared" si="45"/>
        <v>151513.79000000004</v>
      </c>
      <c r="L259" s="975">
        <f>L246+L249+L252+L255+L258</f>
        <v>103744.59000000005</v>
      </c>
      <c r="M259" s="976" t="e">
        <f>(K259-E259)/E259</f>
        <v>#DIV/0!</v>
      </c>
      <c r="N259" s="975">
        <f>L259-F259</f>
        <v>103744.59000000005</v>
      </c>
      <c r="O259" s="973">
        <f t="shared" ref="O259:P259" si="46">O246+O249+O252+O255+O258</f>
        <v>1054</v>
      </c>
      <c r="P259" s="974">
        <f t="shared" si="46"/>
        <v>196879.57000000007</v>
      </c>
      <c r="Q259" s="975">
        <f>Q246+Q249+Q252+Q255+Q258</f>
        <v>146654.89000000007</v>
      </c>
      <c r="R259" s="254">
        <f>IF(O259=0,0,J259/O259)</f>
        <v>0.82732447817836807</v>
      </c>
      <c r="S259" s="348">
        <f t="shared" si="44"/>
        <v>-42910.300000000017</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#DIV/0!</v>
      </c>
      <c r="G260" s="354"/>
      <c r="H260" s="352"/>
      <c r="I260" s="255"/>
      <c r="J260" s="977"/>
      <c r="K260" s="978">
        <f>IF(J259=0,0,K259/J259)</f>
        <v>173.75434633027527</v>
      </c>
      <c r="L260" s="255">
        <f>IF(L259=0,0,L259/K259)</f>
        <v>0.68472044689793599</v>
      </c>
      <c r="M260" s="977"/>
      <c r="N260" s="979" t="e">
        <f>N259/F259</f>
        <v>#DIV/0!</v>
      </c>
      <c r="O260" s="977"/>
      <c r="P260" s="978">
        <f>IF(O259=0,0,P259/O259)</f>
        <v>186.79276091081601</v>
      </c>
      <c r="Q260" s="255">
        <f>IF(Q259=0,0,Q259/P259)</f>
        <v>0.74489643592781118</v>
      </c>
      <c r="R260" s="354"/>
      <c r="S260" s="255">
        <f>S259/Q259</f>
        <v>-0.29259372121856964</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f>+INDEX('Budget original'!$A$2:$AO$501,MATCH($A262,'Budget original'!$A$2:$A$501,0),MATCH(E$2,'Budget original'!$A$2:$AO$2,0))</f>
        <v>0</v>
      </c>
      <c r="F262" s="281">
        <f>+INDEX('Budget original'!$A$2:$AO$501,MATCH($A262,'Budget original'!$A$2:$A$501,0),MATCH(F$2,'Budget original'!$A$2:$AO$2,0))</f>
        <v>0</v>
      </c>
      <c r="G262" s="267"/>
      <c r="H262" s="281"/>
      <c r="I262" s="281"/>
      <c r="J262" s="245">
        <f>SUMIFS(BV_Data_An_Cour!$AW:$AW,BV_Data_An_Cour!$AP:$AP,$B262,BV_Data_An_Cour!$AQ:$AQ,$C262,BV_Data_An_Cour!$AY:$AY,J$2)</f>
        <v>333</v>
      </c>
      <c r="K262" s="281">
        <f>-SUMIFS(BV_Data_An_Cour!$AM:$AM,BV_Data_An_Cour!$AS:$AS,"Oui",BV_Data_An_Cour!$AP:$AP,$B262,BV_Data_An_Cour!$AQ:$AQ,$C262)</f>
        <v>13883.549999999992</v>
      </c>
      <c r="L262" s="266">
        <f>-SUMIFS(BV_Data_An_Cour!$AM:$AM,BV_Data_An_Cour!$AP:$AP,$B262,BV_Data_An_Cour!$AQ:$AQ,$C262,BV_Data_An_Cour!$AR:$AR,$L$2)</f>
        <v>3700.6799999999839</v>
      </c>
      <c r="M262" s="282">
        <f>IF(E262=0,0,(K262-E262)/E262)</f>
        <v>0</v>
      </c>
      <c r="N262" s="266">
        <f>L262-F262</f>
        <v>3700.6799999999839</v>
      </c>
      <c r="O262" s="245">
        <f>SUMIFS(BV_Data_An_Prec!$AW:$AW,BV_Data_An_Prec!$AP:$AP,$B262,BV_Data_An_Prec!$AQ:$AQ,$C262,BV_Data_An_Prec!$AY:$AY,O$2)</f>
        <v>328</v>
      </c>
      <c r="P262" s="281">
        <f>-SUMIFS(BV_Data_An_Prec!$AM:$AM,BV_Data_An_Prec!$AS:$AS,"Oui",BV_Data_An_Prec!$AP:$AP,$B262,BV_Data_An_Prec!$AQ:$AQ,$C262)</f>
        <v>20193.09999999998</v>
      </c>
      <c r="Q262" s="266">
        <f>-SUMIFS(BV_Data_An_Prec!$AM:$AM,BV_Data_An_Prec!$AP:$AP,$B262,BV_Data_An_Prec!$AQ:$AQ,$C262,BV_Data_An_Prec!$AR:$AR,$L$2)</f>
        <v>5749.3299999999617</v>
      </c>
      <c r="R262" s="282">
        <f>IF(O262=0,0,J262/O262)</f>
        <v>1.0152439024390243</v>
      </c>
      <c r="S262" s="266">
        <f>L262-Q262</f>
        <v>-2048.6499999999778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0.26655142236675677</v>
      </c>
      <c r="M263" s="267"/>
      <c r="N263" s="266"/>
      <c r="O263" s="267"/>
      <c r="P263" s="325"/>
      <c r="Q263" s="332">
        <f>IF(Q262=0,0,Q262/P262)</f>
        <v>0.28471755203509946</v>
      </c>
      <c r="R263" s="267"/>
      <c r="S263" s="332">
        <f>IF(Q262=0,0,(S262/Q262))</f>
        <v>-0.35632847653552524</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f>+INDEX('Budget original'!$A$2:$AO$501,MATCH($A265,'Budget original'!$A$2:$A$501,0),MATCH(E$2,'Budget original'!$A$2:$AO$2,0))</f>
        <v>0</v>
      </c>
      <c r="F265" s="281">
        <f>+INDEX('Budget original'!$A$2:$AO$501,MATCH($A265,'Budget original'!$A$2:$A$501,0),MATCH(F$2,'Budget original'!$A$2:$AO$2,0))</f>
        <v>0</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f>IF(E265=0,0,(K265-E265)/E265)</f>
        <v>0</v>
      </c>
      <c r="N265" s="266">
        <f>L265-F265</f>
        <v>0</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f>IF(F265=0,0,F265/E265)</f>
        <v>0</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f>E259+E262+E265</f>
        <v>0</v>
      </c>
      <c r="F268" s="271">
        <f>F259+F262+F265</f>
        <v>0</v>
      </c>
      <c r="G268" s="272"/>
      <c r="H268" s="270"/>
      <c r="I268" s="271"/>
      <c r="J268" s="272"/>
      <c r="K268" s="269">
        <f t="shared" ref="K268" si="47">K259+K262+K265</f>
        <v>165397.34000000003</v>
      </c>
      <c r="L268" s="271">
        <f>L259+L262+L265</f>
        <v>107445.27000000003</v>
      </c>
      <c r="M268" s="272" t="e">
        <f>L269-F269</f>
        <v>#DIV/0!</v>
      </c>
      <c r="N268" s="271">
        <f>L268-F268</f>
        <v>107445.27000000003</v>
      </c>
      <c r="O268" s="272"/>
      <c r="P268" s="269">
        <f t="shared" ref="P268" si="48">P259+P262+P265</f>
        <v>217072.67000000004</v>
      </c>
      <c r="Q268" s="271">
        <f>Q259+Q262+Q265</f>
        <v>152404.22000000003</v>
      </c>
      <c r="R268" s="272"/>
      <c r="S268" s="271">
        <f>L268-Q268</f>
        <v>-44958.95</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#DIV/0!</v>
      </c>
      <c r="G269" s="273"/>
      <c r="H269" s="274"/>
      <c r="I269" s="275"/>
      <c r="J269" s="273"/>
      <c r="K269" s="945"/>
      <c r="L269" s="326">
        <f>L268/K268</f>
        <v>0.64961909302773557</v>
      </c>
      <c r="M269" s="276"/>
      <c r="N269" s="277" t="e">
        <f>N268/F268</f>
        <v>#DIV/0!</v>
      </c>
      <c r="O269" s="273"/>
      <c r="P269" s="945"/>
      <c r="Q269" s="326">
        <f>Q268/P268</f>
        <v>0.70208847571645017</v>
      </c>
      <c r="R269" s="276"/>
      <c r="S269" s="326">
        <f>L268/S268</f>
        <v>-2.3898527434470789</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f>+INDEX('Budget original'!$A$2:$AO$501,MATCH($A272,'Budget original'!$A$2:$A$501,0),MATCH(F$2,'Budget original'!$A$2:$AO$2,0))</f>
        <v>0</v>
      </c>
      <c r="G272" s="243"/>
      <c r="H272" s="38"/>
      <c r="I272" s="244"/>
      <c r="J272" s="243"/>
      <c r="K272" s="38"/>
      <c r="L272" s="266">
        <f>SUMIFS(BV_Data_An_Cour!$AM:$AM,BV_Data_An_Cour!$AP:$AP,$B272,BV_Data_An_Cour!$AQ:$AQ,$C272,BV_Data_An_Cour!$AR:$AR,$L$2)</f>
        <v>7042.3099999999977</v>
      </c>
      <c r="M272" s="243"/>
      <c r="N272" s="266">
        <f t="shared" ref="N272:N303" si="49">L272-F272</f>
        <v>7042.3099999999977</v>
      </c>
      <c r="O272" s="243"/>
      <c r="P272" s="38"/>
      <c r="Q272" s="266">
        <f>SUMIFS(BV_Data_An_Prec!$AM:$AM,BV_Data_An_Prec!$AP:$AP,$B272,BV_Data_An_Prec!$AQ:$AQ,$C272,BV_Data_An_Prec!$AR:$AR,$L$2)</f>
        <v>15276.050000000003</v>
      </c>
      <c r="R272" s="243"/>
      <c r="S272" s="266">
        <f t="shared" ref="S272:S303" si="50">L272-Q272</f>
        <v>-8233.7400000000052</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f>+INDEX('Budget original'!$A$2:$AO$501,MATCH($A273,'Budget original'!$A$2:$A$501,0),MATCH(F$2,'Budget original'!$A$2:$AO$2,0))</f>
        <v>0</v>
      </c>
      <c r="G273" s="288"/>
      <c r="H273" s="38"/>
      <c r="I273" s="240"/>
      <c r="J273" s="243"/>
      <c r="K273" s="38"/>
      <c r="L273" s="266">
        <f>SUMIFS(BV_Data_An_Cour!$AM:$AM,BV_Data_An_Cour!$AP:$AP,$B273,BV_Data_An_Cour!$AQ:$AQ,$C273,BV_Data_An_Cour!$AR:$AR,$L$2)</f>
        <v>4564.1600000000035</v>
      </c>
      <c r="M273" s="243"/>
      <c r="N273" s="266">
        <f t="shared" si="49"/>
        <v>4564.1600000000035</v>
      </c>
      <c r="O273" s="243"/>
      <c r="P273" s="38"/>
      <c r="Q273" s="266">
        <f>SUMIFS(BV_Data_An_Prec!$AM:$AM,BV_Data_An_Prec!$AP:$AP,$B273,BV_Data_An_Prec!$AQ:$AQ,$C273,BV_Data_An_Prec!$AR:$AR,$L$2)</f>
        <v>27639.72</v>
      </c>
      <c r="R273" s="243"/>
      <c r="S273" s="266">
        <f t="shared" si="50"/>
        <v>-23075.559999999998</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f>+INDEX('Budget original'!$A$2:$AO$501,MATCH($A274,'Budget original'!$A$2:$A$501,0),MATCH(F$2,'Budget original'!$A$2:$AO$2,0))</f>
        <v>0</v>
      </c>
      <c r="G274" s="302"/>
      <c r="H274" s="301"/>
      <c r="I274" s="244"/>
      <c r="J274" s="233"/>
      <c r="K274" s="301"/>
      <c r="L274" s="303">
        <f>SUMIFS(BV_Data_An_Cour!$AM:$AM,BV_Data_An_Cour!$AP:$AP,$B274,BV_Data_An_Cour!$AQ:$AQ,$C274,BV_Data_An_Cour!$AR:$AR,$L$2)</f>
        <v>6373.6999999999971</v>
      </c>
      <c r="M274" s="233"/>
      <c r="N274" s="303">
        <f t="shared" si="49"/>
        <v>6373.6999999999971</v>
      </c>
      <c r="O274" s="233"/>
      <c r="P274" s="301"/>
      <c r="Q274" s="303">
        <f>SUMIFS(BV_Data_An_Prec!$AM:$AM,BV_Data_An_Prec!$AP:$AP,$B274,BV_Data_An_Prec!$AQ:$AQ,$C274,BV_Data_An_Prec!$AR:$AR,$L$2)</f>
        <v>19414.080000000016</v>
      </c>
      <c r="R274" s="233"/>
      <c r="S274" s="303">
        <f t="shared" si="50"/>
        <v>-13040.380000000019</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#DIV/0!</v>
      </c>
      <c r="F275" s="244">
        <f>+INDEX('Budget original'!$A$2:$AO$501,MATCH($A275,'Budget original'!$A$2:$A$501,0),MATCH(F$2,'Budget original'!$A$2:$AO$2,0))</f>
        <v>0</v>
      </c>
      <c r="G275" s="288"/>
      <c r="H275" s="38"/>
      <c r="I275" s="244"/>
      <c r="J275" s="243"/>
      <c r="K275" s="745"/>
      <c r="L275" s="266">
        <f>SUMIFS(BV_Data_An_Cour!$AM:$AM,BV_Data_An_Cour!$AP:$AP,$B275,BV_Data_An_Cour!$AQ:$AQ,$C275,BV_Data_An_Cour!$AR:$AR,$L$2)</f>
        <v>6300</v>
      </c>
      <c r="M275" s="243"/>
      <c r="N275" s="266">
        <f t="shared" si="49"/>
        <v>6300</v>
      </c>
      <c r="O275" s="243"/>
      <c r="P275" s="745"/>
      <c r="Q275" s="266">
        <f>SUMIFS(BV_Data_An_Prec!$AM:$AM,BV_Data_An_Prec!$AP:$AP,$B275,BV_Data_An_Prec!$AQ:$AQ,$C275,BV_Data_An_Prec!$AR:$AR,$L$2)</f>
        <v>0</v>
      </c>
      <c r="R275" s="243"/>
      <c r="S275" s="266">
        <f t="shared" si="50"/>
        <v>6300</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f>+INDEX('Budget original'!$A$2:$AO$501,MATCH($A276,'Budget original'!$A$2:$A$501,0),MATCH(F$2,'Budget original'!$A$2:$AO$2,0))</f>
        <v>0</v>
      </c>
      <c r="G276" s="288"/>
      <c r="H276" s="38"/>
      <c r="I276" s="244"/>
      <c r="J276" s="243"/>
      <c r="K276" s="38"/>
      <c r="L276" s="266">
        <f>SUMIFS(BV_Data_An_Cour!$AM:$AM,BV_Data_An_Cour!$AP:$AP,$B276,BV_Data_An_Cour!$AQ:$AQ,$C276,BV_Data_An_Cour!$AR:$AR,$L$2)</f>
        <v>0</v>
      </c>
      <c r="M276" s="243"/>
      <c r="N276" s="266">
        <f t="shared" si="49"/>
        <v>0</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f>+INDEX('Budget original'!$A$2:$AO$501,MATCH($A277,'Budget original'!$A$2:$A$501,0),MATCH(F$2,'Budget original'!$A$2:$AO$2,0))</f>
        <v>0</v>
      </c>
      <c r="G277" s="288"/>
      <c r="H277" s="38"/>
      <c r="I277" s="244"/>
      <c r="J277" s="243"/>
      <c r="K277" s="38"/>
      <c r="L277" s="266">
        <f>SUMIFS(BV_Data_An_Cour!$AM:$AM,BV_Data_An_Cour!$AP:$AP,$B277,BV_Data_An_Cour!$AQ:$AQ,$C277,BV_Data_An_Cour!$AR:$AR,$L$2)</f>
        <v>0</v>
      </c>
      <c r="M277" s="243"/>
      <c r="N277" s="266">
        <f t="shared" si="49"/>
        <v>0</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f>+INDEX('Budget original'!$A$2:$AO$501,MATCH($A278,'Budget original'!$A$2:$A$501,0),MATCH(F$2,'Budget original'!$A$2:$AO$2,0))</f>
        <v>0</v>
      </c>
      <c r="G278" s="288"/>
      <c r="H278" s="38"/>
      <c r="I278" s="244"/>
      <c r="J278" s="243"/>
      <c r="K278" s="38"/>
      <c r="L278" s="266">
        <f>SUMIFS(BV_Data_An_Cour!$AM:$AM,BV_Data_An_Cour!$AP:$AP,$B278,BV_Data_An_Cour!$AQ:$AQ,$C278,BV_Data_An_Cour!$AR:$AR,$L$2)</f>
        <v>0</v>
      </c>
      <c r="M278" s="243"/>
      <c r="N278" s="266">
        <f t="shared" si="49"/>
        <v>0</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f>+INDEX('Budget original'!$A$2:$AO$501,MATCH($A279,'Budget original'!$A$2:$A$501,0),MATCH(F$2,'Budget original'!$A$2:$AO$2,0))</f>
        <v>0</v>
      </c>
      <c r="G279" s="288"/>
      <c r="H279" s="38"/>
      <c r="I279" s="244"/>
      <c r="J279" s="243"/>
      <c r="K279" s="38"/>
      <c r="L279" s="266">
        <f>SUMIFS(BV_Data_An_Cour!$AM:$AM,BV_Data_An_Cour!$AP:$AP,$B279,BV_Data_An_Cour!$AQ:$AQ,$C279,BV_Data_An_Cour!$AR:$AR,$L$2)</f>
        <v>9021.39</v>
      </c>
      <c r="M279" s="243"/>
      <c r="N279" s="266">
        <f t="shared" si="49"/>
        <v>9021.39</v>
      </c>
      <c r="O279" s="243"/>
      <c r="P279" s="38"/>
      <c r="Q279" s="266">
        <f>SUMIFS(BV_Data_An_Prec!$AM:$AM,BV_Data_An_Prec!$AP:$AP,$B279,BV_Data_An_Prec!$AQ:$AQ,$C279,BV_Data_An_Prec!$AR:$AR,$L$2)</f>
        <v>15591.599999999991</v>
      </c>
      <c r="R279" s="243"/>
      <c r="S279" s="266">
        <f t="shared" si="50"/>
        <v>-6570.2099999999919</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f>+INDEX('Budget original'!$A$2:$AO$501,MATCH($A280,'Budget original'!$A$2:$A$501,0),MATCH(F$2,'Budget original'!$A$2:$AO$2,0))</f>
        <v>0</v>
      </c>
      <c r="G280" s="302"/>
      <c r="H280" s="301"/>
      <c r="I280" s="262"/>
      <c r="J280" s="233"/>
      <c r="K280" s="301"/>
      <c r="L280" s="303">
        <f>SUMIFS(BV_Data_An_Cour!$AM:$AM,BV_Data_An_Cour!$AP:$AP,$B280,BV_Data_An_Cour!$AQ:$AQ,$C280,BV_Data_An_Cour!$AR:$AR,$L$2)</f>
        <v>9283.9800000000105</v>
      </c>
      <c r="M280" s="233"/>
      <c r="N280" s="303">
        <f t="shared" si="49"/>
        <v>9283.9800000000105</v>
      </c>
      <c r="O280" s="233"/>
      <c r="P280" s="301"/>
      <c r="Q280" s="303">
        <f>SUMIFS(BV_Data_An_Prec!$AM:$AM,BV_Data_An_Prec!$AP:$AP,$B280,BV_Data_An_Prec!$AQ:$AQ,$C280,BV_Data_An_Prec!$AR:$AR,$L$2)</f>
        <v>15459.040000000008</v>
      </c>
      <c r="R280" s="233"/>
      <c r="S280" s="303">
        <f t="shared" si="50"/>
        <v>-6175.0599999999977</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f>+INDEX('Budget original'!$A$2:$AO$501,MATCH($A281,'Budget original'!$A$2:$A$501,0),MATCH(F$2,'Budget original'!$A$2:$AO$2,0))</f>
        <v>0</v>
      </c>
      <c r="G281" s="288"/>
      <c r="H281" s="38"/>
      <c r="I281" s="244"/>
      <c r="J281" s="243"/>
      <c r="K281" s="38"/>
      <c r="L281" s="266">
        <f>SUMIFS(BV_Data_An_Cour!$AM:$AM,BV_Data_An_Cour!$AP:$AP,$B281,BV_Data_An_Cour!$AQ:$AQ,$C281,BV_Data_An_Cour!$AR:$AR,$L$2)</f>
        <v>1145.3699999999953</v>
      </c>
      <c r="M281" s="243"/>
      <c r="N281" s="266">
        <f t="shared" si="49"/>
        <v>1145.3699999999953</v>
      </c>
      <c r="O281" s="243"/>
      <c r="P281" s="38"/>
      <c r="Q281" s="266">
        <f>SUMIFS(BV_Data_An_Prec!$AM:$AM,BV_Data_An_Prec!$AP:$AP,$B281,BV_Data_An_Prec!$AQ:$AQ,$C281,BV_Data_An_Prec!$AR:$AR,$L$2)</f>
        <v>9372.8700000000099</v>
      </c>
      <c r="R281" s="243"/>
      <c r="S281" s="266">
        <f t="shared" si="50"/>
        <v>-8227.5000000000146</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f>+INDEX('Budget original'!$A$2:$AO$501,MATCH($A282,'Budget original'!$A$2:$A$501,0),MATCH(F$2,'Budget original'!$A$2:$AO$2,0))</f>
        <v>0</v>
      </c>
      <c r="G282" s="288"/>
      <c r="H282" s="38"/>
      <c r="I282" s="244"/>
      <c r="J282" s="243"/>
      <c r="K282" s="38"/>
      <c r="L282" s="266">
        <f>SUMIFS(BV_Data_An_Cour!$AM:$AM,BV_Data_An_Cour!$AP:$AP,$B282,BV_Data_An_Cour!$AQ:$AQ,$C282,BV_Data_An_Cour!$AR:$AR,$L$2)</f>
        <v>4029.1399999999994</v>
      </c>
      <c r="M282" s="243"/>
      <c r="N282" s="266">
        <f t="shared" si="49"/>
        <v>4029.1399999999994</v>
      </c>
      <c r="O282" s="243"/>
      <c r="P282" s="38"/>
      <c r="Q282" s="266">
        <f>SUMIFS(BV_Data_An_Prec!$AM:$AM,BV_Data_An_Prec!$AP:$AP,$B282,BV_Data_An_Prec!$AQ:$AQ,$C282,BV_Data_An_Prec!$AR:$AR,$L$2)</f>
        <v>819.26999999999862</v>
      </c>
      <c r="R282" s="243"/>
      <c r="S282" s="266">
        <f t="shared" si="50"/>
        <v>3209.8700000000008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f>+INDEX('Budget original'!$A$2:$AO$501,MATCH($A283,'Budget original'!$A$2:$A$501,0),MATCH(F$2,'Budget original'!$A$2:$AO$2,0))</f>
        <v>0</v>
      </c>
      <c r="G283" s="290"/>
      <c r="H283" s="304"/>
      <c r="I283" s="244"/>
      <c r="J283" s="238"/>
      <c r="K283" s="304"/>
      <c r="L283" s="266">
        <f>SUMIFS(BV_Data_An_Cour!$AM:$AM,BV_Data_An_Cour!$AP:$AP,$B283,BV_Data_An_Cour!$AQ:$AQ,$C283,BV_Data_An_Cour!$AR:$AR,$L$2)</f>
        <v>0</v>
      </c>
      <c r="M283" s="238"/>
      <c r="N283" s="246">
        <f t="shared" si="49"/>
        <v>0</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#DIV/0!</v>
      </c>
      <c r="F284" s="294">
        <f>+SUM(F272:F283)</f>
        <v>0</v>
      </c>
      <c r="G284" s="295"/>
      <c r="H284" s="293"/>
      <c r="I284" s="294"/>
      <c r="J284" s="295" t="s">
        <v>171</v>
      </c>
      <c r="K284" s="293">
        <f>L284/L$268</f>
        <v>0.44450584004302829</v>
      </c>
      <c r="L284" s="294">
        <f>+SUM(L272:L283)</f>
        <v>47760.05</v>
      </c>
      <c r="M284" s="296"/>
      <c r="N284" s="294">
        <f t="shared" si="49"/>
        <v>47760.05</v>
      </c>
      <c r="O284" s="295" t="s">
        <v>171</v>
      </c>
      <c r="P284" s="293">
        <f>Q284/Q$268</f>
        <v>0.67959161498283982</v>
      </c>
      <c r="Q284" s="294">
        <f>+SUM(Q272:Q283)</f>
        <v>103572.63000000003</v>
      </c>
      <c r="R284" s="297"/>
      <c r="S284" s="294">
        <f t="shared" si="50"/>
        <v>-55812.580000000031</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f>+INDEX('Budget original'!$A$2:$AO$501,MATCH($A285,'Budget original'!$A$2:$A$501,0),MATCH(F$2,'Budget original'!$A$2:$AO$2,0))</f>
        <v>0</v>
      </c>
      <c r="G285" s="288"/>
      <c r="H285" s="38"/>
      <c r="I285" s="244"/>
      <c r="J285" s="243"/>
      <c r="K285" s="38"/>
      <c r="L285" s="266">
        <f>SUMIFS(BV_Data_An_Cour!$AM:$AM,BV_Data_An_Cour!$AP:$AP,$B285,BV_Data_An_Cour!$AQ:$AQ,$C285,BV_Data_An_Cour!$AR:$AR,$L$2)</f>
        <v>2608.3199999999988</v>
      </c>
      <c r="M285" s="243"/>
      <c r="N285" s="266">
        <f t="shared" si="49"/>
        <v>2608.3199999999988</v>
      </c>
      <c r="O285" s="243"/>
      <c r="P285" s="38"/>
      <c r="Q285" s="266">
        <f>SUMIFS(BV_Data_An_Prec!$AM:$AM,BV_Data_An_Prec!$AP:$AP,$B285,BV_Data_An_Prec!$AQ:$AQ,$C285,BV_Data_An_Prec!$AR:$AR,$L$2)</f>
        <v>2631.1900000000005</v>
      </c>
      <c r="R285" s="243"/>
      <c r="S285" s="266">
        <f t="shared" si="50"/>
        <v>-22.87000000000171</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f>+INDEX('Budget original'!$A$2:$AO$501,MATCH($A286,'Budget original'!$A$2:$A$501,0),MATCH(F$2,'Budget original'!$A$2:$AO$2,0))</f>
        <v>0</v>
      </c>
      <c r="G286" s="288"/>
      <c r="H286" s="38"/>
      <c r="I286" s="244"/>
      <c r="J286" s="243"/>
      <c r="K286" s="38"/>
      <c r="L286" s="266">
        <f>SUMIFS(BV_Data_An_Cour!$AM:$AM,BV_Data_An_Cour!$AP:$AP,$B286,BV_Data_An_Cour!$AQ:$AQ,$C286,BV_Data_An_Cour!$AR:$AR,$L$2)</f>
        <v>3801.9900000000016</v>
      </c>
      <c r="M286" s="243"/>
      <c r="N286" s="266">
        <f t="shared" si="49"/>
        <v>3801.9900000000016</v>
      </c>
      <c r="O286" s="243"/>
      <c r="P286" s="38"/>
      <c r="Q286" s="266">
        <f>SUMIFS(BV_Data_An_Prec!$AM:$AM,BV_Data_An_Prec!$AP:$AP,$B286,BV_Data_An_Prec!$AQ:$AQ,$C286,BV_Data_An_Prec!$AR:$AR,$L$2)</f>
        <v>5034.1200000000008</v>
      </c>
      <c r="R286" s="243"/>
      <c r="S286" s="266">
        <f t="shared" si="50"/>
        <v>-1232.1299999999992</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f>+INDEX('Budget original'!$A$2:$AO$501,MATCH($A287,'Budget original'!$A$2:$A$501,0),MATCH(F$2,'Budget original'!$A$2:$AO$2,0))</f>
        <v>0</v>
      </c>
      <c r="G287" s="290"/>
      <c r="H287" s="304"/>
      <c r="I287" s="240"/>
      <c r="J287" s="238"/>
      <c r="K287" s="304"/>
      <c r="L287" s="266">
        <f>SUMIFS(BV_Data_An_Cour!$AM:$AM,BV_Data_An_Cour!$AP:$AP,$B287,BV_Data_An_Cour!$AQ:$AQ,$C287,BV_Data_An_Cour!$AR:$AR,$L$2)</f>
        <v>4506.9499999999971</v>
      </c>
      <c r="M287" s="238"/>
      <c r="N287" s="286">
        <f t="shared" si="49"/>
        <v>4506.9499999999971</v>
      </c>
      <c r="O287" s="238"/>
      <c r="P287" s="304"/>
      <c r="Q287" s="266">
        <f>SUMIFS(BV_Data_An_Prec!$AM:$AM,BV_Data_An_Prec!$AP:$AP,$B287,BV_Data_An_Prec!$AQ:$AQ,$C287,BV_Data_An_Prec!$AR:$AR,$L$2)</f>
        <v>-5174.93</v>
      </c>
      <c r="R287" s="238"/>
      <c r="S287" s="286">
        <f t="shared" si="50"/>
        <v>9681.8799999999974</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f>+INDEX('Budget original'!$A$2:$AO$501,MATCH($A288,'Budget original'!$A$2:$A$501,0),MATCH(F$2,'Budget original'!$A$2:$AO$2,0))</f>
        <v>0</v>
      </c>
      <c r="G288" s="288"/>
      <c r="H288" s="38"/>
      <c r="I288" s="244"/>
      <c r="J288" s="243"/>
      <c r="K288" s="38"/>
      <c r="L288" s="303">
        <f>SUMIFS(BV_Data_An_Cour!$AM:$AM,BV_Data_An_Cour!$AP:$AP,$B288,BV_Data_An_Cour!$AQ:$AQ,$C288,BV_Data_An_Cour!$AR:$AR,$L$2)</f>
        <v>2841.16</v>
      </c>
      <c r="M288" s="243"/>
      <c r="N288" s="266">
        <f t="shared" si="49"/>
        <v>2841.16</v>
      </c>
      <c r="O288" s="243"/>
      <c r="P288" s="38"/>
      <c r="Q288" s="303">
        <f>SUMIFS(BV_Data_An_Prec!$AM:$AM,BV_Data_An_Prec!$AP:$AP,$B288,BV_Data_An_Prec!$AQ:$AQ,$C288,BV_Data_An_Prec!$AR:$AR,$L$2)</f>
        <v>3078.8999999999978</v>
      </c>
      <c r="R288" s="243"/>
      <c r="S288" s="266">
        <f t="shared" si="50"/>
        <v>-237.73999999999796</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f>+INDEX('Budget original'!$A$2:$AO$501,MATCH($A289,'Budget original'!$A$2:$A$501,0),MATCH(F$2,'Budget original'!$A$2:$AO$2,0))</f>
        <v>0</v>
      </c>
      <c r="G289" s="288"/>
      <c r="H289" s="38"/>
      <c r="I289" s="244"/>
      <c r="J289" s="243"/>
      <c r="K289" s="38"/>
      <c r="L289" s="266">
        <f>SUMIFS(BV_Data_An_Cour!$AM:$AM,BV_Data_An_Cour!$AP:$AP,$B289,BV_Data_An_Cour!$AQ:$AQ,$C289,BV_Data_An_Cour!$AR:$AR,$L$2)</f>
        <v>719.95000000000073</v>
      </c>
      <c r="M289" s="243"/>
      <c r="N289" s="266">
        <f t="shared" si="49"/>
        <v>719.95000000000073</v>
      </c>
      <c r="O289" s="243"/>
      <c r="P289" s="38"/>
      <c r="Q289" s="266">
        <f>SUMIFS(BV_Data_An_Prec!$AM:$AM,BV_Data_An_Prec!$AP:$AP,$B289,BV_Data_An_Prec!$AQ:$AQ,$C289,BV_Data_An_Prec!$AR:$AR,$L$2)</f>
        <v>9780.5099999999984</v>
      </c>
      <c r="R289" s="243"/>
      <c r="S289" s="266">
        <f t="shared" si="50"/>
        <v>-9060.5599999999977</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f>+INDEX('Budget original'!$A$2:$AO$501,MATCH($A290,'Budget original'!$A$2:$A$501,0),MATCH(F$2,'Budget original'!$A$2:$AO$2,0))</f>
        <v>0</v>
      </c>
      <c r="G290" s="290"/>
      <c r="H290" s="304"/>
      <c r="I290" s="240"/>
      <c r="J290" s="238"/>
      <c r="K290" s="304"/>
      <c r="L290" s="266">
        <f>SUMIFS(BV_Data_An_Cour!$AM:$AM,BV_Data_An_Cour!$AP:$AP,$B290,BV_Data_An_Cour!$AQ:$AQ,$C290,BV_Data_An_Cour!$AR:$AR,$L$2)</f>
        <v>9625.2799999999988</v>
      </c>
      <c r="M290" s="238"/>
      <c r="N290" s="286">
        <f t="shared" si="49"/>
        <v>9625.2799999999988</v>
      </c>
      <c r="O290" s="238"/>
      <c r="P290" s="304"/>
      <c r="Q290" s="266">
        <f>SUMIFS(BV_Data_An_Prec!$AM:$AM,BV_Data_An_Prec!$AP:$AP,$B290,BV_Data_An_Prec!$AQ:$AQ,$C290,BV_Data_An_Prec!$AR:$AR,$L$2)</f>
        <v>13965.350000000002</v>
      </c>
      <c r="R290" s="238"/>
      <c r="S290" s="286">
        <f t="shared" si="50"/>
        <v>-4340.0700000000033</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f>+INDEX('Budget original'!$A$2:$AO$501,MATCH($A292,'Budget original'!$A$2:$A$501,0),MATCH(F$2,'Budget original'!$A$2:$AO$2,0))</f>
        <v>0</v>
      </c>
      <c r="G292" s="288"/>
      <c r="H292" s="38"/>
      <c r="I292" s="244"/>
      <c r="J292" s="243"/>
      <c r="K292" s="38"/>
      <c r="L292" s="266">
        <f>SUMIFS(BV_Data_An_Cour!$AM:$AM,BV_Data_An_Cour!$AP:$AP,$B292,BV_Data_An_Cour!$AQ:$AQ,$C292,BV_Data_An_Cour!$AR:$AR,$L$2)</f>
        <v>5384.4700000000012</v>
      </c>
      <c r="M292" s="243"/>
      <c r="N292" s="266">
        <f t="shared" si="49"/>
        <v>5384.4700000000012</v>
      </c>
      <c r="O292" s="243"/>
      <c r="P292" s="38"/>
      <c r="Q292" s="266">
        <f>SUMIFS(BV_Data_An_Prec!$AM:$AM,BV_Data_An_Prec!$AP:$AP,$B292,BV_Data_An_Prec!$AQ:$AQ,$C292,BV_Data_An_Prec!$AR:$AR,$L$2)</f>
        <v>6001.4699999999975</v>
      </c>
      <c r="R292" s="243"/>
      <c r="S292" s="266">
        <f t="shared" si="50"/>
        <v>-616.99999999999636</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f>+INDEX('Budget original'!$A$2:$AO$501,MATCH($A293,'Budget original'!$A$2:$A$501,0),MATCH(F$2,'Budget original'!$A$2:$AO$2,0))</f>
        <v>0</v>
      </c>
      <c r="G293" s="288"/>
      <c r="H293" s="38"/>
      <c r="I293" s="244"/>
      <c r="J293" s="243"/>
      <c r="K293" s="38"/>
      <c r="L293" s="266">
        <f>SUMIFS(BV_Data_An_Cour!$AM:$AM,BV_Data_An_Cour!$AP:$AP,$B293,BV_Data_An_Cour!$AQ:$AQ,$C293,BV_Data_An_Cour!$AR:$AR,$L$2)</f>
        <v>1732.3500000000001</v>
      </c>
      <c r="M293" s="243"/>
      <c r="N293" s="266">
        <f t="shared" si="49"/>
        <v>1732.3500000000001</v>
      </c>
      <c r="O293" s="243"/>
      <c r="P293" s="38"/>
      <c r="Q293" s="266">
        <f>SUMIFS(BV_Data_An_Prec!$AM:$AM,BV_Data_An_Prec!$AP:$AP,$B293,BV_Data_An_Prec!$AQ:$AQ,$C293,BV_Data_An_Prec!$AR:$AR,$L$2)</f>
        <v>0</v>
      </c>
      <c r="R293" s="243"/>
      <c r="S293" s="266">
        <f t="shared" si="50"/>
        <v>1732.3500000000001</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f>+INDEX('Budget original'!$A$2:$AO$501,MATCH($A294,'Budget original'!$A$2:$A$501,0),MATCH(F$2,'Budget original'!$A$2:$AO$2,0))</f>
        <v>0</v>
      </c>
      <c r="G294" s="288"/>
      <c r="H294" s="38"/>
      <c r="I294" s="244"/>
      <c r="J294" s="243"/>
      <c r="K294" s="38"/>
      <c r="L294" s="266">
        <f>SUMIFS(BV_Data_An_Cour!$AM:$AM,BV_Data_An_Cour!$AP:$AP,$B294,BV_Data_An_Cour!$AQ:$AQ,$C294,BV_Data_An_Cour!$AR:$AR,$L$2)</f>
        <v>338.53999999999905</v>
      </c>
      <c r="M294" s="243"/>
      <c r="N294" s="266">
        <f t="shared" si="49"/>
        <v>338.53999999999905</v>
      </c>
      <c r="O294" s="243"/>
      <c r="P294" s="281"/>
      <c r="Q294" s="266">
        <f>SUMIFS(BV_Data_An_Prec!$AM:$AM,BV_Data_An_Prec!$AP:$AP,$B294,BV_Data_An_Prec!$AQ:$AQ,$C294,BV_Data_An_Prec!$AR:$AR,$L$2)</f>
        <v>407.72999999999956</v>
      </c>
      <c r="R294" s="243"/>
      <c r="S294" s="266">
        <f t="shared" si="50"/>
        <v>-69.190000000000509</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f>+INDEX('Budget original'!$A$2:$AO$501,MATCH($A295,'Budget original'!$A$2:$A$501,0),MATCH(F$2,'Budget original'!$A$2:$AO$2,0))</f>
        <v>0</v>
      </c>
      <c r="G295" s="288"/>
      <c r="H295" s="38"/>
      <c r="I295" s="244"/>
      <c r="J295" s="243"/>
      <c r="K295" s="38"/>
      <c r="L295" s="266">
        <f>SUMIFS(BV_Data_An_Cour!$AM:$AM,BV_Data_An_Cour!$AP:$AP,$B295,BV_Data_An_Cour!$AQ:$AQ,$C295,BV_Data_An_Cour!$AR:$AR,$L$2)</f>
        <v>491.88000000000011</v>
      </c>
      <c r="M295" s="243"/>
      <c r="N295" s="266">
        <f t="shared" si="49"/>
        <v>491.88000000000011</v>
      </c>
      <c r="O295" s="243"/>
      <c r="P295" s="38"/>
      <c r="Q295" s="266">
        <f>SUMIFS(BV_Data_An_Prec!$AM:$AM,BV_Data_An_Prec!$AP:$AP,$B295,BV_Data_An_Prec!$AQ:$AQ,$C295,BV_Data_An_Prec!$AR:$AR,$L$2)</f>
        <v>212.97000000000116</v>
      </c>
      <c r="R295" s="243"/>
      <c r="S295" s="266">
        <f t="shared" si="50"/>
        <v>278.90999999999894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f>+INDEX('Budget original'!$A$2:$AO$501,MATCH($A296,'Budget original'!$A$2:$A$501,0),MATCH(F$2,'Budget original'!$A$2:$AO$2,0))</f>
        <v>0</v>
      </c>
      <c r="G296" s="288"/>
      <c r="H296" s="38"/>
      <c r="I296" s="244"/>
      <c r="J296" s="243"/>
      <c r="K296" s="38"/>
      <c r="L296" s="266">
        <f>SUMIFS(BV_Data_An_Cour!$AM:$AM,BV_Data_An_Cour!$AP:$AP,$B296,BV_Data_An_Cour!$AQ:$AQ,$C296,BV_Data_An_Cour!$AR:$AR,$L$2)</f>
        <v>501.89999999999964</v>
      </c>
      <c r="M296" s="243"/>
      <c r="N296" s="266">
        <f t="shared" si="49"/>
        <v>501.89999999999964</v>
      </c>
      <c r="O296" s="243"/>
      <c r="P296" s="38"/>
      <c r="Q296" s="266">
        <f>SUMIFS(BV_Data_An_Prec!$AM:$AM,BV_Data_An_Prec!$AP:$AP,$B296,BV_Data_An_Prec!$AQ:$AQ,$C296,BV_Data_An_Prec!$AR:$AR,$L$2)</f>
        <v>1251.0200000000004</v>
      </c>
      <c r="R296" s="243"/>
      <c r="S296" s="266">
        <f t="shared" si="50"/>
        <v>-749.1200000000008</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f>+INDEX('Budget original'!$A$2:$AO$501,MATCH($A297,'Budget original'!$A$2:$A$501,0),MATCH(F$2,'Budget original'!$A$2:$AO$2,0))</f>
        <v>0</v>
      </c>
      <c r="G297" s="288"/>
      <c r="H297" s="38"/>
      <c r="I297" s="244"/>
      <c r="J297" s="243"/>
      <c r="K297" s="38"/>
      <c r="L297" s="266">
        <f>SUMIFS(BV_Data_An_Cour!$AM:$AM,BV_Data_An_Cour!$AP:$AP,$B297,BV_Data_An_Cour!$AQ:$AQ,$C297,BV_Data_An_Cour!$AR:$AR,$L$2)</f>
        <v>1358.6000000000004</v>
      </c>
      <c r="M297" s="243"/>
      <c r="N297" s="266">
        <f t="shared" si="49"/>
        <v>1358.6000000000004</v>
      </c>
      <c r="O297" s="243"/>
      <c r="P297" s="38"/>
      <c r="Q297" s="266">
        <f>SUMIFS(BV_Data_An_Prec!$AM:$AM,BV_Data_An_Prec!$AP:$AP,$B297,BV_Data_An_Prec!$AQ:$AQ,$C297,BV_Data_An_Prec!$AR:$AR,$L$2)</f>
        <v>3300.29</v>
      </c>
      <c r="R297" s="243"/>
      <c r="S297" s="266">
        <f t="shared" si="50"/>
        <v>-1941.6899999999996</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f>+INDEX('Budget original'!$A$2:$AO$501,MATCH($A298,'Budget original'!$A$2:$A$501,0),MATCH(F$2,'Budget original'!$A$2:$AO$2,0))</f>
        <v>0</v>
      </c>
      <c r="G298" s="288"/>
      <c r="H298" s="38"/>
      <c r="I298" s="244"/>
      <c r="J298" s="243"/>
      <c r="K298" s="38"/>
      <c r="L298" s="266">
        <f>SUMIFS(BV_Data_An_Cour!$AM:$AM,BV_Data_An_Cour!$AP:$AP,$B298,BV_Data_An_Cour!$AQ:$AQ,$C298,BV_Data_An_Cour!$AR:$AR,$L$2)</f>
        <v>4268.9699999999993</v>
      </c>
      <c r="M298" s="243"/>
      <c r="N298" s="266">
        <f t="shared" si="49"/>
        <v>4268.9699999999993</v>
      </c>
      <c r="O298" s="243"/>
      <c r="P298" s="38"/>
      <c r="Q298" s="266">
        <f>SUMIFS(BV_Data_An_Prec!$AM:$AM,BV_Data_An_Prec!$AP:$AP,$B298,BV_Data_An_Prec!$AQ:$AQ,$C298,BV_Data_An_Prec!$AR:$AR,$L$2)</f>
        <v>4903.760000000002</v>
      </c>
      <c r="R298" s="243"/>
      <c r="S298" s="266">
        <f t="shared" si="50"/>
        <v>-634.79000000000269</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f>+INDEX('Budget original'!$A$2:$AO$501,MATCH($A299,'Budget original'!$A$2:$A$501,0),MATCH(F$2,'Budget original'!$A$2:$AO$2,0))</f>
        <v>0</v>
      </c>
      <c r="G299" s="288"/>
      <c r="H299" s="38"/>
      <c r="I299" s="244"/>
      <c r="J299" s="243"/>
      <c r="K299" s="38"/>
      <c r="L299" s="266">
        <f>SUMIFS(BV_Data_An_Cour!$AM:$AM,BV_Data_An_Cour!$AP:$AP,$B299,BV_Data_An_Cour!$AQ:$AQ,$C299,BV_Data_An_Cour!$AR:$AR,$L$2)</f>
        <v>2389.3199999999997</v>
      </c>
      <c r="M299" s="243"/>
      <c r="N299" s="266">
        <f t="shared" si="49"/>
        <v>2389.3199999999997</v>
      </c>
      <c r="O299" s="243"/>
      <c r="P299" s="38"/>
      <c r="Q299" s="266">
        <f>SUMIFS(BV_Data_An_Prec!$AM:$AM,BV_Data_An_Prec!$AP:$AP,$B299,BV_Data_An_Prec!$AQ:$AQ,$C299,BV_Data_An_Prec!$AR:$AR,$L$2)</f>
        <v>392.92999999999984</v>
      </c>
      <c r="R299" s="243"/>
      <c r="S299" s="266">
        <f t="shared" si="50"/>
        <v>1996.3899999999999</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f>+INDEX('Budget original'!$A$2:$AO$501,MATCH($A300,'Budget original'!$A$2:$A$501,0),MATCH(F$2,'Budget original'!$A$2:$AO$2,0))</f>
        <v>0</v>
      </c>
      <c r="G300" s="288"/>
      <c r="H300" s="38"/>
      <c r="I300" s="244"/>
      <c r="J300" s="243"/>
      <c r="K300" s="38"/>
      <c r="L300" s="266">
        <f>SUMIFS(BV_Data_An_Cour!$AM:$AM,BV_Data_An_Cour!$AP:$AP,$B300,BV_Data_An_Cour!$AQ:$AQ,$C300,BV_Data_An_Cour!$AR:$AR,$L$2)</f>
        <v>0</v>
      </c>
      <c r="M300" s="243"/>
      <c r="N300" s="266">
        <f t="shared" si="49"/>
        <v>0</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f>+INDEX('Budget original'!$A$2:$AO$501,MATCH($A301,'Budget original'!$A$2:$A$501,0),MATCH(F$2,'Budget original'!$A$2:$AO$2,0))</f>
        <v>0</v>
      </c>
      <c r="G301" s="288"/>
      <c r="H301" s="38"/>
      <c r="I301" s="244"/>
      <c r="J301" s="243"/>
      <c r="K301" s="38"/>
      <c r="L301" s="266">
        <f>SUMIFS(BV_Data_An_Cour!$AM:$AM,BV_Data_An_Cour!$AP:$AP,$B301,BV_Data_An_Cour!$AQ:$AQ,$C301,BV_Data_An_Cour!$AR:$AR,$L$2)</f>
        <v>0</v>
      </c>
      <c r="M301" s="243"/>
      <c r="N301" s="266">
        <f t="shared" si="49"/>
        <v>0</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f>+INDEX('Budget original'!$A$2:$AO$501,MATCH($A302,'Budget original'!$A$2:$A$501,0),MATCH(F$2,'Budget original'!$A$2:$AO$2,0))</f>
        <v>0</v>
      </c>
      <c r="G302" s="288"/>
      <c r="H302" s="38"/>
      <c r="I302" s="244"/>
      <c r="J302" s="243"/>
      <c r="K302" s="38"/>
      <c r="L302" s="266">
        <f>SUMIFS(BV_Data_An_Cour!$AM:$AM,BV_Data_An_Cour!$AP:$AP,$B302,BV_Data_An_Cour!$AQ:$AQ,$C302,BV_Data_An_Cour!$AR:$AR,$L$2)</f>
        <v>0</v>
      </c>
      <c r="M302" s="243"/>
      <c r="N302" s="266">
        <f t="shared" si="49"/>
        <v>0</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#DIV/0!</v>
      </c>
      <c r="F303" s="294">
        <f>+SUM(F285:F302)</f>
        <v>0</v>
      </c>
      <c r="G303" s="295"/>
      <c r="H303" s="293"/>
      <c r="I303" s="294"/>
      <c r="J303" s="295" t="s">
        <v>171</v>
      </c>
      <c r="K303" s="293">
        <f>L303/L$268</f>
        <v>0.37758460656295045</v>
      </c>
      <c r="L303" s="294">
        <f>+SUM(L285:L302)</f>
        <v>40569.679999999993</v>
      </c>
      <c r="M303" s="296"/>
      <c r="N303" s="294">
        <f t="shared" si="49"/>
        <v>40569.679999999993</v>
      </c>
      <c r="O303" s="295" t="s">
        <v>171</v>
      </c>
      <c r="P303" s="293">
        <f>Q303/Q$268</f>
        <v>0.30042022458433237</v>
      </c>
      <c r="Q303" s="294">
        <f>+SUM(Q285:Q302)</f>
        <v>45785.310000000005</v>
      </c>
      <c r="R303" s="297"/>
      <c r="S303" s="294">
        <f t="shared" si="50"/>
        <v>-5215.6300000000119</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#DIV/0!</v>
      </c>
      <c r="F305" s="294">
        <f>F284+F303</f>
        <v>0</v>
      </c>
      <c r="G305" s="295"/>
      <c r="H305" s="293"/>
      <c r="I305" s="294"/>
      <c r="J305" s="295" t="s">
        <v>115</v>
      </c>
      <c r="K305" s="293">
        <f>L305/L$268</f>
        <v>0.82209044660597874</v>
      </c>
      <c r="L305" s="294">
        <f>L284+L303</f>
        <v>88329.73</v>
      </c>
      <c r="M305" s="296"/>
      <c r="N305" s="294">
        <f>L305-F305</f>
        <v>88329.73</v>
      </c>
      <c r="O305" s="295" t="s">
        <v>115</v>
      </c>
      <c r="P305" s="293">
        <f>Q305/Q$268</f>
        <v>0.98001183956717208</v>
      </c>
      <c r="Q305" s="294">
        <f>Q284+Q303</f>
        <v>149357.94000000003</v>
      </c>
      <c r="R305" s="297"/>
      <c r="S305" s="294">
        <f>L305-Q305</f>
        <v>-61028.210000000036</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f>F268-F305</f>
        <v>0</v>
      </c>
      <c r="G307" s="957"/>
      <c r="H307" s="955"/>
      <c r="I307" s="956"/>
      <c r="J307" s="957"/>
      <c r="K307" s="955"/>
      <c r="L307" s="956">
        <f>L268-L305</f>
        <v>19115.540000000037</v>
      </c>
      <c r="M307" s="958"/>
      <c r="N307" s="956">
        <f>L307-F307</f>
        <v>19115.540000000037</v>
      </c>
      <c r="O307" s="957"/>
      <c r="P307" s="955"/>
      <c r="Q307" s="956">
        <f>Q268-Q305</f>
        <v>3046.2799999999988</v>
      </c>
      <c r="R307" s="959"/>
      <c r="S307" s="956">
        <f>L307-Q307</f>
        <v>16069.260000000038</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Septembre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4" t="s">
        <v>339</v>
      </c>
      <c r="E312" s="1279"/>
      <c r="F312" s="1280"/>
      <c r="G312" s="1281"/>
      <c r="H312" s="1279"/>
      <c r="I312" s="1280"/>
      <c r="J312" s="1281" t="s">
        <v>340</v>
      </c>
      <c r="K312" s="1279"/>
      <c r="L312" s="1280"/>
      <c r="M312" s="1281" t="s">
        <v>668</v>
      </c>
      <c r="N312" s="1280"/>
      <c r="O312" s="1274" t="s">
        <v>341</v>
      </c>
      <c r="P312" s="1279"/>
      <c r="Q312" s="1280"/>
      <c r="R312" s="1273" t="s">
        <v>670</v>
      </c>
      <c r="S312" s="1282"/>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f>+INDEX('Budget original'!$A$2:$AO$501,MATCH($A315,'Budget original'!$A$2:$A$501,0),MATCH(D$2,'Budget original'!$A$2:$AO$2,0))</f>
        <v>0</v>
      </c>
      <c r="E315" s="281">
        <f>+INDEX('Budget original'!$A$2:$AO$501,MATCH($A315,'Budget original'!$A$2:$A$501,0),MATCH(E$2,'Budget original'!$A$2:$AO$2,0))</f>
        <v>0</v>
      </c>
      <c r="F315" s="281">
        <f>+INDEX('Budget original'!$A$2:$AO$501,MATCH($A315,'Budget original'!$A$2:$A$501,0),MATCH(F$2,'Budget original'!$A$2:$AO$2,0))</f>
        <v>0</v>
      </c>
      <c r="G315" s="306"/>
      <c r="H315" s="281"/>
      <c r="I315" s="281"/>
      <c r="J315" s="267"/>
      <c r="K315" s="281">
        <f>-SUMIFS(BV_Data_An_Cour!$AM:$AM,BV_Data_An_Cour!$AS:$AS,"Oui",BV_Data_An_Cour!$AP:$AP,$B315,BV_Data_An_Cour!$AQ:$AQ,$C315)</f>
        <v>152593.67000000004</v>
      </c>
      <c r="L315" s="266">
        <f>-SUMIFS(BV_Data_An_Cour!$AM:$AM,BV_Data_An_Cour!$AP:$AP,$B315,BV_Data_An_Cour!$AQ:$AQ,$C315,BV_Data_An_Cour!$AR:$AR,$L$2)</f>
        <v>69271.64999999998</v>
      </c>
      <c r="M315" s="282">
        <f>IFERROR((K315-E315)/E315,0)</f>
        <v>0</v>
      </c>
      <c r="N315" s="266">
        <f>L315-F315</f>
        <v>69271.64999999998</v>
      </c>
      <c r="O315" s="267"/>
      <c r="P315" s="281">
        <f>-SUMIFS(BV_Data_An_Prec!$AM:$AM,BV_Data_An_Prec!$AS:$AS,"Oui",BV_Data_An_Prec!$AP:$AP,$B315,BV_Data_An_Prec!$AQ:$AQ,$C315)</f>
        <v>162856.77999999994</v>
      </c>
      <c r="Q315" s="266">
        <f>-SUMIFS(BV_Data_An_Prec!$AM:$AM,BV_Data_An_Prec!$AP:$AP,$B315,BV_Data_An_Prec!$AQ:$AQ,$C315,BV_Data_An_Prec!$AR:$AR,$L$2)</f>
        <v>69072.859999999928</v>
      </c>
      <c r="R315" s="282">
        <f>IF(O315=0,0,J315/O315)</f>
        <v>0</v>
      </c>
      <c r="S315" s="266">
        <f>L315-Q315</f>
        <v>198.7900000000518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0.45396149132529523</v>
      </c>
      <c r="M316" s="282"/>
      <c r="N316" s="266">
        <f>IFERROR(N315/M315,0)</f>
        <v>0</v>
      </c>
      <c r="O316" s="267"/>
      <c r="P316" s="38"/>
      <c r="Q316" s="332">
        <f>IFERROR(Q315/P315,0)</f>
        <v>0.42413254148829388</v>
      </c>
      <c r="R316" s="267"/>
      <c r="S316" s="332">
        <f>IF(Q315=0,0,(S315/Q315))</f>
        <v>2.8779755174471134E-3</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f>+INDEX('Budget original'!$A$2:$AO$501,MATCH($A318,'Budget original'!$A$2:$A$501,0),MATCH(D$2,'Budget original'!$A$2:$AO$2,0))</f>
        <v>0</v>
      </c>
      <c r="E318" s="281">
        <f>+INDEX('Budget original'!$A$2:$AO$501,MATCH($A318,'Budget original'!$A$2:$A$501,0),MATCH(E$2,'Budget original'!$A$2:$AO$2,0))</f>
        <v>0</v>
      </c>
      <c r="F318" s="281">
        <f>+INDEX('Budget original'!$A$2:$AO$501,MATCH($A318,'Budget original'!$A$2:$A$501,0),MATCH(F$2,'Budget original'!$A$2:$AO$2,0))</f>
        <v>0</v>
      </c>
      <c r="G318" s="366"/>
      <c r="H318" s="281"/>
      <c r="I318" s="281"/>
      <c r="J318" s="337"/>
      <c r="K318" s="336">
        <f>-SUMIFS(BV_Data_An_Cour!$AM:$AM,BV_Data_An_Cour!$AS:$AS,"Oui",BV_Data_An_Cour!$AP:$AP,$B318,BV_Data_An_Cour!$AQ:$AQ,$C318)</f>
        <v>10652.45</v>
      </c>
      <c r="L318" s="303">
        <f>-SUMIFS(BV_Data_An_Cour!$AM:$AM,BV_Data_An_Cour!$AP:$AP,$B318,BV_Data_An_Cour!$AQ:$AQ,$C318,BV_Data_An_Cour!$AR:$AR,$L$2)</f>
        <v>6504.8100000000022</v>
      </c>
      <c r="M318" s="340">
        <f>IFERROR((K318-E318)/E318,0)</f>
        <v>0</v>
      </c>
      <c r="N318" s="303">
        <f>L318-F318</f>
        <v>6504.8100000000022</v>
      </c>
      <c r="O318" s="337"/>
      <c r="P318" s="336">
        <f>-SUMIFS(BV_Data_An_Prec!$AM:$AM,BV_Data_An_Prec!$AS:$AS,"Oui",BV_Data_An_Prec!$AP:$AP,$B318,BV_Data_An_Prec!$AQ:$AQ,$C318)</f>
        <v>9764.260000000002</v>
      </c>
      <c r="Q318" s="303">
        <f>-SUMIFS(BV_Data_An_Prec!$AM:$AM,BV_Data_An_Prec!$AP:$AP,$B318,BV_Data_An_Prec!$AQ:$AQ,$C318,BV_Data_An_Prec!$AR:$AR,$L$2)</f>
        <v>4717.3100000000013</v>
      </c>
      <c r="R318" s="282">
        <f>IF(O318=0,0,J318/O318)</f>
        <v>0</v>
      </c>
      <c r="S318" s="266">
        <f>L318-Q318</f>
        <v>1787.5000000000009</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#DIV/0!</v>
      </c>
      <c r="G319" s="243"/>
      <c r="H319" s="325"/>
      <c r="I319" s="332"/>
      <c r="J319" s="267"/>
      <c r="K319" s="38"/>
      <c r="L319" s="332">
        <f>IFERROR(L318/K318,0)</f>
        <v>0.61063980586625632</v>
      </c>
      <c r="M319" s="282"/>
      <c r="N319" s="266">
        <f>IFERROR(N318/F318,0)</f>
        <v>0</v>
      </c>
      <c r="O319" s="267"/>
      <c r="P319" s="38"/>
      <c r="Q319" s="332">
        <f>IFERROR(Q318/P318,0)</f>
        <v>0.48312007259126655</v>
      </c>
      <c r="R319" s="267"/>
      <c r="S319" s="332">
        <f>IF(Q318=0,0,(S318/Q318))</f>
        <v>0.37892358144790156</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27283.730000000003</v>
      </c>
      <c r="L321" s="266">
        <f>-SUMIFS(BV_Data_An_Cour!$AM:$AM,BV_Data_An_Cour!$AP:$AP,$B321,BV_Data_An_Cour!$AQ:$AQ,$C321,BV_Data_An_Cour!$AR:$AR,$L$2)</f>
        <v>15494.440000000006</v>
      </c>
      <c r="M321" s="282">
        <f>IFERROR((K321-E321)/E321,0)</f>
        <v>0</v>
      </c>
      <c r="N321" s="303">
        <f>L321-F321</f>
        <v>15494.440000000006</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15494.440000000006</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0.56790035673274897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1697.5900000000001</v>
      </c>
      <c r="R324" s="282">
        <f>IF(O324=0,0,J324/O324)</f>
        <v>0</v>
      </c>
      <c r="S324" s="266">
        <f>L324-Q324</f>
        <v>-1697.5900000000001</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f>E318+E321+E315</f>
        <v>0</v>
      </c>
      <c r="F326" s="271">
        <f>F318+F321+F315</f>
        <v>0</v>
      </c>
      <c r="G326" s="272"/>
      <c r="H326" s="270"/>
      <c r="I326" s="271"/>
      <c r="J326" s="272"/>
      <c r="K326" s="269">
        <f t="shared" ref="K326" si="51">K318+K321+K315</f>
        <v>190529.85000000003</v>
      </c>
      <c r="L326" s="271">
        <f>L318+L321+L315+L324</f>
        <v>91270.9</v>
      </c>
      <c r="M326" s="272" t="e">
        <f>L327-F327</f>
        <v>#DIV/0!</v>
      </c>
      <c r="N326" s="271">
        <f>L326-F326</f>
        <v>91270.9</v>
      </c>
      <c r="O326" s="272"/>
      <c r="P326" s="269">
        <f t="shared" ref="P326" si="52">P318+P321+P315</f>
        <v>172621.03999999995</v>
      </c>
      <c r="Q326" s="271">
        <f>Q318+Q321+Q315+Q324</f>
        <v>75487.759999999922</v>
      </c>
      <c r="R326" s="272"/>
      <c r="S326" s="271">
        <f>L326-Q326</f>
        <v>15783.140000000072</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#DIV/0!</v>
      </c>
      <c r="G327" s="273"/>
      <c r="H327" s="274"/>
      <c r="I327" s="275"/>
      <c r="J327" s="273"/>
      <c r="K327" s="945"/>
      <c r="L327" s="326">
        <f>L326/K326</f>
        <v>0.47903727421188846</v>
      </c>
      <c r="M327" s="276"/>
      <c r="N327" s="277" t="e">
        <f>N326/F326</f>
        <v>#DIV/0!</v>
      </c>
      <c r="O327" s="273"/>
      <c r="P327" s="945"/>
      <c r="Q327" s="326">
        <f>Q326/P326</f>
        <v>0.43730335537313381</v>
      </c>
      <c r="R327" s="276"/>
      <c r="S327" s="326">
        <f>S326/Q326</f>
        <v>0.2090821081457456</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f>+INDEX('Budget original'!$A$2:$AO$501,MATCH($A330,'Budget original'!$A$2:$A$501,0),MATCH(F$2,'Budget original'!$A$2:$AO$2,0))</f>
        <v>0</v>
      </c>
      <c r="G330" s="243"/>
      <c r="H330" s="38"/>
      <c r="I330" s="244"/>
      <c r="J330" s="243"/>
      <c r="K330" s="38"/>
      <c r="L330" s="266">
        <f>SUMIFS(BV_Data_An_Cour!$AM:$AM,BV_Data_An_Cour!$AP:$AP,$B330,BV_Data_An_Cour!$AQ:$AQ,$C330,BV_Data_An_Cour!$AR:$AR,$L$2)</f>
        <v>8000.0200000000041</v>
      </c>
      <c r="M330" s="243"/>
      <c r="N330" s="266">
        <f t="shared" ref="N330:N360" si="53">L330-F330</f>
        <v>8000.0200000000041</v>
      </c>
      <c r="O330" s="243"/>
      <c r="P330" s="38"/>
      <c r="Q330" s="266">
        <f>SUMIFS(BV_Data_An_Prec!$AM:$AM,BV_Data_An_Prec!$AP:$AP,$B330,BV_Data_An_Prec!$AQ:$AQ,$C330,BV_Data_An_Prec!$AR:$AR,$L$2)</f>
        <v>20900.510000000009</v>
      </c>
      <c r="R330" s="243"/>
      <c r="S330" s="266">
        <f t="shared" ref="S330:S361" si="54">L330-Q330</f>
        <v>-12900.490000000005</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f>+INDEX('Budget original'!$A$2:$AO$501,MATCH($A331,'Budget original'!$A$2:$A$501,0),MATCH(F$2,'Budget original'!$A$2:$AO$2,0))</f>
        <v>0</v>
      </c>
      <c r="G331" s="288"/>
      <c r="H331" s="38"/>
      <c r="I331" s="240"/>
      <c r="J331" s="243"/>
      <c r="K331" s="38"/>
      <c r="L331" s="266">
        <f>SUMIFS(BV_Data_An_Cour!$AM:$AM,BV_Data_An_Cour!$AP:$AP,$B331,BV_Data_An_Cour!$AQ:$AQ,$C331,BV_Data_An_Cour!$AR:$AR,$L$2)</f>
        <v>3196.7699999999968</v>
      </c>
      <c r="M331" s="243"/>
      <c r="N331" s="266">
        <f t="shared" si="53"/>
        <v>3196.7699999999968</v>
      </c>
      <c r="O331" s="243"/>
      <c r="P331" s="38"/>
      <c r="Q331" s="266">
        <f>SUMIFS(BV_Data_An_Prec!$AM:$AM,BV_Data_An_Prec!$AP:$AP,$B331,BV_Data_An_Prec!$AQ:$AQ,$C331,BV_Data_An_Prec!$AR:$AR,$L$2)</f>
        <v>6227.1900000000023</v>
      </c>
      <c r="R331" s="243"/>
      <c r="S331" s="266">
        <f t="shared" si="54"/>
        <v>-3030.4200000000055</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f>+INDEX('Budget original'!$A$2:$AO$501,MATCH($A332,'Budget original'!$A$2:$A$501,0),MATCH(F$2,'Budget original'!$A$2:$AO$2,0))</f>
        <v>0</v>
      </c>
      <c r="G332" s="302"/>
      <c r="H332" s="301"/>
      <c r="I332" s="244"/>
      <c r="J332" s="233"/>
      <c r="K332" s="301"/>
      <c r="L332" s="303">
        <f>SUMIFS(BV_Data_An_Cour!$AM:$AM,BV_Data_An_Cour!$AP:$AP,$B332,BV_Data_An_Cour!$AQ:$AQ,$C332,BV_Data_An_Cour!$AR:$AR,$L$2)</f>
        <v>2616.63</v>
      </c>
      <c r="M332" s="233"/>
      <c r="N332" s="303">
        <f t="shared" si="53"/>
        <v>2616.63</v>
      </c>
      <c r="O332" s="233"/>
      <c r="P332" s="301"/>
      <c r="Q332" s="303">
        <f>SUMIFS(BV_Data_An_Prec!$AM:$AM,BV_Data_An_Prec!$AP:$AP,$B332,BV_Data_An_Prec!$AQ:$AQ,$C332,BV_Data_An_Prec!$AR:$AR,$L$2)</f>
        <v>0</v>
      </c>
      <c r="R332" s="233"/>
      <c r="S332" s="303">
        <f t="shared" si="54"/>
        <v>2616.63</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f>+INDEX('Budget original'!$A$2:$AO$501,MATCH($A333,'Budget original'!$A$2:$A$501,0),MATCH(F$2,'Budget original'!$A$2:$AO$2,0))</f>
        <v>0</v>
      </c>
      <c r="G333" s="288"/>
      <c r="H333" s="38"/>
      <c r="I333" s="244"/>
      <c r="J333" s="243"/>
      <c r="K333" s="38"/>
      <c r="L333" s="266">
        <f>SUMIFS(BV_Data_An_Cour!$AM:$AM,BV_Data_An_Cour!$AP:$AP,$B333,BV_Data_An_Cour!$AQ:$AQ,$C333,BV_Data_An_Cour!$AR:$AR,$L$2)</f>
        <v>0</v>
      </c>
      <c r="M333" s="243"/>
      <c r="N333" s="266">
        <f t="shared" si="53"/>
        <v>0</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f>+INDEX('Budget original'!$A$2:$AO$501,MATCH($A334,'Budget original'!$A$2:$A$501,0),MATCH(F$2,'Budget original'!$A$2:$AO$2,0))</f>
        <v>0</v>
      </c>
      <c r="G334" s="288"/>
      <c r="H334" s="38"/>
      <c r="I334" s="244"/>
      <c r="J334" s="243"/>
      <c r="K334" s="38"/>
      <c r="L334" s="266">
        <f>SUMIFS(BV_Data_An_Cour!$AM:$AM,BV_Data_An_Cour!$AP:$AP,$B334,BV_Data_An_Cour!$AQ:$AQ,$C334,BV_Data_An_Cour!$AR:$AR,$L$2)</f>
        <v>0</v>
      </c>
      <c r="M334" s="243"/>
      <c r="N334" s="266">
        <f t="shared" si="53"/>
        <v>0</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f>+INDEX('Budget original'!$A$2:$AO$501,MATCH($A335,'Budget original'!$A$2:$A$501,0),MATCH(F$2,'Budget original'!$A$2:$AO$2,0))</f>
        <v>0</v>
      </c>
      <c r="G335" s="288"/>
      <c r="H335" s="38"/>
      <c r="I335" s="244"/>
      <c r="J335" s="243"/>
      <c r="K335" s="38"/>
      <c r="L335" s="266">
        <f>SUMIFS(BV_Data_An_Cour!$AM:$AM,BV_Data_An_Cour!$AP:$AP,$B335,BV_Data_An_Cour!$AQ:$AQ,$C335,BV_Data_An_Cour!$AR:$AR,$L$2)</f>
        <v>0</v>
      </c>
      <c r="M335" s="243"/>
      <c r="N335" s="266">
        <f t="shared" si="53"/>
        <v>0</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f>+INDEX('Budget original'!$A$2:$AO$501,MATCH($A336,'Budget original'!$A$2:$A$501,0),MATCH(F$2,'Budget original'!$A$2:$AO$2,0))</f>
        <v>0</v>
      </c>
      <c r="G336" s="288"/>
      <c r="H336" s="38"/>
      <c r="I336" s="244"/>
      <c r="J336" s="243"/>
      <c r="K336" s="38"/>
      <c r="L336" s="266">
        <f>SUMIFS(BV_Data_An_Cour!$AM:$AM,BV_Data_An_Cour!$AP:$AP,$B336,BV_Data_An_Cour!$AQ:$AQ,$C336,BV_Data_An_Cour!$AR:$AR,$L$2)</f>
        <v>0</v>
      </c>
      <c r="M336" s="243"/>
      <c r="N336" s="266">
        <f t="shared" si="53"/>
        <v>0</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f>+INDEX('Budget original'!$A$2:$AO$501,MATCH($A337,'Budget original'!$A$2:$A$501,0),MATCH(F$2,'Budget original'!$A$2:$AO$2,0))</f>
        <v>0</v>
      </c>
      <c r="G337" s="288"/>
      <c r="H337" s="38"/>
      <c r="I337" s="240"/>
      <c r="J337" s="243"/>
      <c r="K337" s="38"/>
      <c r="L337" s="266">
        <f>SUMIFS(BV_Data_An_Cour!$AM:$AM,BV_Data_An_Cour!$AP:$AP,$B337,BV_Data_An_Cour!$AQ:$AQ,$C337,BV_Data_An_Cour!$AR:$AR,$L$2)</f>
        <v>3849.5500000000029</v>
      </c>
      <c r="M337" s="243"/>
      <c r="N337" s="266">
        <f t="shared" si="53"/>
        <v>3849.5500000000029</v>
      </c>
      <c r="O337" s="243"/>
      <c r="P337" s="38"/>
      <c r="Q337" s="266">
        <f>SUMIFS(BV_Data_An_Prec!$AM:$AM,BV_Data_An_Prec!$AP:$AP,$B337,BV_Data_An_Prec!$AQ:$AQ,$C337,BV_Data_An_Prec!$AR:$AR,$L$2)</f>
        <v>4524.4200000000019</v>
      </c>
      <c r="R337" s="243"/>
      <c r="S337" s="266">
        <f t="shared" si="54"/>
        <v>-674.86999999999898</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f>+INDEX('Budget original'!$A$2:$AO$501,MATCH($A338,'Budget original'!$A$2:$A$501,0),MATCH(F$2,'Budget original'!$A$2:$AO$2,0))</f>
        <v>0</v>
      </c>
      <c r="G338" s="302"/>
      <c r="H338" s="301"/>
      <c r="I338" s="244"/>
      <c r="J338" s="233"/>
      <c r="K338" s="301"/>
      <c r="L338" s="303">
        <f>SUMIFS(BV_Data_An_Cour!$AM:$AM,BV_Data_An_Cour!$AP:$AP,$B338,BV_Data_An_Cour!$AQ:$AQ,$C338,BV_Data_An_Cour!$AR:$AR,$L$2)</f>
        <v>3590.0599999999977</v>
      </c>
      <c r="M338" s="233"/>
      <c r="N338" s="303">
        <f t="shared" si="53"/>
        <v>3590.0599999999977</v>
      </c>
      <c r="O338" s="233"/>
      <c r="P338" s="301"/>
      <c r="Q338" s="303">
        <f>SUMIFS(BV_Data_An_Prec!$AM:$AM,BV_Data_An_Prec!$AP:$AP,$B338,BV_Data_An_Prec!$AQ:$AQ,$C338,BV_Data_An_Prec!$AR:$AR,$L$2)</f>
        <v>5123.9100000000035</v>
      </c>
      <c r="R338" s="233"/>
      <c r="S338" s="303">
        <f t="shared" si="54"/>
        <v>-1533.8500000000058</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f>+INDEX('Budget original'!$A$2:$AO$501,MATCH($A339,'Budget original'!$A$2:$A$501,0),MATCH(F$2,'Budget original'!$A$2:$AO$2,0))</f>
        <v>0</v>
      </c>
      <c r="G339" s="288"/>
      <c r="H339" s="38"/>
      <c r="I339" s="244"/>
      <c r="J339" s="243"/>
      <c r="K339" s="38"/>
      <c r="L339" s="266">
        <f>SUMIFS(BV_Data_An_Cour!$AM:$AM,BV_Data_An_Cour!$AP:$AP,$B339,BV_Data_An_Cour!$AQ:$AQ,$C339,BV_Data_An_Cour!$AR:$AR,$L$2)</f>
        <v>253.77000000000044</v>
      </c>
      <c r="M339" s="243"/>
      <c r="N339" s="266">
        <f t="shared" si="53"/>
        <v>253.77000000000044</v>
      </c>
      <c r="O339" s="243"/>
      <c r="P339" s="38"/>
      <c r="Q339" s="266">
        <f>SUMIFS(BV_Data_An_Prec!$AM:$AM,BV_Data_An_Prec!$AP:$AP,$B339,BV_Data_An_Prec!$AQ:$AQ,$C339,BV_Data_An_Prec!$AR:$AR,$L$2)</f>
        <v>2673.9199999999983</v>
      </c>
      <c r="R339" s="243"/>
      <c r="S339" s="266">
        <f t="shared" si="54"/>
        <v>-2420.1499999999978</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f>+INDEX('Budget original'!$A$2:$AO$501,MATCH($A340,'Budget original'!$A$2:$A$501,0),MATCH(F$2,'Budget original'!$A$2:$AO$2,0))</f>
        <v>0</v>
      </c>
      <c r="G340" s="288"/>
      <c r="H340" s="38"/>
      <c r="I340" s="244"/>
      <c r="J340" s="243"/>
      <c r="K340" s="38"/>
      <c r="L340" s="266">
        <f>SUMIFS(BV_Data_An_Cour!$AM:$AM,BV_Data_An_Cour!$AP:$AP,$B340,BV_Data_An_Cour!$AQ:$AQ,$C340,BV_Data_An_Cour!$AR:$AR,$L$2)</f>
        <v>1407.5800000000008</v>
      </c>
      <c r="M340" s="243"/>
      <c r="N340" s="266">
        <f t="shared" si="53"/>
        <v>1407.5800000000008</v>
      </c>
      <c r="O340" s="243"/>
      <c r="P340" s="38"/>
      <c r="Q340" s="266">
        <f>SUMIFS(BV_Data_An_Prec!$AM:$AM,BV_Data_An_Prec!$AP:$AP,$B340,BV_Data_An_Prec!$AQ:$AQ,$C340,BV_Data_An_Prec!$AR:$AR,$L$2)</f>
        <v>46.259999999999991</v>
      </c>
      <c r="R340" s="243"/>
      <c r="S340" s="266">
        <f t="shared" si="54"/>
        <v>1361.3200000000008</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f>+INDEX('Budget original'!$A$2:$AO$501,MATCH($A341,'Budget original'!$A$2:$A$501,0),MATCH(F$2,'Budget original'!$A$2:$AO$2,0))</f>
        <v>0</v>
      </c>
      <c r="G341" s="290"/>
      <c r="H341" s="304"/>
      <c r="I341" s="244"/>
      <c r="J341" s="238"/>
      <c r="K341" s="304"/>
      <c r="L341" s="266">
        <f>SUMIFS(BV_Data_An_Cour!$AM:$AM,BV_Data_An_Cour!$AP:$AP,$B341,BV_Data_An_Cour!$AQ:$AQ,$C341,BV_Data_An_Cour!$AR:$AR,$L$2)</f>
        <v>0</v>
      </c>
      <c r="M341" s="238"/>
      <c r="N341" s="286">
        <f t="shared" si="53"/>
        <v>0</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#DIV/0!</v>
      </c>
      <c r="F342" s="294">
        <f>+SUM(F330:F341)</f>
        <v>0</v>
      </c>
      <c r="G342" s="295"/>
      <c r="H342" s="293"/>
      <c r="I342" s="294"/>
      <c r="J342" s="295" t="s">
        <v>115</v>
      </c>
      <c r="K342" s="293">
        <f>IF(L326=0,0,L342/L$326)</f>
        <v>0.25105899032440798</v>
      </c>
      <c r="L342" s="294">
        <f>+SUM(L330:L341)</f>
        <v>22914.380000000005</v>
      </c>
      <c r="M342" s="296"/>
      <c r="N342" s="294">
        <f t="shared" si="53"/>
        <v>22914.380000000005</v>
      </c>
      <c r="O342" s="295" t="s">
        <v>115</v>
      </c>
      <c r="P342" s="293">
        <f>IF(Q326=0,0,Q342/Q$326)</f>
        <v>0.52321343221735628</v>
      </c>
      <c r="Q342" s="294">
        <f>+SUM(Q330:Q341)</f>
        <v>39496.210000000014</v>
      </c>
      <c r="R342" s="297"/>
      <c r="S342" s="294">
        <f t="shared" si="54"/>
        <v>-16581.830000000009</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f>+INDEX('Budget original'!$A$2:$AO$501,MATCH($A343,'Budget original'!$A$2:$A$501,0),MATCH(F$2,'Budget original'!$A$2:$AO$2,0))</f>
        <v>0</v>
      </c>
      <c r="G343" s="288"/>
      <c r="H343" s="38"/>
      <c r="I343" s="244"/>
      <c r="J343" s="243"/>
      <c r="K343" s="38"/>
      <c r="L343" s="266">
        <f>SUMIFS(BV_Data_An_Cour!$AM:$AM,BV_Data_An_Cour!$AP:$AP,$B343,BV_Data_An_Cour!$AQ:$AQ,$C343,BV_Data_An_Cour!$AR:$AR,$L$2)</f>
        <v>1885.45</v>
      </c>
      <c r="M343" s="243"/>
      <c r="N343" s="266">
        <f t="shared" si="53"/>
        <v>1885.45</v>
      </c>
      <c r="O343" s="243"/>
      <c r="P343" s="38"/>
      <c r="Q343" s="266">
        <f>SUMIFS(BV_Data_An_Prec!$AM:$AM,BV_Data_An_Prec!$AP:$AP,$B343,BV_Data_An_Prec!$AQ:$AQ,$C343,BV_Data_An_Prec!$AR:$AR,$L$2)</f>
        <v>1266.0899999999999</v>
      </c>
      <c r="R343" s="243"/>
      <c r="S343" s="266">
        <f t="shared" si="54"/>
        <v>619.36000000000013</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f>+INDEX('Budget original'!$A$2:$AO$501,MATCH($A344,'Budget original'!$A$2:$A$501,0),MATCH(F$2,'Budget original'!$A$2:$AO$2,0))</f>
        <v>0</v>
      </c>
      <c r="G344" s="288"/>
      <c r="H344" s="38"/>
      <c r="I344" s="244"/>
      <c r="J344" s="243"/>
      <c r="K344" s="38"/>
      <c r="L344" s="266">
        <f>SUMIFS(BV_Data_An_Cour!$AM:$AM,BV_Data_An_Cour!$AP:$AP,$B344,BV_Data_An_Cour!$AQ:$AQ,$C344,BV_Data_An_Cour!$AR:$AR,$L$2)</f>
        <v>1829.2199999999993</v>
      </c>
      <c r="M344" s="243"/>
      <c r="N344" s="266">
        <f t="shared" si="53"/>
        <v>1829.2199999999993</v>
      </c>
      <c r="O344" s="243"/>
      <c r="P344" s="38"/>
      <c r="Q344" s="266">
        <f>SUMIFS(BV_Data_An_Prec!$AM:$AM,BV_Data_An_Prec!$AP:$AP,$B344,BV_Data_An_Prec!$AQ:$AQ,$C344,BV_Data_An_Prec!$AR:$AR,$L$2)</f>
        <v>821.70999999999913</v>
      </c>
      <c r="R344" s="243"/>
      <c r="S344" s="266">
        <f t="shared" si="54"/>
        <v>1007.5100000000002</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f>+INDEX('Budget original'!$A$2:$AO$501,MATCH($A345,'Budget original'!$A$2:$A$501,0),MATCH(F$2,'Budget original'!$A$2:$AO$2,0))</f>
        <v>0</v>
      </c>
      <c r="G345" s="290"/>
      <c r="H345" s="304"/>
      <c r="I345" s="240"/>
      <c r="J345" s="238"/>
      <c r="K345" s="304"/>
      <c r="L345" s="266">
        <f>SUMIFS(BV_Data_An_Cour!$AM:$AM,BV_Data_An_Cour!$AP:$AP,$B345,BV_Data_An_Cour!$AQ:$AQ,$C345,BV_Data_An_Cour!$AR:$AR,$L$2)</f>
        <v>47.539999999999054</v>
      </c>
      <c r="M345" s="238"/>
      <c r="N345" s="286">
        <f t="shared" si="53"/>
        <v>47.539999999999054</v>
      </c>
      <c r="O345" s="238"/>
      <c r="P345" s="304"/>
      <c r="Q345" s="266">
        <f>SUMIFS(BV_Data_An_Prec!$AM:$AM,BV_Data_An_Prec!$AP:$AP,$B345,BV_Data_An_Prec!$AQ:$AQ,$C345,BV_Data_An_Prec!$AR:$AR,$L$2)</f>
        <v>1041.1599999999999</v>
      </c>
      <c r="R345" s="238"/>
      <c r="S345" s="286">
        <f t="shared" si="54"/>
        <v>-993.6200000000008</v>
      </c>
      <c r="T345" s="35"/>
      <c r="U345" s="35"/>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f>+INDEX('Budget original'!$A$2:$AO$501,MATCH($A346,'Budget original'!$A$2:$A$501,0),MATCH(F$2,'Budget original'!$A$2:$AO$2,0))</f>
        <v>0</v>
      </c>
      <c r="G346" s="288"/>
      <c r="H346" s="38"/>
      <c r="I346" s="244"/>
      <c r="J346" s="243"/>
      <c r="K346" s="38"/>
      <c r="L346" s="303">
        <f>SUMIFS(BV_Data_An_Cour!$AM:$AM,BV_Data_An_Cour!$AP:$AP,$B346,BV_Data_An_Cour!$AQ:$AQ,$C346,BV_Data_An_Cour!$AR:$AR,$L$2)</f>
        <v>3710.6399999999994</v>
      </c>
      <c r="M346" s="243"/>
      <c r="N346" s="266">
        <f t="shared" si="53"/>
        <v>3710.6399999999994</v>
      </c>
      <c r="O346" s="243"/>
      <c r="P346" s="38"/>
      <c r="Q346" s="303">
        <f>SUMIFS(BV_Data_An_Prec!$AM:$AM,BV_Data_An_Prec!$AP:$AP,$B346,BV_Data_An_Prec!$AQ:$AQ,$C346,BV_Data_An_Prec!$AR:$AR,$L$2)</f>
        <v>2561.8899999999994</v>
      </c>
      <c r="R346" s="243"/>
      <c r="S346" s="266">
        <f t="shared" si="54"/>
        <v>1148.75</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f>+INDEX('Budget original'!$A$2:$AO$501,MATCH($A347,'Budget original'!$A$2:$A$501,0),MATCH(F$2,'Budget original'!$A$2:$AO$2,0))</f>
        <v>0</v>
      </c>
      <c r="G347" s="288"/>
      <c r="H347" s="38"/>
      <c r="I347" s="244"/>
      <c r="J347" s="243"/>
      <c r="K347" s="38"/>
      <c r="L347" s="266">
        <f>SUMIFS(BV_Data_An_Cour!$AM:$AM,BV_Data_An_Cour!$AP:$AP,$B347,BV_Data_An_Cour!$AQ:$AQ,$C347,BV_Data_An_Cour!$AR:$AR,$L$2)</f>
        <v>219.6899999999996</v>
      </c>
      <c r="M347" s="243"/>
      <c r="N347" s="266">
        <f t="shared" si="53"/>
        <v>219.6899999999996</v>
      </c>
      <c r="O347" s="243"/>
      <c r="P347" s="38"/>
      <c r="Q347" s="266">
        <f>SUMIFS(BV_Data_An_Prec!$AM:$AM,BV_Data_An_Prec!$AP:$AP,$B347,BV_Data_An_Prec!$AQ:$AQ,$C347,BV_Data_An_Prec!$AR:$AR,$L$2)</f>
        <v>3239.5099999999993</v>
      </c>
      <c r="R347" s="243"/>
      <c r="S347" s="266">
        <f t="shared" si="54"/>
        <v>-3019.8199999999997</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f>+INDEX('Budget original'!$A$2:$AO$501,MATCH($A348,'Budget original'!$A$2:$A$501,0),MATCH(F$2,'Budget original'!$A$2:$AO$2,0))</f>
        <v>0</v>
      </c>
      <c r="G348" s="290"/>
      <c r="H348" s="304"/>
      <c r="I348" s="240"/>
      <c r="J348" s="238"/>
      <c r="K348" s="304"/>
      <c r="L348" s="266">
        <f>SUMIFS(BV_Data_An_Cour!$AM:$AM,BV_Data_An_Cour!$AP:$AP,$B348,BV_Data_An_Cour!$AQ:$AQ,$C348,BV_Data_An_Cour!$AR:$AR,$L$2)</f>
        <v>1748.5300000000007</v>
      </c>
      <c r="M348" s="238"/>
      <c r="N348" s="286">
        <f t="shared" si="53"/>
        <v>1748.5300000000007</v>
      </c>
      <c r="O348" s="238"/>
      <c r="P348" s="304"/>
      <c r="Q348" s="266">
        <f>SUMIFS(BV_Data_An_Prec!$AM:$AM,BV_Data_An_Prec!$AP:$AP,$B348,BV_Data_An_Prec!$AQ:$AQ,$C348,BV_Data_An_Prec!$AR:$AR,$L$2)</f>
        <v>3090.1900000000005</v>
      </c>
      <c r="R348" s="238"/>
      <c r="S348" s="286">
        <f t="shared" si="54"/>
        <v>-1341.6599999999999</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f>+INDEX('Budget original'!$A$2:$AO$501,MATCH($A350,'Budget original'!$A$2:$A$501,0),MATCH(F$2,'Budget original'!$A$2:$AO$2,0))</f>
        <v>0</v>
      </c>
      <c r="G350" s="288"/>
      <c r="H350" s="38"/>
      <c r="I350" s="244"/>
      <c r="J350" s="243"/>
      <c r="K350" s="38"/>
      <c r="L350" s="266">
        <f>SUMIFS(BV_Data_An_Cour!$AM:$AM,BV_Data_An_Cour!$AP:$AP,$B350,BV_Data_An_Cour!$AQ:$AQ,$C350,BV_Data_An_Cour!$AR:$AR,$L$2)</f>
        <v>5084.6199999999953</v>
      </c>
      <c r="M350" s="243"/>
      <c r="N350" s="266">
        <f t="shared" si="53"/>
        <v>5084.6199999999953</v>
      </c>
      <c r="O350" s="243"/>
      <c r="P350" s="38"/>
      <c r="Q350" s="266">
        <f>SUMIFS(BV_Data_An_Prec!$AM:$AM,BV_Data_An_Prec!$AP:$AP,$B350,BV_Data_An_Prec!$AQ:$AQ,$C350,BV_Data_An_Prec!$AR:$AR,$L$2)</f>
        <v>9024.4500000000007</v>
      </c>
      <c r="R350" s="243"/>
      <c r="S350" s="266">
        <f t="shared" si="54"/>
        <v>-3939.8300000000054</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f>+INDEX('Budget original'!$A$2:$AO$501,MATCH($A351,'Budget original'!$A$2:$A$501,0),MATCH(F$2,'Budget original'!$A$2:$AO$2,0))</f>
        <v>0</v>
      </c>
      <c r="G351" s="288"/>
      <c r="H351" s="38"/>
      <c r="I351" s="244"/>
      <c r="J351" s="243"/>
      <c r="K351" s="38"/>
      <c r="L351" s="266">
        <f>SUMIFS(BV_Data_An_Cour!$AM:$AM,BV_Data_An_Cour!$AP:$AP,$B351,BV_Data_An_Cour!$AQ:$AQ,$C351,BV_Data_An_Cour!$AR:$AR,$L$2)</f>
        <v>411.05</v>
      </c>
      <c r="M351" s="243"/>
      <c r="N351" s="266">
        <f t="shared" si="53"/>
        <v>411.05</v>
      </c>
      <c r="O351" s="243"/>
      <c r="P351" s="38"/>
      <c r="Q351" s="266">
        <f>SUMIFS(BV_Data_An_Prec!$AM:$AM,BV_Data_An_Prec!$AP:$AP,$B351,BV_Data_An_Prec!$AQ:$AQ,$C351,BV_Data_An_Prec!$AR:$AR,$L$2)</f>
        <v>0</v>
      </c>
      <c r="R351" s="243"/>
      <c r="S351" s="266">
        <f t="shared" si="54"/>
        <v>411.05</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f>+INDEX('Budget original'!$A$2:$AO$501,MATCH($A352,'Budget original'!$A$2:$A$501,0),MATCH(F$2,'Budget original'!$A$2:$AO$2,0))</f>
        <v>0</v>
      </c>
      <c r="G352" s="288"/>
      <c r="H352" s="38"/>
      <c r="I352" s="244"/>
      <c r="J352" s="243"/>
      <c r="K352" s="38"/>
      <c r="L352" s="266">
        <f>SUMIFS(BV_Data_An_Cour!$AM:$AM,BV_Data_An_Cour!$AP:$AP,$B352,BV_Data_An_Cour!$AQ:$AQ,$C352,BV_Data_An_Cour!$AR:$AR,$L$2)</f>
        <v>48.799999999999727</v>
      </c>
      <c r="M352" s="243"/>
      <c r="N352" s="266">
        <f t="shared" si="53"/>
        <v>48.799999999999727</v>
      </c>
      <c r="O352" s="243"/>
      <c r="P352" s="38"/>
      <c r="Q352" s="266">
        <f>SUMIFS(BV_Data_An_Prec!$AM:$AM,BV_Data_An_Prec!$AP:$AP,$B352,BV_Data_An_Prec!$AQ:$AQ,$C352,BV_Data_An_Prec!$AR:$AR,$L$2)</f>
        <v>692.51000000000022</v>
      </c>
      <c r="R352" s="243"/>
      <c r="S352" s="266">
        <f t="shared" si="54"/>
        <v>-643.71000000000049</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f>+INDEX('Budget original'!$A$2:$AO$501,MATCH($A353,'Budget original'!$A$2:$A$501,0),MATCH(F$2,'Budget original'!$A$2:$AO$2,0))</f>
        <v>0</v>
      </c>
      <c r="G353" s="288"/>
      <c r="H353" s="38"/>
      <c r="I353" s="244"/>
      <c r="J353" s="243"/>
      <c r="K353" s="38"/>
      <c r="L353" s="266">
        <f>SUMIFS(BV_Data_An_Cour!$AM:$AM,BV_Data_An_Cour!$AP:$AP,$B353,BV_Data_An_Cour!$AQ:$AQ,$C353,BV_Data_An_Cour!$AR:$AR,$L$2)</f>
        <v>503.62999999999988</v>
      </c>
      <c r="M353" s="243"/>
      <c r="N353" s="266">
        <f t="shared" si="53"/>
        <v>503.62999999999988</v>
      </c>
      <c r="O353" s="243"/>
      <c r="P353" s="38"/>
      <c r="Q353" s="266">
        <f>SUMIFS(BV_Data_An_Prec!$AM:$AM,BV_Data_An_Prec!$AP:$AP,$B353,BV_Data_An_Prec!$AQ:$AQ,$C353,BV_Data_An_Prec!$AR:$AR,$L$2)</f>
        <v>52.659999999999854</v>
      </c>
      <c r="R353" s="243"/>
      <c r="S353" s="266">
        <f t="shared" si="54"/>
        <v>450.97</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f>+INDEX('Budget original'!$A$2:$AO$501,MATCH($A354,'Budget original'!$A$2:$A$501,0),MATCH(F$2,'Budget original'!$A$2:$AO$2,0))</f>
        <v>0</v>
      </c>
      <c r="G354" s="288"/>
      <c r="H354" s="38"/>
      <c r="I354" s="244"/>
      <c r="J354" s="243"/>
      <c r="K354" s="38"/>
      <c r="L354" s="266">
        <f>SUMIFS(BV_Data_An_Cour!$AM:$AM,BV_Data_An_Cour!$AP:$AP,$B354,BV_Data_An_Cour!$AQ:$AQ,$C354,BV_Data_An_Cour!$AR:$AR,$L$2)</f>
        <v>167.30000000000018</v>
      </c>
      <c r="M354" s="243"/>
      <c r="N354" s="266">
        <f t="shared" si="53"/>
        <v>167.30000000000018</v>
      </c>
      <c r="O354" s="243"/>
      <c r="P354" s="38"/>
      <c r="Q354" s="266">
        <f>SUMIFS(BV_Data_An_Prec!$AM:$AM,BV_Data_An_Prec!$AP:$AP,$B354,BV_Data_An_Prec!$AQ:$AQ,$C354,BV_Data_An_Prec!$AR:$AR,$L$2)</f>
        <v>261.45000000000027</v>
      </c>
      <c r="R354" s="243"/>
      <c r="S354" s="266">
        <f t="shared" si="54"/>
        <v>-94.150000000000091</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f>+INDEX('Budget original'!$A$2:$AO$501,MATCH($A355,'Budget original'!$A$2:$A$501,0),MATCH(F$2,'Budget original'!$A$2:$AO$2,0))</f>
        <v>0</v>
      </c>
      <c r="G355" s="288"/>
      <c r="H355" s="38"/>
      <c r="I355" s="244"/>
      <c r="J355" s="243"/>
      <c r="K355" s="38"/>
      <c r="L355" s="266">
        <f>SUMIFS(BV_Data_An_Cour!$AM:$AM,BV_Data_An_Cour!$AP:$AP,$B355,BV_Data_An_Cour!$AQ:$AQ,$C355,BV_Data_An_Cour!$AR:$AR,$L$2)</f>
        <v>1623.2200000000003</v>
      </c>
      <c r="M355" s="243"/>
      <c r="N355" s="266">
        <f t="shared" si="53"/>
        <v>1623.2200000000003</v>
      </c>
      <c r="O355" s="243"/>
      <c r="P355" s="38"/>
      <c r="Q355" s="266">
        <f>SUMIFS(BV_Data_An_Prec!$AM:$AM,BV_Data_An_Prec!$AP:$AP,$B355,BV_Data_An_Prec!$AQ:$AQ,$C355,BV_Data_An_Prec!$AR:$AR,$L$2)</f>
        <v>2100.88</v>
      </c>
      <c r="R355" s="243"/>
      <c r="S355" s="266">
        <f t="shared" si="54"/>
        <v>-477.65999999999985</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f>+INDEX('Budget original'!$A$2:$AO$501,MATCH($A356,'Budget original'!$A$2:$A$501,0),MATCH(F$2,'Budget original'!$A$2:$AO$2,0))</f>
        <v>0</v>
      </c>
      <c r="G356" s="288"/>
      <c r="H356" s="38"/>
      <c r="I356" s="244"/>
      <c r="J356" s="243"/>
      <c r="K356" s="38"/>
      <c r="L356" s="266">
        <f>SUMIFS(BV_Data_An_Cour!$AM:$AM,BV_Data_An_Cour!$AP:$AP,$B356,BV_Data_An_Cour!$AQ:$AQ,$C356,BV_Data_An_Cour!$AR:$AR,$L$2)</f>
        <v>0</v>
      </c>
      <c r="M356" s="243"/>
      <c r="N356" s="266">
        <f t="shared" si="53"/>
        <v>0</v>
      </c>
      <c r="O356" s="243"/>
      <c r="P356" s="38"/>
      <c r="Q356" s="266">
        <f>SUMIFS(BV_Data_An_Prec!$AM:$AM,BV_Data_An_Prec!$AP:$AP,$B356,BV_Data_An_Prec!$AQ:$AQ,$C356,BV_Data_An_Prec!$AR:$AR,$L$2)</f>
        <v>1692</v>
      </c>
      <c r="R356" s="243"/>
      <c r="S356" s="266">
        <f t="shared" si="54"/>
        <v>-1692</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f>+INDEX('Budget original'!$A$2:$AO$501,MATCH($A357,'Budget original'!$A$2:$A$501,0),MATCH(F$2,'Budget original'!$A$2:$AO$2,0))</f>
        <v>0</v>
      </c>
      <c r="G357" s="288"/>
      <c r="H357" s="38"/>
      <c r="I357" s="244"/>
      <c r="J357" s="243"/>
      <c r="K357" s="38"/>
      <c r="L357" s="266">
        <f>SUMIFS(BV_Data_An_Cour!$AM:$AM,BV_Data_An_Cour!$AP:$AP,$B357,BV_Data_An_Cour!$AQ:$AQ,$C357,BV_Data_An_Cour!$AR:$AR,$L$2)</f>
        <v>796.44000000000051</v>
      </c>
      <c r="M357" s="243"/>
      <c r="N357" s="266">
        <f t="shared" si="53"/>
        <v>796.44000000000051</v>
      </c>
      <c r="O357" s="243"/>
      <c r="P357" s="38"/>
      <c r="Q357" s="266">
        <f>SUMIFS(BV_Data_An_Prec!$AM:$AM,BV_Data_An_Prec!$AP:$AP,$B357,BV_Data_An_Prec!$AQ:$AQ,$C357,BV_Data_An_Prec!$AR:$AR,$L$2)</f>
        <v>125.88</v>
      </c>
      <c r="R357" s="243"/>
      <c r="S357" s="266">
        <f t="shared" si="54"/>
        <v>670.56000000000051</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3154</v>
      </c>
      <c r="D358" s="287"/>
      <c r="E358" s="38"/>
      <c r="F358" s="244">
        <f>+INDEX('Budget original'!$A$2:$AO$501,MATCH($A358,'Budget original'!$A$2:$A$501,0),MATCH(F$2,'Budget original'!$A$2:$AO$2,0))</f>
        <v>0</v>
      </c>
      <c r="G358" s="288"/>
      <c r="H358" s="38"/>
      <c r="I358" s="244"/>
      <c r="J358" s="243"/>
      <c r="K358" s="38"/>
      <c r="L358" s="266">
        <f>SUMIFS(BV_Data_An_Cour!$AM:$AM,BV_Data_An_Cour!$AP:$AP,$B358,BV_Data_An_Cour!$AQ:$AQ,$C358,BV_Data_An_Cour!$AR:$AR,$L$2)</f>
        <v>2278.380000000001</v>
      </c>
      <c r="M358" s="243"/>
      <c r="N358" s="266">
        <f t="shared" si="53"/>
        <v>2278.380000000001</v>
      </c>
      <c r="O358" s="243"/>
      <c r="P358" s="38"/>
      <c r="Q358" s="266">
        <f>SUMIFS(BV_Data_An_Prec!$AM:$AM,BV_Data_An_Prec!$AP:$AP,$B358,BV_Data_An_Prec!$AQ:$AQ,$C358,BV_Data_An_Prec!$AR:$AR,$L$2)</f>
        <v>0</v>
      </c>
      <c r="R358" s="243"/>
      <c r="S358" s="266">
        <f t="shared" si="54"/>
        <v>2278.380000000001</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f>+INDEX('Budget original'!$A$2:$AO$501,MATCH($A359,'Budget original'!$A$2:$A$501,0),MATCH(F$2,'Budget original'!$A$2:$AO$2,0))</f>
        <v>0</v>
      </c>
      <c r="G359" s="288"/>
      <c r="H359" s="38"/>
      <c r="I359" s="244"/>
      <c r="J359" s="243"/>
      <c r="K359" s="38"/>
      <c r="L359" s="266">
        <f>SUMIFS(BV_Data_An_Cour!$AM:$AM,BV_Data_An_Cour!$AP:$AP,$B359,BV_Data_An_Cour!$AQ:$AQ,$C359,BV_Data_An_Cour!$AR:$AR,$L$2)</f>
        <v>0</v>
      </c>
      <c r="M359" s="243"/>
      <c r="N359" s="266">
        <f t="shared" si="53"/>
        <v>0</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f>+INDEX('Budget original'!$A$2:$AO$501,MATCH($A360,'Budget original'!$A$2:$A$501,0),MATCH(F$2,'Budget original'!$A$2:$AO$2,0))</f>
        <v>0</v>
      </c>
      <c r="G360" s="288"/>
      <c r="H360" s="38"/>
      <c r="I360" s="244"/>
      <c r="J360" s="243"/>
      <c r="K360" s="38"/>
      <c r="L360" s="266">
        <f>SUMIFS(BV_Data_An_Cour!$AM:$AM,BV_Data_An_Cour!$AP:$AP,$B360,BV_Data_An_Cour!$AQ:$AQ,$C360,BV_Data_An_Cour!$AR:$AR,$L$2)</f>
        <v>0</v>
      </c>
      <c r="M360" s="243"/>
      <c r="N360" s="266">
        <f t="shared" si="53"/>
        <v>0</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#DIV/0!</v>
      </c>
      <c r="F361" s="294">
        <f>+SUM(F343:F360)</f>
        <v>0</v>
      </c>
      <c r="G361" s="295"/>
      <c r="H361" s="293"/>
      <c r="I361" s="294"/>
      <c r="J361" s="295" t="s">
        <v>115</v>
      </c>
      <c r="K361" s="293">
        <f>L361/L$326</f>
        <v>0.22301204436463312</v>
      </c>
      <c r="L361" s="294">
        <f>+SUM(L343:L360)</f>
        <v>20354.509999999991</v>
      </c>
      <c r="M361" s="296"/>
      <c r="N361" s="294">
        <f>+SUM(N343:N360)</f>
        <v>20354.509999999991</v>
      </c>
      <c r="O361" s="295" t="s">
        <v>115</v>
      </c>
      <c r="P361" s="293">
        <f>Q361/Q$326</f>
        <v>0.34403431761652525</v>
      </c>
      <c r="Q361" s="294">
        <f>+SUM(Q343:Q360)</f>
        <v>25970.380000000005</v>
      </c>
      <c r="R361" s="297"/>
      <c r="S361" s="294">
        <f t="shared" si="54"/>
        <v>-5615.8700000000135</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#DIV/0!</v>
      </c>
      <c r="F363" s="294">
        <f>F342+F361</f>
        <v>0</v>
      </c>
      <c r="G363" s="295"/>
      <c r="H363" s="293"/>
      <c r="I363" s="294"/>
      <c r="J363" s="295" t="s">
        <v>115</v>
      </c>
      <c r="K363" s="293">
        <f>L363/L$326</f>
        <v>0.4740710346890411</v>
      </c>
      <c r="L363" s="294">
        <f>L342+L361</f>
        <v>43268.89</v>
      </c>
      <c r="M363" s="296"/>
      <c r="N363" s="294">
        <f>L363-F363</f>
        <v>43268.89</v>
      </c>
      <c r="O363" s="295" t="s">
        <v>115</v>
      </c>
      <c r="P363" s="293">
        <f>Q363/Q$326</f>
        <v>0.86724774983388153</v>
      </c>
      <c r="Q363" s="294">
        <f>Q342+Q361</f>
        <v>65466.590000000018</v>
      </c>
      <c r="R363" s="297"/>
      <c r="S363" s="294">
        <f>L363-Q363</f>
        <v>-22197.700000000019</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f>F326-F363</f>
        <v>0</v>
      </c>
      <c r="G365" s="957"/>
      <c r="H365" s="955"/>
      <c r="I365" s="956"/>
      <c r="J365" s="957"/>
      <c r="K365" s="955"/>
      <c r="L365" s="956">
        <f>L326-L363</f>
        <v>48002.009999999995</v>
      </c>
      <c r="M365" s="958"/>
      <c r="N365" s="956">
        <f>L365-F365</f>
        <v>48002.009999999995</v>
      </c>
      <c r="O365" s="957"/>
      <c r="P365" s="955"/>
      <c r="Q365" s="956">
        <f>Q326-Q363</f>
        <v>10021.169999999904</v>
      </c>
      <c r="R365" s="959"/>
      <c r="S365" s="956">
        <f>L365-Q365</f>
        <v>37980.840000000091</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Septembre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4" t="s">
        <v>339</v>
      </c>
      <c r="E369" s="1279"/>
      <c r="F369" s="1280"/>
      <c r="G369" s="1281"/>
      <c r="H369" s="1279"/>
      <c r="I369" s="1280"/>
      <c r="J369" s="1281" t="s">
        <v>340</v>
      </c>
      <c r="K369" s="1279"/>
      <c r="L369" s="1280"/>
      <c r="M369" s="1281" t="s">
        <v>668</v>
      </c>
      <c r="N369" s="1280"/>
      <c r="O369" s="1274" t="s">
        <v>341</v>
      </c>
      <c r="P369" s="1279"/>
      <c r="Q369" s="1280"/>
      <c r="R369" s="1273" t="s">
        <v>670</v>
      </c>
      <c r="S369" s="1282"/>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f>+INDEX('Budget original'!$A$2:$AO$501,MATCH($A371,'Budget original'!$A$2:$A$501,0),MATCH(D$2,'Budget original'!$A$2:$AO$2,0))</f>
        <v>0</v>
      </c>
      <c r="E371" s="327">
        <f>IF(D371=0,0,F371/D371)</f>
        <v>0</v>
      </c>
      <c r="F371" s="266">
        <f>+INDEX('Budget original'!$A$2:$AO$501,MATCH($A371,'Budget original'!$A$2:$A$501,0),MATCH(F$2,'Budget original'!$A$2:$AO$2,0))</f>
        <v>0</v>
      </c>
      <c r="G371" s="281"/>
      <c r="H371" s="327"/>
      <c r="I371" s="266"/>
      <c r="J371" s="281">
        <f>-SUMIFS(BV_Data_An_Cour!$AM:$AM,BV_Data_An_Cour!$AS:$AS,"Oui",BV_Data_An_Cour!$AP:$AP,$B371,BV_Data_An_Cour!$AQ:$AQ,$C371)</f>
        <v>59844.549999999988</v>
      </c>
      <c r="K371" s="327">
        <f t="shared" ref="K371:K380" si="55">IF(J371&lt;=0,0,L371/J371)</f>
        <v>0.34430670796254548</v>
      </c>
      <c r="L371" s="266">
        <f>-SUMIFS(BV_Data_An_Cour!$AM:$AM,BV_Data_An_Cour!$AP:$AP,$B371,BV_Data_An_Cour!$AQ:$AQ,$C371,BV_Data_An_Cour!$AR:$AR,$L$2)</f>
        <v>20604.879999999946</v>
      </c>
      <c r="M371" s="282" t="e">
        <f t="shared" ref="M371:M377" si="56">(+J371-D371)/D371</f>
        <v>#DIV/0!</v>
      </c>
      <c r="N371" s="266">
        <f t="shared" ref="N371:N380" si="57">L371-F371</f>
        <v>20604.879999999946</v>
      </c>
      <c r="O371" s="281">
        <f>-SUMIFS(BV_Data_An_Prec!$AM:$AM,BV_Data_An_Prec!$AS:$AS,"Oui",BV_Data_An_Prec!$AP:$AP,$B371,BV_Data_An_Prec!$AQ:$AQ,$C371)</f>
        <v>54282.650000000023</v>
      </c>
      <c r="P371" s="327">
        <f t="shared" ref="P371:P380" si="58">IF(O371&lt;=0,0,Q371/O371)</f>
        <v>0.40148961040037717</v>
      </c>
      <c r="Q371" s="266">
        <f>-SUMIFS(BV_Data_An_Prec!$AM:$AM,BV_Data_An_Prec!$AP:$AP,$B371,BV_Data_An_Prec!$AQ:$AQ,$C371,BV_Data_An_Prec!$AR:$AR,$L$2)</f>
        <v>21793.920000000042</v>
      </c>
      <c r="R371" s="282">
        <f t="shared" ref="R371:R380" si="59">IF(O371=0,0,(J371-O371)/O371)</f>
        <v>0.10246183633260282</v>
      </c>
      <c r="S371" s="266">
        <f t="shared" ref="S371:S380" si="60">L371-Q371</f>
        <v>-1189.0400000000955</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f>+INDEX('Budget original'!$A$2:$AO$501,MATCH($A372,'Budget original'!$A$2:$A$501,0),MATCH(D$2,'Budget original'!$A$2:$AO$2,0))</f>
        <v>0</v>
      </c>
      <c r="E372" s="327">
        <f t="shared" ref="E372:E379" si="61">IF(D372=0,0,F372/D372)</f>
        <v>0</v>
      </c>
      <c r="F372" s="266">
        <f>+INDEX('Budget original'!$A$2:$AO$501,MATCH($A372,'Budget original'!$A$2:$A$501,0),MATCH(F$2,'Budget original'!$A$2:$AO$2,0))</f>
        <v>0</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#DIV/0!</v>
      </c>
      <c r="N372" s="266">
        <f t="shared" si="57"/>
        <v>0</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f>+INDEX('Budget original'!$A$2:$AO$501,MATCH($A373,'Budget original'!$A$2:$A$501,0),MATCH(D$2,'Budget original'!$A$2:$AO$2,0))</f>
        <v>0</v>
      </c>
      <c r="E373" s="327">
        <f t="shared" si="61"/>
        <v>0</v>
      </c>
      <c r="F373" s="266">
        <f>+INDEX('Budget original'!$A$2:$AO$501,MATCH($A373,'Budget original'!$A$2:$A$501,0),MATCH(F$2,'Budget original'!$A$2:$AO$2,0))</f>
        <v>0</v>
      </c>
      <c r="G373" s="281"/>
      <c r="H373" s="327"/>
      <c r="I373" s="266"/>
      <c r="J373" s="281">
        <f>-SUMIFS(BV_Data_An_Cour!$AM:$AM,BV_Data_An_Cour!$AS:$AS,"Oui",BV_Data_An_Cour!$AP:$AP,$B373,BV_Data_An_Cour!$AQ:$AQ,$C373)</f>
        <v>41863.679999999993</v>
      </c>
      <c r="K373" s="327">
        <f t="shared" si="55"/>
        <v>0.28743101418699901</v>
      </c>
      <c r="L373" s="266">
        <f>-SUMIFS(BV_Data_An_Cour!$AM:$AM,BV_Data_An_Cour!$AP:$AP,$B373,BV_Data_An_Cour!$AQ:$AQ,$C373,BV_Data_An_Cour!$AR:$AR,$L$2)</f>
        <v>12032.919999999984</v>
      </c>
      <c r="M373" s="282" t="e">
        <f t="shared" si="56"/>
        <v>#DIV/0!</v>
      </c>
      <c r="N373" s="266">
        <f t="shared" si="57"/>
        <v>12032.919999999984</v>
      </c>
      <c r="O373" s="281">
        <f>-SUMIFS(BV_Data_An_Prec!$AM:$AM,BV_Data_An_Prec!$AS:$AS,"Oui",BV_Data_An_Prec!$AP:$AP,$B373,BV_Data_An_Prec!$AQ:$AQ,$C373)</f>
        <v>74831.27999999997</v>
      </c>
      <c r="P373" s="327">
        <f t="shared" si="58"/>
        <v>0.25960440607189905</v>
      </c>
      <c r="Q373" s="266">
        <f>-SUMIFS(BV_Data_An_Prec!$AM:$AM,BV_Data_An_Prec!$AP:$AP,$B373,BV_Data_An_Prec!$AQ:$AQ,$C373,BV_Data_An_Prec!$AR:$AR,$L$2)</f>
        <v>19426.52999999997</v>
      </c>
      <c r="R373" s="282">
        <f t="shared" si="59"/>
        <v>-0.44055908171021518</v>
      </c>
      <c r="S373" s="266">
        <f t="shared" si="60"/>
        <v>-7393.609999999986</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f>+INDEX('Budget original'!$A$2:$AO$501,MATCH($A374,'Budget original'!$A$2:$A$501,0),MATCH(D$2,'Budget original'!$A$2:$AO$2,0))</f>
        <v>0</v>
      </c>
      <c r="E374" s="327">
        <f t="shared" si="61"/>
        <v>0</v>
      </c>
      <c r="F374" s="266">
        <f>+INDEX('Budget original'!$A$2:$AO$501,MATCH($A374,'Budget original'!$A$2:$A$501,0),MATCH(F$2,'Budget original'!$A$2:$AO$2,0))</f>
        <v>0</v>
      </c>
      <c r="G374" s="281"/>
      <c r="H374" s="327"/>
      <c r="I374" s="266"/>
      <c r="J374" s="281">
        <f>-SUMIFS(BV_Data_An_Cour!$AM:$AM,BV_Data_An_Cour!$AS:$AS,"Oui",BV_Data_An_Cour!$AP:$AP,$B374,BV_Data_An_Cour!$AQ:$AQ,$C374)</f>
        <v>40502.950000000012</v>
      </c>
      <c r="K374" s="327">
        <f t="shared" si="55"/>
        <v>0.28236832131980499</v>
      </c>
      <c r="L374" s="266">
        <f>-SUMIFS(BV_Data_An_Cour!$AM:$AM,BV_Data_An_Cour!$AP:$AP,$B374,BV_Data_An_Cour!$AQ:$AQ,$C374,BV_Data_An_Cour!$AR:$AR,$L$2)</f>
        <v>11436.75</v>
      </c>
      <c r="M374" s="282" t="e">
        <f t="shared" si="56"/>
        <v>#DIV/0!</v>
      </c>
      <c r="N374" s="266">
        <f t="shared" si="57"/>
        <v>11436.75</v>
      </c>
      <c r="O374" s="281">
        <f>-SUMIFS(BV_Data_An_Prec!$AM:$AM,BV_Data_An_Prec!$AS:$AS,"Oui",BV_Data_An_Prec!$AP:$AP,$B374,BV_Data_An_Prec!$AQ:$AQ,$C374)</f>
        <v>46742.559999999998</v>
      </c>
      <c r="P374" s="327">
        <f t="shared" si="58"/>
        <v>0.28256817769501757</v>
      </c>
      <c r="Q374" s="266">
        <f>-SUMIFS(BV_Data_An_Prec!$AM:$AM,BV_Data_An_Prec!$AP:$AP,$B374,BV_Data_An_Prec!$AQ:$AQ,$C374,BV_Data_An_Prec!$AR:$AR,$L$2)</f>
        <v>13207.960000000021</v>
      </c>
      <c r="R374" s="282">
        <f t="shared" si="59"/>
        <v>-0.13348883758185232</v>
      </c>
      <c r="S374" s="266">
        <f t="shared" si="60"/>
        <v>-1771.210000000021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f>+INDEX('Budget original'!$A$2:$AO$501,MATCH($A375,'Budget original'!$A$2:$A$501,0),MATCH(D$2,'Budget original'!$A$2:$AO$2,0))</f>
        <v>0</v>
      </c>
      <c r="E375" s="327">
        <f t="shared" si="61"/>
        <v>0</v>
      </c>
      <c r="F375" s="266">
        <f>+INDEX('Budget original'!$A$2:$AO$501,MATCH($A375,'Budget original'!$A$2:$A$501,0),MATCH(F$2,'Budget original'!$A$2:$AO$2,0))</f>
        <v>0</v>
      </c>
      <c r="G375" s="281"/>
      <c r="H375" s="327"/>
      <c r="I375" s="266"/>
      <c r="J375" s="281">
        <f>-SUMIFS(BV_Data_An_Cour!$AM:$AM,BV_Data_An_Cour!$AS:$AS,"Oui",BV_Data_An_Cour!$AP:$AP,$B375,BV_Data_An_Cour!$AQ:$AQ,$C375)</f>
        <v>31930.489999999991</v>
      </c>
      <c r="K375" s="327">
        <f t="shared" si="55"/>
        <v>0.2372948238501813</v>
      </c>
      <c r="L375" s="266">
        <f>-SUMIFS(BV_Data_An_Cour!$AM:$AM,BV_Data_An_Cour!$AP:$AP,$B375,BV_Data_An_Cour!$AQ:$AQ,$C375,BV_Data_An_Cour!$AR:$AR,$L$2)</f>
        <v>7576.9399999999732</v>
      </c>
      <c r="M375" s="282" t="e">
        <f t="shared" si="56"/>
        <v>#DIV/0!</v>
      </c>
      <c r="N375" s="266">
        <f t="shared" si="57"/>
        <v>7576.9399999999732</v>
      </c>
      <c r="O375" s="281">
        <f>-SUMIFS(BV_Data_An_Prec!$AM:$AM,BV_Data_An_Prec!$AS:$AS,"Oui",BV_Data_An_Prec!$AP:$AP,$B375,BV_Data_An_Prec!$AQ:$AQ,$C375)</f>
        <v>29061.130000000005</v>
      </c>
      <c r="P375" s="327">
        <f t="shared" si="58"/>
        <v>0.27300314887962124</v>
      </c>
      <c r="Q375" s="266">
        <f>-SUMIFS(BV_Data_An_Prec!$AM:$AM,BV_Data_An_Prec!$AP:$AP,$B375,BV_Data_An_Prec!$AQ:$AQ,$C375,BV_Data_An_Prec!$AR:$AR,$L$2)</f>
        <v>7933.7800000000279</v>
      </c>
      <c r="R375" s="282">
        <f t="shared" si="59"/>
        <v>9.873532102846605E-2</v>
      </c>
      <c r="S375" s="266">
        <f t="shared" si="60"/>
        <v>-356.84000000005472</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f>+INDEX('Budget original'!$A$2:$AO$501,MATCH($A376,'Budget original'!$A$2:$A$501,0),MATCH(D$2,'Budget original'!$A$2:$AO$2,0))</f>
        <v>0</v>
      </c>
      <c r="E376" s="327">
        <f t="shared" si="61"/>
        <v>0</v>
      </c>
      <c r="F376" s="266">
        <f>+INDEX('Budget original'!$A$2:$AO$501,MATCH($A376,'Budget original'!$A$2:$A$501,0),MATCH(F$2,'Budget original'!$A$2:$AO$2,0))</f>
        <v>0</v>
      </c>
      <c r="G376" s="281"/>
      <c r="H376" s="327"/>
      <c r="I376" s="266"/>
      <c r="J376" s="281">
        <f>-SUMIFS(BV_Data_An_Cour!$AM:$AM,BV_Data_An_Cour!$AS:$AS,"Oui",BV_Data_An_Cour!$AP:$AP,$B376,BV_Data_An_Cour!$AQ:$AQ,$C376)</f>
        <v>147838.78000000003</v>
      </c>
      <c r="K376" s="327">
        <f t="shared" si="55"/>
        <v>0.20026923923479381</v>
      </c>
      <c r="L376" s="266">
        <f>-SUMIFS(BV_Data_An_Cour!$AM:$AM,BV_Data_An_Cour!$AP:$AP,$B376,BV_Data_An_Cour!$AQ:$AQ,$C376,BV_Data_An_Cour!$AR:$AR,$L$2)</f>
        <v>29607.560000000056</v>
      </c>
      <c r="M376" s="282" t="e">
        <f t="shared" si="56"/>
        <v>#DIV/0!</v>
      </c>
      <c r="N376" s="266">
        <f t="shared" si="57"/>
        <v>29607.560000000056</v>
      </c>
      <c r="O376" s="281">
        <f>-SUMIFS(BV_Data_An_Prec!$AM:$AM,BV_Data_An_Prec!$AS:$AS,"Oui",BV_Data_An_Prec!$AP:$AP,$B376,BV_Data_An_Prec!$AQ:$AQ,$C376)</f>
        <v>193176.41999999993</v>
      </c>
      <c r="P376" s="327">
        <f t="shared" si="58"/>
        <v>0.22594149948528836</v>
      </c>
      <c r="Q376" s="266">
        <f>-SUMIFS(BV_Data_An_Prec!$AM:$AM,BV_Data_An_Prec!$AP:$AP,$B376,BV_Data_An_Prec!$AQ:$AQ,$C376,BV_Data_An_Prec!$AR:$AR,$L$2)</f>
        <v>43646.569999999832</v>
      </c>
      <c r="R376" s="282">
        <f t="shared" si="59"/>
        <v>-0.23469551822111578</v>
      </c>
      <c r="S376" s="266">
        <f t="shared" si="60"/>
        <v>-14039.009999999776</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f>+INDEX('Budget original'!$A$2:$AO$501,MATCH($A377,'Budget original'!$A$2:$A$501,0),MATCH(D$2,'Budget original'!$A$2:$AO$2,0))</f>
        <v>0</v>
      </c>
      <c r="E377" s="327">
        <f>IF(D377=0,0,F377/D377)</f>
        <v>0</v>
      </c>
      <c r="F377" s="266">
        <f>+INDEX('Budget original'!$A$2:$AO$501,MATCH($A377,'Budget original'!$A$2:$A$501,0),MATCH(F$2,'Budget original'!$A$2:$AO$2,0))</f>
        <v>0</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#DIV/0!</v>
      </c>
      <c r="N377" s="266">
        <f t="shared" si="57"/>
        <v>0</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f>+INDEX('Budget original'!$A$2:$AO$501,MATCH($A378,'Budget original'!$A$2:$A$501,0),MATCH(D$2,'Budget original'!$A$2:$AO$2,0))</f>
        <v>0</v>
      </c>
      <c r="E378" s="327">
        <f t="shared" si="61"/>
        <v>0</v>
      </c>
      <c r="F378" s="266">
        <f>+INDEX('Budget original'!$A$2:$AO$501,MATCH($A378,'Budget original'!$A$2:$A$501,0),MATCH(F$2,'Budget original'!$A$2:$AO$2,0))</f>
        <v>0</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4523.4400000000023</v>
      </c>
      <c r="M378" s="282"/>
      <c r="N378" s="266">
        <f t="shared" si="57"/>
        <v>4523.4400000000023</v>
      </c>
      <c r="O378" s="281">
        <f>-SUMIFS(BV_Data_An_Prec!$AM:$AM,BV_Data_An_Prec!$AS:$AS,"Oui",BV_Data_An_Prec!$AP:$AP,$B378,BV_Data_An_Prec!$AQ:$AQ,$C378)</f>
        <v>0</v>
      </c>
      <c r="P378" s="327">
        <f t="shared" si="58"/>
        <v>0</v>
      </c>
      <c r="Q378" s="266">
        <f>-SUMIFS(BV_Data_An_Prec!$AM:$AM,BV_Data_An_Prec!$AP:$AP,$B378,BV_Data_An_Prec!$AQ:$AQ,$C378,BV_Data_An_Prec!$AR:$AR,$L$2)</f>
        <v>3667.8800000000047</v>
      </c>
      <c r="R378" s="282">
        <f t="shared" si="59"/>
        <v>0</v>
      </c>
      <c r="S378" s="266">
        <f t="shared" si="60"/>
        <v>855.55999999999767</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f>+INDEX('Budget original'!$A$2:$AO$501,MATCH($A379,'Budget original'!$A$2:$A$501,0),MATCH(D$2,'Budget original'!$A$2:$AO$2,0))</f>
        <v>0</v>
      </c>
      <c r="E379" s="327">
        <f t="shared" si="61"/>
        <v>0</v>
      </c>
      <c r="F379" s="266">
        <f>+INDEX('Budget original'!$A$2:$AO$501,MATCH($A379,'Budget original'!$A$2:$A$501,0),MATCH(F$2,'Budget original'!$A$2:$AO$2,0))</f>
        <v>0</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3276.6499999999996</v>
      </c>
      <c r="M379" s="282"/>
      <c r="N379" s="266">
        <f t="shared" si="57"/>
        <v>3276.6499999999996</v>
      </c>
      <c r="O379" s="281">
        <f>-SUMIFS(BV_Data_An_Prec!$AM:$AM,BV_Data_An_Prec!$AS:$AS,"Oui",BV_Data_An_Prec!$AP:$AP,$B379,BV_Data_An_Prec!$AQ:$AQ,$C379)</f>
        <v>0</v>
      </c>
      <c r="P379" s="327">
        <f t="shared" si="58"/>
        <v>0</v>
      </c>
      <c r="Q379" s="266">
        <f>-SUMIFS(BV_Data_An_Prec!$AM:$AM,BV_Data_An_Prec!$AP:$AP,$B379,BV_Data_An_Prec!$AQ:$AQ,$C379,BV_Data_An_Prec!$AR:$AR,$L$2)</f>
        <v>744.02999999999884</v>
      </c>
      <c r="R379" s="282">
        <f t="shared" si="59"/>
        <v>0</v>
      </c>
      <c r="S379" s="266">
        <f t="shared" si="60"/>
        <v>2532.6200000000008</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f>SUM(D371:D379)</f>
        <v>0</v>
      </c>
      <c r="E380" s="370">
        <f>IF(D380&lt;=0,0,F380/D380)</f>
        <v>0</v>
      </c>
      <c r="F380" s="356">
        <f>SUM(F371:F379)</f>
        <v>0</v>
      </c>
      <c r="G380" s="355"/>
      <c r="H380" s="370"/>
      <c r="I380" s="356"/>
      <c r="J380" s="355">
        <f t="shared" ref="J380" si="62">SUM(J371:J379)</f>
        <v>321980.45</v>
      </c>
      <c r="K380" s="370">
        <f t="shared" si="55"/>
        <v>0.27659797357261895</v>
      </c>
      <c r="L380" s="356">
        <f>SUM(L371:L379)</f>
        <v>89059.139999999956</v>
      </c>
      <c r="M380" s="371" t="e">
        <f>(+J380-D380)/D380</f>
        <v>#DIV/0!</v>
      </c>
      <c r="N380" s="356">
        <f t="shared" si="57"/>
        <v>89059.139999999956</v>
      </c>
      <c r="O380" s="355">
        <f t="shared" ref="O380" si="63">SUM(O371:O379)</f>
        <v>398094.03999999992</v>
      </c>
      <c r="P380" s="370">
        <f t="shared" si="58"/>
        <v>0.27737333118576685</v>
      </c>
      <c r="Q380" s="356">
        <f>SUM(Q371:Q379)</f>
        <v>110420.6699999999</v>
      </c>
      <c r="R380" s="371">
        <f t="shared" si="59"/>
        <v>-0.19119500005576553</v>
      </c>
      <c r="S380" s="356">
        <f t="shared" si="60"/>
        <v>-21361.529999999941</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#DIV/0!</v>
      </c>
      <c r="O381" s="267"/>
      <c r="P381" s="38"/>
      <c r="Q381" s="266"/>
      <c r="R381" s="243"/>
      <c r="S381" s="255">
        <f>IF(Q380=0,0,S380/Q380)</f>
        <v>-0.19345589915366354</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f>+INDEX('Budget original'!$A$2:$AO$501,MATCH($A383,'Budget original'!$A$2:$A$501,0),MATCH(D$2,'Budget original'!$A$2:$AO$2,0))</f>
        <v>0</v>
      </c>
      <c r="E383" s="327">
        <f>IF(D383=0,0,F383/D383)</f>
        <v>0</v>
      </c>
      <c r="F383" s="303">
        <f>+INDEX('Budget original'!$A$2:$AO$501,MATCH($A383,'Budget original'!$A$2:$A$501,0),MATCH(F$2,'Budget original'!$A$2:$AO$2,0))</f>
        <v>0</v>
      </c>
      <c r="G383" s="281"/>
      <c r="H383" s="327"/>
      <c r="I383" s="303"/>
      <c r="J383" s="281">
        <f>-SUMIFS(BV_Data_An_Cour!$AM:$AM,BV_Data_An_Cour!$AS:$AS,"Oui",BV_Data_An_Cour!$AP:$AP,$B383,BV_Data_An_Cour!$AQ:$AQ,$C383)</f>
        <v>39663.960000000021</v>
      </c>
      <c r="K383" s="327">
        <f t="shared" ref="K383:K385" si="64">IF(J383&lt;=0,0,L383/J383)</f>
        <v>8.6316141908170843E-2</v>
      </c>
      <c r="L383" s="303">
        <f>-SUMIFS(BV_Data_An_Cour!$AM:$AM,BV_Data_An_Cour!$AP:$AP,$B383,BV_Data_An_Cour!$AQ:$AQ,$C383,BV_Data_An_Cour!$AR:$AR,$L$2)</f>
        <v>3423.640000000014</v>
      </c>
      <c r="M383" s="282" t="e">
        <f>(+J383-D383)/D383</f>
        <v>#DIV/0!</v>
      </c>
      <c r="N383" s="266">
        <f>L383-F383</f>
        <v>3423.640000000014</v>
      </c>
      <c r="O383" s="281">
        <f>-SUMIFS(BV_Data_An_Prec!$AM:$AM,BV_Data_An_Prec!$AS:$AS,"Oui",BV_Data_An_Prec!$AP:$AP,$B383,BV_Data_An_Prec!$AQ:$AQ,$C383)</f>
        <v>20398.25</v>
      </c>
      <c r="P383" s="327">
        <f t="shared" ref="P383:P385" si="65">IF(O383&lt;=0,0,Q383/O383)</f>
        <v>0.10841714362751727</v>
      </c>
      <c r="Q383" s="303">
        <f>-SUMIFS(BV_Data_An_Prec!$AM:$AM,BV_Data_An_Prec!$AP:$AP,$B383,BV_Data_An_Prec!$AQ:$AQ,$C383,BV_Data_An_Prec!$AR:$AR,$L$2)</f>
        <v>2211.5200000000041</v>
      </c>
      <c r="R383" s="282">
        <f t="shared" ref="R383:R385" si="66">IF(O383=0,0,(J383-O383)/O383)</f>
        <v>0.94447857046560468</v>
      </c>
      <c r="S383" s="266">
        <f t="shared" ref="S383:S385" si="67">L383-Q383</f>
        <v>1212.1200000000099</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f>+INDEX('Budget original'!$A$2:$AO$501,MATCH($A384,'Budget original'!$A$2:$A$501,0),MATCH(D$2,'Budget original'!$A$2:$AO$2,0))</f>
        <v>0</v>
      </c>
      <c r="E384" s="327">
        <f>IF(D384=0,0,F384/D384)</f>
        <v>0</v>
      </c>
      <c r="F384" s="286">
        <f>+INDEX('Budget original'!$A$2:$AO$501,MATCH($A384,'Budget original'!$A$2:$A$501,0),MATCH(F$2,'Budget original'!$A$2:$AO$2,0))</f>
        <v>0</v>
      </c>
      <c r="G384" s="281"/>
      <c r="H384" s="327"/>
      <c r="I384" s="286"/>
      <c r="J384" s="281">
        <f>-SUMIFS(BV_Data_An_Cour!$AM:$AM,BV_Data_An_Cour!$AS:$AS,"Oui",BV_Data_An_Cour!$AP:$AP,$B384,BV_Data_An_Cour!$AQ:$AQ,$C384)</f>
        <v>13668.600000000006</v>
      </c>
      <c r="K384" s="327">
        <f t="shared" si="64"/>
        <v>0.23740909822512923</v>
      </c>
      <c r="L384" s="286">
        <f>-SUMIFS(BV_Data_An_Cour!$AM:$AM,BV_Data_An_Cour!$AP:$AP,$B384,BV_Data_An_Cour!$AQ:$AQ,$C384,BV_Data_An_Cour!$AR:$AR,$L$2)</f>
        <v>3245.0500000000029</v>
      </c>
      <c r="M384" s="282" t="e">
        <f>(+J384-D384)/D384</f>
        <v>#DIV/0!</v>
      </c>
      <c r="N384" s="266">
        <f>L384-F384</f>
        <v>3245.0500000000029</v>
      </c>
      <c r="O384" s="281">
        <f>-SUMIFS(BV_Data_An_Prec!$AM:$AM,BV_Data_An_Prec!$AS:$AS,"Oui",BV_Data_An_Prec!$AP:$AP,$B384,BV_Data_An_Prec!$AQ:$AQ,$C384)</f>
        <v>12049.909999999996</v>
      </c>
      <c r="P384" s="327">
        <f t="shared" si="65"/>
        <v>0.28795484779554331</v>
      </c>
      <c r="Q384" s="286">
        <f>-SUMIFS(BV_Data_An_Prec!$AM:$AM,BV_Data_An_Prec!$AP:$AP,$B384,BV_Data_An_Prec!$AQ:$AQ,$C384,BV_Data_An_Prec!$AR:$AR,$L$2)</f>
        <v>3469.8299999999945</v>
      </c>
      <c r="R384" s="282">
        <f t="shared" si="66"/>
        <v>0.13433212364241809</v>
      </c>
      <c r="S384" s="266">
        <f t="shared" si="67"/>
        <v>-224.77999999999156</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f>D380+D383+D384</f>
        <v>0</v>
      </c>
      <c r="E385" s="370">
        <f>IF(D385&lt;=0,0,F385/D385)</f>
        <v>0</v>
      </c>
      <c r="F385" s="356">
        <f>F380+F383+F384</f>
        <v>0</v>
      </c>
      <c r="G385" s="357"/>
      <c r="H385" s="370"/>
      <c r="I385" s="356"/>
      <c r="J385" s="357">
        <f t="shared" ref="J385" si="68">J380+J383+J384</f>
        <v>375313.01</v>
      </c>
      <c r="K385" s="370">
        <f t="shared" si="64"/>
        <v>0.25506131535381621</v>
      </c>
      <c r="L385" s="356">
        <f>L380+L383+L384</f>
        <v>95727.829999999973</v>
      </c>
      <c r="M385" s="371" t="e">
        <f>(+J385-D385)/D385</f>
        <v>#DIV/0!</v>
      </c>
      <c r="N385" s="356">
        <f>L385-F385</f>
        <v>95727.829999999973</v>
      </c>
      <c r="O385" s="357">
        <f t="shared" ref="O385" si="69">O380+O383+O384</f>
        <v>430542.1999999999</v>
      </c>
      <c r="P385" s="370">
        <f t="shared" si="65"/>
        <v>0.26966466934019462</v>
      </c>
      <c r="Q385" s="356">
        <f>Q380+Q383+Q384</f>
        <v>116102.0199999999</v>
      </c>
      <c r="R385" s="371">
        <f t="shared" si="66"/>
        <v>-0.12827822684977197</v>
      </c>
      <c r="S385" s="356">
        <f t="shared" si="67"/>
        <v>-20374.18999999993</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#DIV/0!</v>
      </c>
      <c r="O386" s="267"/>
      <c r="P386" s="38"/>
      <c r="Q386" s="266"/>
      <c r="R386" s="243"/>
      <c r="S386" s="343">
        <f>IF(Q385=0,0,S385/Q385)</f>
        <v>-0.17548523272893915</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f>+INDEX('Budget original'!$A$2:$AO$501,MATCH($A388,'Budget original'!$A$2:$A$501,0),MATCH(D$2,'Budget original'!$A$2:$AO$2,0))</f>
        <v>0</v>
      </c>
      <c r="E388" s="328">
        <f>IF(D388=0,0,F388/D388)</f>
        <v>0</v>
      </c>
      <c r="F388" s="286">
        <f>+INDEX('Budget original'!$A$2:$AO$501,MATCH($A388,'Budget original'!$A$2:$A$501,0),MATCH(F$2,'Budget original'!$A$2:$AO$2,0))</f>
        <v>0</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f>IF(F388=0,0,(+L388-F388)/F388)</f>
        <v>0</v>
      </c>
      <c r="N388" s="286">
        <f>L388-F388</f>
        <v>0</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f>D385+D388</f>
        <v>0</v>
      </c>
      <c r="E390" s="270">
        <f>IF(D390&lt;=0,0,F390/D390)</f>
        <v>0</v>
      </c>
      <c r="F390" s="271">
        <f>F385+F388</f>
        <v>0</v>
      </c>
      <c r="G390" s="272"/>
      <c r="H390" s="270"/>
      <c r="I390" s="271"/>
      <c r="J390" s="272">
        <f>J385+J388</f>
        <v>375313.01</v>
      </c>
      <c r="K390" s="373">
        <f>IF(J390&lt;=0,0,L390/J390)</f>
        <v>0.25506131535381621</v>
      </c>
      <c r="L390" s="271">
        <f>L385+L388</f>
        <v>95727.829999999973</v>
      </c>
      <c r="M390" s="272" t="e">
        <f>(+J390-D390)/D390</f>
        <v>#DIV/0!</v>
      </c>
      <c r="N390" s="271">
        <f>L390-F390</f>
        <v>95727.829999999973</v>
      </c>
      <c r="O390" s="272">
        <f t="shared" ref="O390" si="70">O385+O388</f>
        <v>430542.1999999999</v>
      </c>
      <c r="P390" s="373">
        <f>IF(O390&lt;=0,0,Q390/O390)</f>
        <v>0.26966466934019462</v>
      </c>
      <c r="Q390" s="271">
        <f>Q385+Q388</f>
        <v>116102.0199999999</v>
      </c>
      <c r="R390" s="363">
        <f>IF(O390=0,0,(J390-O390)/O390)</f>
        <v>-0.12827822684977197</v>
      </c>
      <c r="S390" s="271">
        <f>L390-Q390</f>
        <v>-20374.18999999993</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-0.17548523272893915</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f>+INDEX('Budget original'!$A$2:$AO$501,MATCH($A394,'Budget original'!$A$2:$A$501,0),MATCH(F$2,'Budget original'!$A$2:$AO$2,0))</f>
        <v>0</v>
      </c>
      <c r="G394" s="243"/>
      <c r="H394" s="38"/>
      <c r="I394" s="244"/>
      <c r="J394" s="243"/>
      <c r="K394" s="38"/>
      <c r="L394" s="266">
        <f>SUMIFS(BV_Data_An_Cour!$AM:$AM,BV_Data_An_Cour!$AP:$AP,$B394,BV_Data_An_Cour!$AQ:$AQ,$C394,BV_Data_An_Cour!$AR:$AR,$L$2)</f>
        <v>3651.4500000000007</v>
      </c>
      <c r="M394" s="243"/>
      <c r="N394" s="246">
        <f t="shared" ref="N394:N424" si="71">L394-F394</f>
        <v>3651.4500000000007</v>
      </c>
      <c r="O394" s="243"/>
      <c r="P394" s="38"/>
      <c r="Q394" s="266">
        <f>SUMIFS(BV_Data_An_Prec!$AM:$AM,BV_Data_An_Prec!$AP:$AP,$B394,BV_Data_An_Prec!$AQ:$AQ,$C394,BV_Data_An_Prec!$AR:$AR,$L$2)</f>
        <v>-3302.119999999999</v>
      </c>
      <c r="R394" s="243"/>
      <c r="S394" s="266">
        <f t="shared" ref="S394:S424" si="72">L394-Q394</f>
        <v>6953.57</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f>+INDEX('Budget original'!$A$2:$AO$501,MATCH($A395,'Budget original'!$A$2:$A$501,0),MATCH(F$2,'Budget original'!$A$2:$AO$2,0))</f>
        <v>0</v>
      </c>
      <c r="G395" s="288"/>
      <c r="H395" s="38"/>
      <c r="I395" s="240"/>
      <c r="J395" s="243"/>
      <c r="K395" s="38"/>
      <c r="L395" s="266">
        <f>SUMIFS(BV_Data_An_Cour!$AM:$AM,BV_Data_An_Cour!$AP:$AP,$B395,BV_Data_An_Cour!$AQ:$AQ,$C395,BV_Data_An_Cour!$AR:$AR,$L$2)</f>
        <v>1521.3900000000031</v>
      </c>
      <c r="M395" s="243"/>
      <c r="N395" s="246">
        <f t="shared" si="71"/>
        <v>1521.3900000000031</v>
      </c>
      <c r="O395" s="243"/>
      <c r="P395" s="38"/>
      <c r="Q395" s="266">
        <f>SUMIFS(BV_Data_An_Prec!$AM:$AM,BV_Data_An_Prec!$AP:$AP,$B395,BV_Data_An_Prec!$AQ:$AQ,$C395,BV_Data_An_Prec!$AR:$AR,$L$2)</f>
        <v>3258.5399999999972</v>
      </c>
      <c r="R395" s="243"/>
      <c r="S395" s="266">
        <f t="shared" si="72"/>
        <v>-1737.1499999999942</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f>+INDEX('Budget original'!$A$2:$AO$501,MATCH($A396,'Budget original'!$A$2:$A$501,0),MATCH(F$2,'Budget original'!$A$2:$AO$2,0))</f>
        <v>0</v>
      </c>
      <c r="G396" s="302"/>
      <c r="H396" s="301"/>
      <c r="I396" s="244"/>
      <c r="J396" s="233"/>
      <c r="K396" s="301"/>
      <c r="L396" s="303">
        <f>SUMIFS(BV_Data_An_Cour!$AM:$AM,BV_Data_An_Cour!$AP:$AP,$B396,BV_Data_An_Cour!$AQ:$AQ,$C396,BV_Data_An_Cour!$AR:$AR,$L$2)</f>
        <v>7870.5900000000256</v>
      </c>
      <c r="M396" s="233"/>
      <c r="N396" s="262">
        <f t="shared" si="71"/>
        <v>7870.5900000000256</v>
      </c>
      <c r="O396" s="233"/>
      <c r="P396" s="301"/>
      <c r="Q396" s="303">
        <f>SUMIFS(BV_Data_An_Prec!$AM:$AM,BV_Data_An_Prec!$AP:$AP,$B396,BV_Data_An_Prec!$AQ:$AQ,$C396,BV_Data_An_Prec!$AR:$AR,$L$2)</f>
        <v>21239.360000000015</v>
      </c>
      <c r="R396" s="233"/>
      <c r="S396" s="303">
        <f t="shared" si="72"/>
        <v>-13368.76999999999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f>+INDEX('Budget original'!$A$2:$AO$501,MATCH($A397,'Budget original'!$A$2:$A$501,0),MATCH(F$2,'Budget original'!$A$2:$AO$2,0))</f>
        <v>0</v>
      </c>
      <c r="G397" s="288"/>
      <c r="H397" s="38"/>
      <c r="I397" s="244"/>
      <c r="J397" s="243"/>
      <c r="K397" s="38"/>
      <c r="L397" s="266">
        <f>SUMIFS(BV_Data_An_Cour!$AM:$AM,BV_Data_An_Cour!$AP:$AP,$B397,BV_Data_An_Cour!$AQ:$AQ,$C397,BV_Data_An_Cour!$AR:$AR,$L$2)</f>
        <v>0</v>
      </c>
      <c r="M397" s="243"/>
      <c r="N397" s="246">
        <f t="shared" si="71"/>
        <v>0</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f>+INDEX('Budget original'!$A$2:$AO$501,MATCH($A398,'Budget original'!$A$2:$A$501,0),MATCH(F$2,'Budget original'!$A$2:$AO$2,0))</f>
        <v>0</v>
      </c>
      <c r="G398" s="288"/>
      <c r="H398" s="38"/>
      <c r="I398" s="244"/>
      <c r="J398" s="243"/>
      <c r="K398" s="38"/>
      <c r="L398" s="266">
        <f>SUMIFS(BV_Data_An_Cour!$AM:$AM,BV_Data_An_Cour!$AP:$AP,$B398,BV_Data_An_Cour!$AQ:$AQ,$C398,BV_Data_An_Cour!$AR:$AR,$L$2)</f>
        <v>0</v>
      </c>
      <c r="M398" s="243"/>
      <c r="N398" s="246">
        <f t="shared" si="71"/>
        <v>0</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f>+INDEX('Budget original'!$A$2:$AO$501,MATCH($A399,'Budget original'!$A$2:$A$501,0),MATCH(F$2,'Budget original'!$A$2:$AO$2,0))</f>
        <v>0</v>
      </c>
      <c r="G399" s="288"/>
      <c r="H399" s="38"/>
      <c r="I399" s="244"/>
      <c r="J399" s="243"/>
      <c r="K399" s="38"/>
      <c r="L399" s="266">
        <f>SUMIFS(BV_Data_An_Cour!$AM:$AM,BV_Data_An_Cour!$AP:$AP,$B399,BV_Data_An_Cour!$AQ:$AQ,$C399,BV_Data_An_Cour!$AR:$AR,$L$2)</f>
        <v>0</v>
      </c>
      <c r="M399" s="243"/>
      <c r="N399" s="246">
        <f t="shared" si="71"/>
        <v>0</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f>+INDEX('Budget original'!$A$2:$AO$501,MATCH($A400,'Budget original'!$A$2:$A$501,0),MATCH(F$2,'Budget original'!$A$2:$AO$2,0))</f>
        <v>0</v>
      </c>
      <c r="G400" s="288"/>
      <c r="H400" s="38"/>
      <c r="I400" s="244"/>
      <c r="J400" s="243"/>
      <c r="K400" s="38"/>
      <c r="L400" s="266">
        <f>SUMIFS(BV_Data_An_Cour!$AM:$AM,BV_Data_An_Cour!$AP:$AP,$B400,BV_Data_An_Cour!$AQ:$AQ,$C400,BV_Data_An_Cour!$AR:$AR,$L$2)</f>
        <v>0</v>
      </c>
      <c r="M400" s="243"/>
      <c r="N400" s="246">
        <f t="shared" si="71"/>
        <v>0</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f>+INDEX('Budget original'!$A$2:$AO$501,MATCH($A401,'Budget original'!$A$2:$A$501,0),MATCH(F$2,'Budget original'!$A$2:$AO$2,0))</f>
        <v>0</v>
      </c>
      <c r="G401" s="288"/>
      <c r="H401" s="38"/>
      <c r="I401" s="240"/>
      <c r="J401" s="243"/>
      <c r="K401" s="38"/>
      <c r="L401" s="266">
        <f>SUMIFS(BV_Data_An_Cour!$AM:$AM,BV_Data_An_Cour!$AP:$AP,$B401,BV_Data_An_Cour!$AQ:$AQ,$C401,BV_Data_An_Cour!$AR:$AR,$L$2)</f>
        <v>2054.8600000000006</v>
      </c>
      <c r="M401" s="243"/>
      <c r="N401" s="246">
        <f t="shared" si="71"/>
        <v>2054.8600000000006</v>
      </c>
      <c r="O401" s="243"/>
      <c r="P401" s="38"/>
      <c r="Q401" s="266">
        <f>SUMIFS(BV_Data_An_Prec!$AM:$AM,BV_Data_An_Prec!$AP:$AP,$B401,BV_Data_An_Prec!$AQ:$AQ,$C401,BV_Data_An_Prec!$AR:$AR,$L$2)</f>
        <v>2683.9300000000003</v>
      </c>
      <c r="R401" s="243"/>
      <c r="S401" s="266">
        <f t="shared" si="72"/>
        <v>-629.06999999999971</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f>+INDEX('Budget original'!$A$2:$AO$501,MATCH($A402,'Budget original'!$A$2:$A$501,0),MATCH(F$2,'Budget original'!$A$2:$AO$2,0))</f>
        <v>0</v>
      </c>
      <c r="G402" s="302"/>
      <c r="H402" s="301"/>
      <c r="I402" s="244"/>
      <c r="J402" s="233"/>
      <c r="K402" s="301"/>
      <c r="L402" s="303">
        <f>SUMIFS(BV_Data_An_Cour!$AM:$AM,BV_Data_An_Cour!$AP:$AP,$B402,BV_Data_An_Cour!$AQ:$AQ,$C402,BV_Data_An_Cour!$AR:$AR,$L$2)</f>
        <v>1696.1899999999987</v>
      </c>
      <c r="M402" s="233"/>
      <c r="N402" s="262">
        <f t="shared" si="71"/>
        <v>1696.1899999999987</v>
      </c>
      <c r="O402" s="233"/>
      <c r="P402" s="301"/>
      <c r="Q402" s="303">
        <f>SUMIFS(BV_Data_An_Prec!$AM:$AM,BV_Data_An_Prec!$AP:$AP,$B402,BV_Data_An_Prec!$AQ:$AQ,$C402,BV_Data_An_Prec!$AR:$AR,$L$2)</f>
        <v>2841.1700000000019</v>
      </c>
      <c r="R402" s="233"/>
      <c r="S402" s="303">
        <f t="shared" si="72"/>
        <v>-1144.9800000000032</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f>+INDEX('Budget original'!$A$2:$AO$501,MATCH($A403,'Budget original'!$A$2:$A$501,0),MATCH(F$2,'Budget original'!$A$2:$AO$2,0))</f>
        <v>0</v>
      </c>
      <c r="G403" s="288"/>
      <c r="H403" s="38"/>
      <c r="I403" s="244"/>
      <c r="J403" s="243"/>
      <c r="K403" s="38"/>
      <c r="L403" s="266">
        <f>SUMIFS(BV_Data_An_Cour!$AM:$AM,BV_Data_An_Cour!$AP:$AP,$B403,BV_Data_An_Cour!$AQ:$AQ,$C403,BV_Data_An_Cour!$AR:$AR,$L$2)</f>
        <v>156.69999999999982</v>
      </c>
      <c r="M403" s="243"/>
      <c r="N403" s="246">
        <f t="shared" si="71"/>
        <v>156.69999999999982</v>
      </c>
      <c r="O403" s="243"/>
      <c r="P403" s="38"/>
      <c r="Q403" s="266">
        <f>SUMIFS(BV_Data_An_Prec!$AM:$AM,BV_Data_An_Prec!$AP:$AP,$B403,BV_Data_An_Prec!$AQ:$AQ,$C403,BV_Data_An_Prec!$AR:$AR,$L$2)</f>
        <v>1458.3100000000013</v>
      </c>
      <c r="R403" s="243"/>
      <c r="S403" s="266">
        <f t="shared" si="72"/>
        <v>-1301.6100000000015</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f>+INDEX('Budget original'!$A$2:$AO$501,MATCH($A404,'Budget original'!$A$2:$A$501,0),MATCH(F$2,'Budget original'!$A$2:$AO$2,0))</f>
        <v>0</v>
      </c>
      <c r="G404" s="288"/>
      <c r="H404" s="38"/>
      <c r="I404" s="244"/>
      <c r="J404" s="243"/>
      <c r="K404" s="38"/>
      <c r="L404" s="266">
        <f>SUMIFS(BV_Data_An_Cour!$AM:$AM,BV_Data_An_Cour!$AP:$AP,$B404,BV_Data_An_Cour!$AQ:$AQ,$C404,BV_Data_An_Cour!$AR:$AR,$L$2)</f>
        <v>1160.0199999999995</v>
      </c>
      <c r="M404" s="243"/>
      <c r="N404" s="246">
        <f t="shared" si="71"/>
        <v>1160.0199999999995</v>
      </c>
      <c r="O404" s="243"/>
      <c r="P404" s="38"/>
      <c r="Q404" s="266">
        <f>SUMIFS(BV_Data_An_Prec!$AM:$AM,BV_Data_An_Prec!$AP:$AP,$B404,BV_Data_An_Prec!$AQ:$AQ,$C404,BV_Data_An_Prec!$AR:$AR,$L$2)</f>
        <v>183.27999999999997</v>
      </c>
      <c r="R404" s="243"/>
      <c r="S404" s="266">
        <f t="shared" si="72"/>
        <v>976.73999999999955</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f>+INDEX('Budget original'!$A$2:$AO$501,MATCH($A405,'Budget original'!$A$2:$A$501,0),MATCH(F$2,'Budget original'!$A$2:$AO$2,0))</f>
        <v>0</v>
      </c>
      <c r="G405" s="290"/>
      <c r="H405" s="304"/>
      <c r="I405" s="244"/>
      <c r="J405" s="238"/>
      <c r="K405" s="304"/>
      <c r="L405" s="266">
        <f>SUMIFS(BV_Data_An_Cour!$AM:$AM,BV_Data_An_Cour!$AP:$AP,$B405,BV_Data_An_Cour!$AQ:$AQ,$C405,BV_Data_An_Cour!$AR:$AR,$L$2)</f>
        <v>0</v>
      </c>
      <c r="M405" s="238"/>
      <c r="N405" s="286">
        <f t="shared" si="71"/>
        <v>0</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#DIV/0!</v>
      </c>
      <c r="F406" s="294">
        <f>+SUM(F394:F405)</f>
        <v>0</v>
      </c>
      <c r="G406" s="295"/>
      <c r="H406" s="293"/>
      <c r="I406" s="294"/>
      <c r="J406" s="295" t="s">
        <v>115</v>
      </c>
      <c r="K406" s="293">
        <f>L406/L$390</f>
        <v>0.18919472007252264</v>
      </c>
      <c r="L406" s="294">
        <f>+SUM(L394:L405)</f>
        <v>18111.20000000003</v>
      </c>
      <c r="M406" s="296"/>
      <c r="N406" s="294">
        <f t="shared" si="71"/>
        <v>18111.20000000003</v>
      </c>
      <c r="O406" s="295" t="s">
        <v>115</v>
      </c>
      <c r="P406" s="293">
        <f>Q406/Q$390</f>
        <v>0.24428920358147119</v>
      </c>
      <c r="Q406" s="294">
        <f>+SUM(Q394:Q405)</f>
        <v>28362.470000000016</v>
      </c>
      <c r="R406" s="297"/>
      <c r="S406" s="294">
        <f t="shared" si="72"/>
        <v>-10251.269999999986</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f>+INDEX('Budget original'!$A$2:$AO$501,MATCH($A407,'Budget original'!$A$2:$A$501,0),MATCH(F$2,'Budget original'!$A$2:$AO$2,0))</f>
        <v>0</v>
      </c>
      <c r="G407" s="288"/>
      <c r="H407" s="38"/>
      <c r="I407" s="244"/>
      <c r="J407" s="243"/>
      <c r="K407" s="38"/>
      <c r="L407" s="266">
        <f>SUMIFS(BV_Data_An_Cour!$AM:$AM,BV_Data_An_Cour!$AP:$AP,$B407,BV_Data_An_Cour!$AQ:$AQ,$C407,BV_Data_An_Cour!$AR:$AR,$L$2)</f>
        <v>1238.46</v>
      </c>
      <c r="M407" s="243"/>
      <c r="N407" s="266">
        <f t="shared" si="71"/>
        <v>1238.46</v>
      </c>
      <c r="O407" s="243"/>
      <c r="P407" s="38"/>
      <c r="Q407" s="266">
        <f>SUMIFS(BV_Data_An_Prec!$AM:$AM,BV_Data_An_Prec!$AP:$AP,$B407,BV_Data_An_Prec!$AQ:$AQ,$C407,BV_Data_An_Prec!$AR:$AR,$L$2)</f>
        <v>1774.4299999999989</v>
      </c>
      <c r="R407" s="243"/>
      <c r="S407" s="266">
        <f t="shared" si="72"/>
        <v>-535.96999999999889</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f>+INDEX('Budget original'!$A$2:$AO$501,MATCH($A408,'Budget original'!$A$2:$A$501,0),MATCH(F$2,'Budget original'!$A$2:$AO$2,0))</f>
        <v>0</v>
      </c>
      <c r="G408" s="288"/>
      <c r="H408" s="38"/>
      <c r="I408" s="244"/>
      <c r="J408" s="243"/>
      <c r="K408" s="38"/>
      <c r="L408" s="266">
        <f>SUMIFS(BV_Data_An_Cour!$AM:$AM,BV_Data_An_Cour!$AP:$AP,$B408,BV_Data_An_Cour!$AQ:$AQ,$C408,BV_Data_An_Cour!$AR:$AR,$L$2)</f>
        <v>0</v>
      </c>
      <c r="M408" s="243"/>
      <c r="N408" s="266">
        <f t="shared" si="71"/>
        <v>0</v>
      </c>
      <c r="O408" s="243"/>
      <c r="P408" s="38"/>
      <c r="Q408" s="266">
        <f>SUMIFS(BV_Data_An_Prec!$AM:$AM,BV_Data_An_Prec!$AP:$AP,$B408,BV_Data_An_Prec!$AQ:$AQ,$C408,BV_Data_An_Prec!$AR:$AR,$L$2)</f>
        <v>1040.5000000000002</v>
      </c>
      <c r="R408" s="243"/>
      <c r="S408" s="266">
        <f t="shared" si="72"/>
        <v>-1040.5000000000002</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f>+INDEX('Budget original'!$A$2:$AO$501,MATCH($A409,'Budget original'!$A$2:$A$501,0),MATCH(F$2,'Budget original'!$A$2:$AO$2,0))</f>
        <v>0</v>
      </c>
      <c r="G409" s="290"/>
      <c r="H409" s="304"/>
      <c r="I409" s="240"/>
      <c r="J409" s="238"/>
      <c r="K409" s="304"/>
      <c r="L409" s="286">
        <f>SUMIFS(BV_Data_An_Cour!$AM:$AM,BV_Data_An_Cour!$AP:$AP,$B409,BV_Data_An_Cour!$AQ:$AQ,$C409,BV_Data_An_Cour!$AR:$AR,$L$2)</f>
        <v>2187.3199999999997</v>
      </c>
      <c r="M409" s="238"/>
      <c r="N409" s="286">
        <f t="shared" si="71"/>
        <v>2187.3199999999997</v>
      </c>
      <c r="O409" s="238"/>
      <c r="P409" s="304"/>
      <c r="Q409" s="286">
        <f>SUMIFS(BV_Data_An_Prec!$AM:$AM,BV_Data_An_Prec!$AP:$AP,$B409,BV_Data_An_Prec!$AQ:$AQ,$C409,BV_Data_An_Prec!$AR:$AR,$L$2)</f>
        <v>2929.9399999999987</v>
      </c>
      <c r="R409" s="238"/>
      <c r="S409" s="286">
        <f t="shared" si="72"/>
        <v>-742.61999999999898</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f>+INDEX('Budget original'!$A$2:$AO$501,MATCH($A410,'Budget original'!$A$2:$A$501,0),MATCH(F$2,'Budget original'!$A$2:$AO$2,0))</f>
        <v>0</v>
      </c>
      <c r="G410" s="288"/>
      <c r="H410" s="38"/>
      <c r="I410" s="244"/>
      <c r="J410" s="243"/>
      <c r="K410" s="38"/>
      <c r="L410" s="266">
        <f>SUMIFS(BV_Data_An_Cour!$AM:$AM,BV_Data_An_Cour!$AP:$AP,$B410,BV_Data_An_Cour!$AQ:$AQ,$C410,BV_Data_An_Cour!$AR:$AR,$L$2)</f>
        <v>1880.0200000000004</v>
      </c>
      <c r="M410" s="243"/>
      <c r="N410" s="266">
        <f t="shared" si="71"/>
        <v>1880.0200000000004</v>
      </c>
      <c r="O410" s="243"/>
      <c r="P410" s="38"/>
      <c r="Q410" s="266">
        <f>SUMIFS(BV_Data_An_Prec!$AM:$AM,BV_Data_An_Prec!$AP:$AP,$B410,BV_Data_An_Prec!$AQ:$AQ,$C410,BV_Data_An_Prec!$AR:$AR,$L$2)</f>
        <v>1604.6599999999999</v>
      </c>
      <c r="R410" s="243"/>
      <c r="S410" s="266">
        <f t="shared" si="72"/>
        <v>275.36000000000058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f>+INDEX('Budget original'!$A$2:$AO$501,MATCH($A411,'Budget original'!$A$2:$A$501,0),MATCH(F$2,'Budget original'!$A$2:$AO$2,0))</f>
        <v>0</v>
      </c>
      <c r="G411" s="288"/>
      <c r="H411" s="38"/>
      <c r="I411" s="244"/>
      <c r="J411" s="243"/>
      <c r="K411" s="38"/>
      <c r="L411" s="266">
        <f>SUMIFS(BV_Data_An_Cour!$AM:$AM,BV_Data_An_Cour!$AP:$AP,$B411,BV_Data_An_Cour!$AQ:$AQ,$C411,BV_Data_An_Cour!$AR:$AR,$L$2)</f>
        <v>219.67000000000007</v>
      </c>
      <c r="M411" s="243"/>
      <c r="N411" s="266">
        <f t="shared" si="71"/>
        <v>219.67000000000007</v>
      </c>
      <c r="O411" s="243"/>
      <c r="P411" s="38"/>
      <c r="Q411" s="266">
        <f>SUMIFS(BV_Data_An_Prec!$AM:$AM,BV_Data_An_Prec!$AP:$AP,$B411,BV_Data_An_Prec!$AQ:$AQ,$C411,BV_Data_An_Prec!$AR:$AR,$L$2)</f>
        <v>3239.5000000000009</v>
      </c>
      <c r="R411" s="243"/>
      <c r="S411" s="266">
        <f t="shared" si="72"/>
        <v>-3019.8300000000008</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f>+INDEX('Budget original'!$A$2:$AO$501,MATCH($A412,'Budget original'!$A$2:$A$501,0),MATCH(F$2,'Budget original'!$A$2:$AO$2,0))</f>
        <v>0</v>
      </c>
      <c r="G412" s="290"/>
      <c r="H412" s="304"/>
      <c r="I412" s="240"/>
      <c r="J412" s="238"/>
      <c r="K412" s="304"/>
      <c r="L412" s="286">
        <f>SUMIFS(BV_Data_An_Cour!$AM:$AM,BV_Data_An_Cour!$AP:$AP,$B412,BV_Data_An_Cour!$AQ:$AQ,$C412,BV_Data_An_Cour!$AR:$AR,$L$2)</f>
        <v>978.51000000000022</v>
      </c>
      <c r="M412" s="238"/>
      <c r="N412" s="286">
        <f t="shared" si="71"/>
        <v>978.51000000000022</v>
      </c>
      <c r="O412" s="238"/>
      <c r="P412" s="304"/>
      <c r="Q412" s="286">
        <f>SUMIFS(BV_Data_An_Prec!$AM:$AM,BV_Data_An_Prec!$AP:$AP,$B412,BV_Data_An_Prec!$AQ:$AQ,$C412,BV_Data_An_Prec!$AR:$AR,$L$2)</f>
        <v>2435.5899999999992</v>
      </c>
      <c r="R412" s="238"/>
      <c r="S412" s="286">
        <f t="shared" si="72"/>
        <v>-1457.079999999999</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f>+INDEX('Budget original'!$A$2:$AO$501,MATCH($A414,'Budget original'!$A$2:$A$501,0),MATCH(F$2,'Budget original'!$A$2:$AO$2,0))</f>
        <v>0</v>
      </c>
      <c r="G414" s="288"/>
      <c r="H414" s="38"/>
      <c r="I414" s="244"/>
      <c r="J414" s="243"/>
      <c r="K414" s="38"/>
      <c r="L414" s="266">
        <f>SUMIFS(BV_Data_An_Cour!$AM:$AM,BV_Data_An_Cour!$AP:$AP,$B414,BV_Data_An_Cour!$AQ:$AQ,$C414,BV_Data_An_Cour!$AR:$AR,$L$2)</f>
        <v>383.69000000000005</v>
      </c>
      <c r="M414" s="243"/>
      <c r="N414" s="266">
        <f t="shared" si="71"/>
        <v>383.69000000000005</v>
      </c>
      <c r="O414" s="243"/>
      <c r="P414" s="38"/>
      <c r="Q414" s="266">
        <f>SUMIFS(BV_Data_An_Prec!$AM:$AM,BV_Data_An_Prec!$AP:$AP,$B414,BV_Data_An_Prec!$AQ:$AQ,$C414,BV_Data_An_Prec!$AR:$AR,$L$2)</f>
        <v>53.519999999999982</v>
      </c>
      <c r="R414" s="243"/>
      <c r="S414" s="266">
        <f t="shared" si="72"/>
        <v>330.17000000000007</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f>+INDEX('Budget original'!$A$2:$AO$501,MATCH($A415,'Budget original'!$A$2:$A$501,0),MATCH(F$2,'Budget original'!$A$2:$AO$2,0))</f>
        <v>0</v>
      </c>
      <c r="G415" s="288"/>
      <c r="H415" s="38"/>
      <c r="I415" s="244"/>
      <c r="J415" s="243"/>
      <c r="K415" s="38"/>
      <c r="L415" s="266">
        <f>SUMIFS(BV_Data_An_Cour!$AM:$AM,BV_Data_An_Cour!$AP:$AP,$B415,BV_Data_An_Cour!$AQ:$AQ,$C415,BV_Data_An_Cour!$AR:$AR,$L$2)</f>
        <v>0</v>
      </c>
      <c r="M415" s="243"/>
      <c r="N415" s="266">
        <f t="shared" si="71"/>
        <v>0</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f>+INDEX('Budget original'!$A$2:$AO$501,MATCH($A416,'Budget original'!$A$2:$A$501,0),MATCH(F$2,'Budget original'!$A$2:$AO$2,0))</f>
        <v>0</v>
      </c>
      <c r="G416" s="288"/>
      <c r="H416" s="38"/>
      <c r="I416" s="244"/>
      <c r="J416" s="243"/>
      <c r="K416" s="38"/>
      <c r="L416" s="266">
        <f>SUMIFS(BV_Data_An_Cour!$AM:$AM,BV_Data_An_Cour!$AP:$AP,$B416,BV_Data_An_Cour!$AQ:$AQ,$C416,BV_Data_An_Cour!$AR:$AR,$L$2)</f>
        <v>77.309999999999945</v>
      </c>
      <c r="M416" s="243"/>
      <c r="N416" s="266">
        <f t="shared" si="71"/>
        <v>77.309999999999945</v>
      </c>
      <c r="O416" s="243"/>
      <c r="P416" s="38"/>
      <c r="Q416" s="266">
        <f>SUMIFS(BV_Data_An_Prec!$AM:$AM,BV_Data_An_Prec!$AP:$AP,$B416,BV_Data_An_Prec!$AQ:$AQ,$C416,BV_Data_An_Prec!$AR:$AR,$L$2)</f>
        <v>120.09999999999945</v>
      </c>
      <c r="R416" s="243"/>
      <c r="S416" s="266">
        <f t="shared" si="72"/>
        <v>-42.789999999999509</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f>+INDEX('Budget original'!$A$2:$AO$501,MATCH($A417,'Budget original'!$A$2:$A$501,0),MATCH(F$2,'Budget original'!$A$2:$AO$2,0))</f>
        <v>0</v>
      </c>
      <c r="G417" s="288"/>
      <c r="H417" s="38"/>
      <c r="I417" s="244"/>
      <c r="J417" s="243"/>
      <c r="K417" s="38"/>
      <c r="L417" s="266">
        <f>SUMIFS(BV_Data_An_Cour!$AM:$AM,BV_Data_An_Cour!$AP:$AP,$B417,BV_Data_An_Cour!$AQ:$AQ,$C417,BV_Data_An_Cour!$AR:$AR,$L$2)</f>
        <v>145.62000000000012</v>
      </c>
      <c r="M417" s="243"/>
      <c r="N417" s="266">
        <f t="shared" si="71"/>
        <v>145.62000000000012</v>
      </c>
      <c r="O417" s="243"/>
      <c r="P417" s="38"/>
      <c r="Q417" s="266">
        <f>SUMIFS(BV_Data_An_Prec!$AM:$AM,BV_Data_An_Prec!$AP:$AP,$B417,BV_Data_An_Prec!$AQ:$AQ,$C417,BV_Data_An_Prec!$AR:$AR,$L$2)</f>
        <v>52.639999999999873</v>
      </c>
      <c r="R417" s="243"/>
      <c r="S417" s="266">
        <f t="shared" si="72"/>
        <v>92.980000000000246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f>+INDEX('Budget original'!$A$2:$AO$501,MATCH($A418,'Budget original'!$A$2:$A$501,0),MATCH(F$2,'Budget original'!$A$2:$AO$2,0))</f>
        <v>0</v>
      </c>
      <c r="G418" s="288"/>
      <c r="H418" s="38"/>
      <c r="I418" s="244"/>
      <c r="J418" s="243"/>
      <c r="K418" s="38"/>
      <c r="L418" s="266">
        <f>SUMIFS(BV_Data_An_Cour!$AM:$AM,BV_Data_An_Cour!$AP:$AP,$B418,BV_Data_An_Cour!$AQ:$AQ,$C418,BV_Data_An_Cour!$AR:$AR,$L$2)</f>
        <v>948.1200000000008</v>
      </c>
      <c r="M418" s="243"/>
      <c r="N418" s="266">
        <f t="shared" si="71"/>
        <v>948.1200000000008</v>
      </c>
      <c r="O418" s="243"/>
      <c r="P418" s="38"/>
      <c r="Q418" s="266">
        <f>SUMIFS(BV_Data_An_Prec!$AM:$AM,BV_Data_An_Prec!$AP:$AP,$B418,BV_Data_An_Prec!$AQ:$AQ,$C418,BV_Data_An_Prec!$AR:$AR,$L$2)</f>
        <v>661.85999999999967</v>
      </c>
      <c r="R418" s="243"/>
      <c r="S418" s="266">
        <f t="shared" si="72"/>
        <v>286.26000000000113</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f>+INDEX('Budget original'!$A$2:$AO$501,MATCH($A419,'Budget original'!$A$2:$A$501,0),MATCH(F$2,'Budget original'!$A$2:$AO$2,0))</f>
        <v>0</v>
      </c>
      <c r="G419" s="288"/>
      <c r="H419" s="38"/>
      <c r="I419" s="244"/>
      <c r="J419" s="243"/>
      <c r="K419" s="38"/>
      <c r="L419" s="266">
        <f>SUMIFS(BV_Data_An_Cour!$AM:$AM,BV_Data_An_Cour!$AP:$AP,$B419,BV_Data_An_Cour!$AQ:$AQ,$C419,BV_Data_An_Cour!$AR:$AR,$L$2)</f>
        <v>1290.06</v>
      </c>
      <c r="M419" s="243"/>
      <c r="N419" s="266">
        <f t="shared" si="71"/>
        <v>1290.06</v>
      </c>
      <c r="O419" s="243"/>
      <c r="P419" s="38"/>
      <c r="Q419" s="266">
        <f>SUMIFS(BV_Data_An_Prec!$AM:$AM,BV_Data_An_Prec!$AP:$AP,$B419,BV_Data_An_Prec!$AQ:$AQ,$C419,BV_Data_An_Prec!$AR:$AR,$L$2)</f>
        <v>1128.7699999999995</v>
      </c>
      <c r="R419" s="243"/>
      <c r="S419" s="266">
        <f t="shared" si="72"/>
        <v>161.29000000000042</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f>+INDEX('Budget original'!$A$2:$AO$501,MATCH($A420,'Budget original'!$A$2:$A$501,0),MATCH(F$2,'Budget original'!$A$2:$AO$2,0))</f>
        <v>0</v>
      </c>
      <c r="G420" s="288"/>
      <c r="H420" s="38"/>
      <c r="I420" s="244"/>
      <c r="J420" s="243"/>
      <c r="K420" s="38"/>
      <c r="L420" s="266">
        <f>SUMIFS(BV_Data_An_Cour!$AM:$AM,BV_Data_An_Cour!$AP:$AP,$B420,BV_Data_An_Cour!$AQ:$AQ,$C420,BV_Data_An_Cour!$AR:$AR,$L$2)</f>
        <v>0</v>
      </c>
      <c r="M420" s="243"/>
      <c r="N420" s="266">
        <f t="shared" si="71"/>
        <v>0</v>
      </c>
      <c r="O420" s="243"/>
      <c r="P420" s="38"/>
      <c r="Q420" s="266">
        <f>SUMIFS(BV_Data_An_Prec!$AM:$AM,BV_Data_An_Prec!$AP:$AP,$B420,BV_Data_An_Prec!$AQ:$AQ,$C420,BV_Data_An_Prec!$AR:$AR,$L$2)</f>
        <v>325</v>
      </c>
      <c r="R420" s="243"/>
      <c r="S420" s="266">
        <f t="shared" si="72"/>
        <v>-325</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f>+INDEX('Budget original'!$A$2:$AO$501,MATCH($A421,'Budget original'!$A$2:$A$501,0),MATCH(F$2,'Budget original'!$A$2:$AO$2,0))</f>
        <v>0</v>
      </c>
      <c r="G421" s="288"/>
      <c r="H421" s="38"/>
      <c r="I421" s="244"/>
      <c r="J421" s="243"/>
      <c r="K421" s="38"/>
      <c r="L421" s="266">
        <f>SUMIFS(BV_Data_An_Cour!$AM:$AM,BV_Data_An_Cour!$AP:$AP,$B421,BV_Data_An_Cour!$AQ:$AQ,$C421,BV_Data_An_Cour!$AR:$AR,$L$2)</f>
        <v>796.4399999999996</v>
      </c>
      <c r="M421" s="243"/>
      <c r="N421" s="266">
        <f t="shared" si="71"/>
        <v>796.4399999999996</v>
      </c>
      <c r="O421" s="243"/>
      <c r="P421" s="38"/>
      <c r="Q421" s="266">
        <f>SUMIFS(BV_Data_An_Prec!$AM:$AM,BV_Data_An_Prec!$AP:$AP,$B421,BV_Data_An_Prec!$AQ:$AQ,$C421,BV_Data_An_Prec!$AR:$AR,$L$2)</f>
        <v>125.85000000000002</v>
      </c>
      <c r="R421" s="243"/>
      <c r="S421" s="266">
        <f t="shared" si="72"/>
        <v>670.58999999999958</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f>+INDEX('Budget original'!$A$2:$AO$501,MATCH($A422,'Budget original'!$A$2:$A$501,0),MATCH(F$2,'Budget original'!$A$2:$AO$2,0))</f>
        <v>0</v>
      </c>
      <c r="G422" s="288"/>
      <c r="H422" s="38"/>
      <c r="I422" s="244"/>
      <c r="J422" s="243"/>
      <c r="K422" s="38"/>
      <c r="L422" s="266">
        <f>SUMIFS(BV_Data_An_Cour!$AM:$AM,BV_Data_An_Cour!$AP:$AP,$B422,BV_Data_An_Cour!$AQ:$AQ,$C422,BV_Data_An_Cour!$AR:$AR,$L$2)</f>
        <v>0</v>
      </c>
      <c r="M422" s="243"/>
      <c r="N422" s="266">
        <f t="shared" si="71"/>
        <v>0</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f>+INDEX('Budget original'!$A$2:$AO$501,MATCH($A423,'Budget original'!$A$2:$A$501,0),MATCH(F$2,'Budget original'!$A$2:$AO$2,0))</f>
        <v>0</v>
      </c>
      <c r="G423" s="288"/>
      <c r="H423" s="38"/>
      <c r="I423" s="244"/>
      <c r="J423" s="243"/>
      <c r="K423" s="38"/>
      <c r="L423" s="266">
        <f>SUMIFS(BV_Data_An_Cour!$AM:$AM,BV_Data_An_Cour!$AP:$AP,$B423,BV_Data_An_Cour!$AQ:$AQ,$C423,BV_Data_An_Cour!$AR:$AR,$L$2)</f>
        <v>0</v>
      </c>
      <c r="M423" s="243"/>
      <c r="N423" s="266">
        <f t="shared" si="71"/>
        <v>0</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f>+INDEX('Budget original'!$A$2:$AO$501,MATCH($A424,'Budget original'!$A$2:$A$501,0),MATCH(F$2,'Budget original'!$A$2:$AO$2,0))</f>
        <v>0</v>
      </c>
      <c r="G424" s="288"/>
      <c r="H424" s="38"/>
      <c r="I424" s="244"/>
      <c r="J424" s="243"/>
      <c r="K424" s="38"/>
      <c r="L424" s="266">
        <f>SUMIFS(BV_Data_An_Cour!$AM:$AM,BV_Data_An_Cour!$AP:$AP,$B424,BV_Data_An_Cour!$AQ:$AQ,$C424,BV_Data_An_Cour!$AR:$AR,$L$2)</f>
        <v>0</v>
      </c>
      <c r="M424" s="243"/>
      <c r="N424" s="266">
        <f t="shared" si="71"/>
        <v>0</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#DIV/0!</v>
      </c>
      <c r="F425" s="294">
        <f>+SUM(F407:F424)</f>
        <v>0</v>
      </c>
      <c r="G425" s="295"/>
      <c r="H425" s="293"/>
      <c r="I425" s="294"/>
      <c r="J425" s="295" t="s">
        <v>115</v>
      </c>
      <c r="K425" s="293">
        <f>L425/L$390</f>
        <v>0.10597983888279933</v>
      </c>
      <c r="L425" s="294">
        <f>+SUM(L407:L424)</f>
        <v>10145.220000000001</v>
      </c>
      <c r="M425" s="296"/>
      <c r="N425" s="294">
        <f>+SUM(N407:N424)</f>
        <v>10145.220000000001</v>
      </c>
      <c r="O425" s="295" t="s">
        <v>115</v>
      </c>
      <c r="P425" s="293">
        <f>Q425/Q$390</f>
        <v>0.133437471630554</v>
      </c>
      <c r="Q425" s="294">
        <f>+SUM(Q407:Q424)</f>
        <v>15492.359999999999</v>
      </c>
      <c r="R425" s="297"/>
      <c r="S425" s="294">
        <f>+SUM(S407:S424)</f>
        <v>-5347.1399999999949</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#DIV/0!</v>
      </c>
      <c r="F427" s="294">
        <f>F406+F425</f>
        <v>0</v>
      </c>
      <c r="G427" s="295"/>
      <c r="H427" s="293"/>
      <c r="I427" s="294"/>
      <c r="J427" s="295" t="s">
        <v>115</v>
      </c>
      <c r="K427" s="293">
        <f>L427/L$390</f>
        <v>0.29517455895532196</v>
      </c>
      <c r="L427" s="294">
        <f>L406+L425</f>
        <v>28256.420000000031</v>
      </c>
      <c r="M427" s="296"/>
      <c r="N427" s="294">
        <f>L427-F427</f>
        <v>28256.420000000031</v>
      </c>
      <c r="O427" s="295" t="s">
        <v>115</v>
      </c>
      <c r="P427" s="293">
        <f>Q427/Q$390</f>
        <v>0.37772667521202519</v>
      </c>
      <c r="Q427" s="294">
        <f>Q406+Q425</f>
        <v>43854.830000000016</v>
      </c>
      <c r="R427" s="297"/>
      <c r="S427" s="294">
        <f>L427-Q427</f>
        <v>-15598.409999999985</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f>F390-F427</f>
        <v>0</v>
      </c>
      <c r="G429" s="957"/>
      <c r="H429" s="955"/>
      <c r="I429" s="956"/>
      <c r="J429" s="957"/>
      <c r="K429" s="955"/>
      <c r="L429" s="956">
        <f>L390-L427</f>
        <v>67471.409999999945</v>
      </c>
      <c r="M429" s="958"/>
      <c r="N429" s="956">
        <f>L429-F429</f>
        <v>67471.409999999945</v>
      </c>
      <c r="O429" s="957"/>
      <c r="P429" s="955"/>
      <c r="Q429" s="956">
        <f>Q390-Q427</f>
        <v>72247.189999999886</v>
      </c>
      <c r="R429" s="959"/>
      <c r="S429" s="956">
        <f>L429-Q429</f>
        <v>-4775.7799999999406</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4" t="s">
        <v>339</v>
      </c>
      <c r="E434" s="1279"/>
      <c r="F434" s="1280"/>
      <c r="G434" s="1281"/>
      <c r="H434" s="1279"/>
      <c r="I434" s="1280"/>
      <c r="J434" s="1281" t="s">
        <v>340</v>
      </c>
      <c r="K434" s="1279"/>
      <c r="L434" s="1280"/>
      <c r="M434" s="1281"/>
      <c r="N434" s="1280"/>
      <c r="O434" s="1274" t="s">
        <v>341</v>
      </c>
      <c r="P434" s="1279"/>
      <c r="Q434" s="1280"/>
      <c r="R434" s="128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f>+INDEX('Budget original'!$A$2:$AO$501,MATCH($A437,'Budget original'!$A$2:$A$501,0),MATCH(D$2,'Budget original'!$A$2:$AO$2,0))</f>
        <v>0</v>
      </c>
      <c r="E437" s="922">
        <f>+INDEX('Budget original'!$A$2:$AO$501,MATCH($A437,'Budget original'!$A$2:$A$501,0),MATCH(E$2,'Budget original'!$A$2:$AO$2,0))</f>
        <v>0</v>
      </c>
      <c r="F437" s="922">
        <f>+INDEX('Budget original'!$A$2:$AO$501,MATCH($A437,'Budget original'!$A$2:$A$501,0),MATCH(F$2,'Budget original'!$A$2:$AO$2,0))</f>
        <v>0</v>
      </c>
      <c r="G437" s="923"/>
      <c r="H437" s="922"/>
      <c r="I437" s="922"/>
      <c r="J437" s="924">
        <f>SUMIFS(BV_Data_An_Cour!$AW:$AW,BV_Data_An_Cour!$AP:$AP,$B437,BV_Data_An_Cour!$AQ:$AQ,$C437,BV_Data_An_Cour!$AY:$AY,J$2)</f>
        <v>361</v>
      </c>
      <c r="K437" s="922">
        <f>-SUMIFS(BV_Data_An_Cour!$AM:$AM,BV_Data_An_Cour!$AS:$AS,"Oui",BV_Data_An_Cour!$AP:$AP,$B437,BV_Data_An_Cour!$AQ:$AQ,$C437)</f>
        <v>67750</v>
      </c>
      <c r="L437" s="658">
        <f>-SUMIFS(BV_Data_An_Cour!$AM:$AM,BV_Data_An_Cour!$AP:$AP,$B437,BV_Data_An_Cour!$AQ:$AQ,$C437,BV_Data_An_Cour!$AR:$AR,$L$2)</f>
        <v>52851.159999999996</v>
      </c>
      <c r="M437" s="925">
        <f>IFERROR((K437-E437)/E437,0)</f>
        <v>0</v>
      </c>
      <c r="N437" s="658">
        <f>L437-F437</f>
        <v>52851.159999999996</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52851.159999999996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0.78009092250922507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187.67313019390582</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f>+INDEX('Budget original'!$A$2:$AO$501,MATCH($A440,'Budget original'!$A$2:$A$501,0),MATCH(D$2,'Budget original'!$A$2:$AO$2,0))</f>
        <v>0</v>
      </c>
      <c r="E440" s="281">
        <f>+INDEX('Budget original'!$A$2:$AO$501,MATCH($A440,'Budget original'!$A$2:$A$501,0),MATCH(E$2,'Budget original'!$A$2:$AO$2,0))</f>
        <v>0</v>
      </c>
      <c r="F440" s="281">
        <f>+INDEX('Budget original'!$A$2:$AO$501,MATCH($A440,'Budget original'!$A$2:$A$501,0),MATCH(F$2,'Budget original'!$A$2:$AO$2,0))</f>
        <v>0</v>
      </c>
      <c r="G440" s="366"/>
      <c r="H440" s="281"/>
      <c r="I440" s="281"/>
      <c r="J440" s="337">
        <f>SUMIFS(BV_Data_An_Cour!$AW:$AW,BV_Data_An_Cour!$AP:$AP,$B440,BV_Data_An_Cour!$AQ:$AQ,$C440,BV_Data_An_Cour!$AY:$AY,J$2)</f>
        <v>168</v>
      </c>
      <c r="K440" s="336">
        <f>-SUMIFS(BV_Data_An_Cour!$AM:$AM,BV_Data_An_Cour!$AS:$AS,"Oui",BV_Data_An_Cour!$AP:$AP,$B440,BV_Data_An_Cour!$AQ:$AQ,$C440)</f>
        <v>21330.000000000058</v>
      </c>
      <c r="L440" s="303">
        <f>-SUMIFS(BV_Data_An_Cour!$AM:$AM,BV_Data_An_Cour!$AP:$AP,$B440,BV_Data_An_Cour!$AQ:$AQ,$C440,BV_Data_An_Cour!$AR:$AR,$L$2)</f>
        <v>15386.550000000061</v>
      </c>
      <c r="M440" s="340">
        <f>IFERROR((K440-E440)/E440,0)</f>
        <v>0</v>
      </c>
      <c r="N440" s="303">
        <f>L440-F440</f>
        <v>15386.550000000061</v>
      </c>
      <c r="O440" s="337">
        <f>SUMIFS(BV_Data_An_Prec!$AW:$AW,BV_Data_An_Prec!$AP:$AP,$B440,BV_Data_An_Prec!$AQ:$AQ,$C440,BV_Data_An_Prec!$AY:$AY,O$2)</f>
        <v>470</v>
      </c>
      <c r="P440" s="336">
        <f>-SUMIFS(BV_Data_An_Prec!$AM:$AM,BV_Data_An_Prec!$AS:$AS,"Oui",BV_Data_An_Prec!$AP:$AP,$B440,BV_Data_An_Prec!$AQ:$AQ,$C440)</f>
        <v>71453.400000000023</v>
      </c>
      <c r="Q440" s="303">
        <f>-SUMIFS(BV_Data_An_Prec!$AM:$AM,BV_Data_An_Prec!$AP:$AP,$B440,BV_Data_An_Prec!$AQ:$AQ,$C440,BV_Data_An_Prec!$AR:$AR,$L$2)</f>
        <v>53896.860000000015</v>
      </c>
      <c r="R440" s="282">
        <f>IF(O440=0,0,J440/O440)</f>
        <v>0.35744680851063831</v>
      </c>
      <c r="S440" s="266">
        <f>L440-Q440</f>
        <v>-38510.309999999954</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0.72135724331926954</v>
      </c>
      <c r="M441" s="282"/>
      <c r="N441" s="266">
        <f>IFERROR(N440/M440,0)</f>
        <v>0</v>
      </c>
      <c r="O441" s="267"/>
      <c r="P441" s="38"/>
      <c r="Q441" s="332">
        <f>IFERROR(Q440/P440,0)</f>
        <v>0.75429384745862338</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126.96428571428606</v>
      </c>
      <c r="L442" s="334"/>
      <c r="M442" s="285"/>
      <c r="N442" s="286"/>
      <c r="O442" s="335"/>
      <c r="P442" s="333">
        <f>IFERROR(P440/O440,0)</f>
        <v>152.02851063829792</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0</v>
      </c>
      <c r="K443" s="281">
        <f>-SUMIFS(BV_Data_An_Cour!$AM:$AM,BV_Data_An_Cour!$AS:$AS,"Oui",BV_Data_An_Cour!$AP:$AP,$B443,BV_Data_An_Cour!$AQ:$AQ,$C443)</f>
        <v>0</v>
      </c>
      <c r="L443" s="266">
        <f>-SUMIFS(BV_Data_An_Cour!$AM:$AM,BV_Data_An_Cour!$AP:$AP,$B443,BV_Data_An_Cour!$AQ:$AQ,$C443,BV_Data_An_Cour!$AR:$AR,$L$2)</f>
        <v>0</v>
      </c>
      <c r="M443" s="282">
        <f>IFERROR((K443-E443)/E443,0)</f>
        <v>0</v>
      </c>
      <c r="N443" s="303">
        <f>L443-F443</f>
        <v>0</v>
      </c>
      <c r="O443" s="337">
        <f>SUMIFS(BV_Data_An_Prec!$AW:$AW,BV_Data_An_Prec!$AP:$AP,$B443,BV_Data_An_Prec!$AQ:$AQ,$C443,BV_Data_An_Prec!$AY:$AY,O$2)</f>
        <v>8</v>
      </c>
      <c r="P443" s="281">
        <f>-SUMIFS(BV_Data_An_Prec!$AM:$AM,BV_Data_An_Prec!$AS:$AS,"Oui",BV_Data_An_Prec!$AP:$AP,$B443,BV_Data_An_Prec!$AQ:$AQ,$C443)</f>
        <v>950</v>
      </c>
      <c r="Q443" s="266">
        <f>-SUMIFS(BV_Data_An_Prec!$AM:$AM,BV_Data_An_Prec!$AP:$AP,$B443,BV_Data_An_Prec!$AQ:$AQ,$C443,BV_Data_An_Prec!$AR:$AR,$L$2)</f>
        <v>737.84999999999991</v>
      </c>
      <c r="R443" s="282">
        <f>IF(O443=0,0,J443/O443)</f>
        <v>0</v>
      </c>
      <c r="S443" s="266">
        <f>L443-Q443</f>
        <v>-737.84999999999991</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v>
      </c>
      <c r="M444" s="282"/>
      <c r="N444" s="266">
        <f>IFERROR(N443/M443,0)</f>
        <v>0</v>
      </c>
      <c r="O444" s="267"/>
      <c r="P444" s="38"/>
      <c r="Q444" s="332">
        <f>IFERROR(Q443/P443,0)</f>
        <v>0.77668421052631564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0</v>
      </c>
      <c r="L445" s="927"/>
      <c r="M445" s="925"/>
      <c r="N445" s="658"/>
      <c r="O445" s="924"/>
      <c r="P445" s="1250">
        <f>IFERROR(P443/O443,0)</f>
        <v>118.75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f>+INDEX('Budget original'!$A$2:$AO$501,MATCH($A448,'Budget original'!$A$2:$A$501,0),MATCH(D$2,'Budget original'!$A$2:$AO$2,0))</f>
        <v>0</v>
      </c>
      <c r="E448" s="270">
        <f>IFERROR(F448/D448,0)</f>
        <v>0</v>
      </c>
      <c r="F448" s="271">
        <f>+INDEX('Budget original'!$A$2:$AO$501,MATCH($A448,'Budget original'!$A$2:$A$501,0),MATCH(F$2,'Budget original'!$A$2:$AO$2,0))</f>
        <v>0</v>
      </c>
      <c r="G448" s="272"/>
      <c r="H448" s="270"/>
      <c r="I448" s="271"/>
      <c r="J448" s="272"/>
      <c r="K448" s="269">
        <f>K437+K440+K443</f>
        <v>89080.000000000058</v>
      </c>
      <c r="L448" s="271">
        <f>L437+L440+L443+L446</f>
        <v>68237.71000000005</v>
      </c>
      <c r="M448" s="272"/>
      <c r="N448" s="271"/>
      <c r="O448" s="272"/>
      <c r="P448" s="269">
        <f>P437+P440+P443</f>
        <v>72403.400000000023</v>
      </c>
      <c r="Q448" s="271">
        <f>Q437+Q440+Q443+Q446</f>
        <v>54634.710000000014</v>
      </c>
      <c r="R448" s="272">
        <f>IF(O448=0,0,(J448-O448)/O448)</f>
        <v>0</v>
      </c>
      <c r="S448" s="271">
        <f>S437+S440+S443+S446</f>
        <v>13603.000000000042</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0.7660272788504715</v>
      </c>
      <c r="M449" s="276"/>
      <c r="N449" s="277"/>
      <c r="O449" s="273"/>
      <c r="P449" s="945"/>
      <c r="Q449" s="326">
        <f>Q448/P448</f>
        <v>0.7545876298626859</v>
      </c>
      <c r="R449" s="276"/>
      <c r="S449" s="326">
        <f>IF(Q448=0,0,S448/Q448)</f>
        <v>0.24898091341566631</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f>+INDEX('Budget original'!$A$2:$AO$501,MATCH($A452,'Budget original'!$A$2:$A$501,0),MATCH(F$2,'Budget original'!$A$2:$AO$2,0))</f>
        <v>0</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f>+INDEX('Budget original'!$A$2:$AO$501,MATCH($A453,'Budget original'!$A$2:$A$501,0),MATCH(F$2,'Budget original'!$A$2:$AO$2,0))</f>
        <v>0</v>
      </c>
      <c r="G453" s="288"/>
      <c r="H453" s="38"/>
      <c r="I453" s="240"/>
      <c r="J453" s="243"/>
      <c r="K453" s="38"/>
      <c r="L453" s="286">
        <f>SUMIFS(BV_Data_An_Cour!$AM:$AM,BV_Data_An_Cour!$AP:$AP,$B453,BV_Data_An_Cour!$AQ:$AQ,$C453,BV_Data_An_Cour!$AR:$AR,$L$2)</f>
        <v>5195.6099999999969</v>
      </c>
      <c r="M453" s="243"/>
      <c r="N453" s="266"/>
      <c r="O453" s="243"/>
      <c r="P453" s="38"/>
      <c r="Q453" s="286">
        <f>SUMIFS(BV_Data_An_Prec!$AM:$AM,BV_Data_An_Prec!$AP:$AP,$B453,BV_Data_An_Prec!$AQ:$AQ,$C453,BV_Data_An_Prec!$AR:$AR,$L$2)</f>
        <v>0</v>
      </c>
      <c r="R453" s="243"/>
      <c r="S453" s="266">
        <f t="shared" si="73"/>
        <v>5195.6099999999969</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f>+INDEX('Budget original'!$A$2:$AO$501,MATCH($A454,'Budget original'!$A$2:$A$501,0),MATCH(F$2,'Budget original'!$A$2:$AO$2,0))</f>
        <v>0</v>
      </c>
      <c r="G454" s="302"/>
      <c r="H454" s="301"/>
      <c r="I454" s="244"/>
      <c r="J454" s="233"/>
      <c r="K454" s="301"/>
      <c r="L454" s="266">
        <f>SUMIFS(BV_Data_An_Cour!$AM:$AM,BV_Data_An_Cour!$AP:$AP,$B454,BV_Data_An_Cour!$AQ:$AQ,$C454,BV_Data_An_Cour!$AR:$AR,$L$2)</f>
        <v>1425.0000000000002</v>
      </c>
      <c r="M454" s="233"/>
      <c r="N454" s="303"/>
      <c r="O454" s="233"/>
      <c r="P454" s="301"/>
      <c r="Q454" s="266">
        <f>SUMIFS(BV_Data_An_Prec!$AM:$AM,BV_Data_An_Prec!$AP:$AP,$B454,BV_Data_An_Prec!$AQ:$AQ,$C454,BV_Data_An_Prec!$AR:$AR,$L$2)</f>
        <v>0</v>
      </c>
      <c r="R454" s="233"/>
      <c r="S454" s="303">
        <f t="shared" si="73"/>
        <v>1425.0000000000002</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f>+INDEX('Budget original'!$A$2:$AO$501,MATCH($A455,'Budget original'!$A$2:$A$501,0),MATCH(F$2,'Budget original'!$A$2:$AO$2,0))</f>
        <v>0</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f>+INDEX('Budget original'!$A$2:$AO$501,MATCH($A456,'Budget original'!$A$2:$A$501,0),MATCH(F$2,'Budget original'!$A$2:$AO$2,0))</f>
        <v>0</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f>+INDEX('Budget original'!$A$2:$AO$501,MATCH($A457,'Budget original'!$A$2:$A$501,0),MATCH(F$2,'Budget original'!$A$2:$AO$2,0))</f>
        <v>0</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f>+INDEX('Budget original'!$A$2:$AO$501,MATCH($A458,'Budget original'!$A$2:$A$501,0),MATCH(F$2,'Budget original'!$A$2:$AO$2,0))</f>
        <v>0</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f>+INDEX('Budget original'!$A$2:$AO$501,MATCH($A459,'Budget original'!$A$2:$A$501,0),MATCH(F$2,'Budget original'!$A$2:$AO$2,0))</f>
        <v>0</v>
      </c>
      <c r="G459" s="288"/>
      <c r="H459" s="38"/>
      <c r="I459" s="240"/>
      <c r="J459" s="243"/>
      <c r="K459" s="38"/>
      <c r="L459" s="286">
        <f>SUMIFS(BV_Data_An_Cour!$AM:$AM,BV_Data_An_Cour!$AP:$AP,$B459,BV_Data_An_Cour!$AQ:$AQ,$C459,BV_Data_An_Cour!$AR:$AR,$L$2)</f>
        <v>4137.369999999999</v>
      </c>
      <c r="M459" s="243"/>
      <c r="N459" s="266"/>
      <c r="O459" s="243"/>
      <c r="P459" s="38"/>
      <c r="Q459" s="286">
        <f>SUMIFS(BV_Data_An_Prec!$AM:$AM,BV_Data_An_Prec!$AP:$AP,$B459,BV_Data_An_Prec!$AQ:$AQ,$C459,BV_Data_An_Prec!$AR:$AR,$L$2)</f>
        <v>0</v>
      </c>
      <c r="R459" s="243"/>
      <c r="S459" s="266">
        <f t="shared" si="73"/>
        <v>4137.369999999999</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f>+INDEX('Budget original'!$A$2:$AO$501,MATCH($A460,'Budget original'!$A$2:$A$501,0),MATCH(F$2,'Budget original'!$A$2:$AO$2,0))</f>
        <v>0</v>
      </c>
      <c r="G460" s="302"/>
      <c r="H460" s="301"/>
      <c r="I460" s="244"/>
      <c r="J460" s="233"/>
      <c r="K460" s="301"/>
      <c r="L460" s="266">
        <f>SUMIFS(BV_Data_An_Cour!$AM:$AM,BV_Data_An_Cour!$AP:$AP,$B460,BV_Data_An_Cour!$AQ:$AQ,$C460,BV_Data_An_Cour!$AR:$AR,$L$2)</f>
        <v>3589.5700000000015</v>
      </c>
      <c r="M460" s="233"/>
      <c r="N460" s="303"/>
      <c r="O460" s="233"/>
      <c r="P460" s="301"/>
      <c r="Q460" s="266">
        <f>SUMIFS(BV_Data_An_Prec!$AM:$AM,BV_Data_An_Prec!$AP:$AP,$B460,BV_Data_An_Prec!$AQ:$AQ,$C460,BV_Data_An_Prec!$AR:$AR,$L$2)</f>
        <v>0</v>
      </c>
      <c r="R460" s="233"/>
      <c r="S460" s="303">
        <f t="shared" si="73"/>
        <v>3589.5700000000015</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f>+INDEX('Budget original'!$A$2:$AO$501,MATCH($A461,'Budget original'!$A$2:$A$501,0),MATCH(F$2,'Budget original'!$A$2:$AO$2,0))</f>
        <v>0</v>
      </c>
      <c r="G461" s="288"/>
      <c r="H461" s="38"/>
      <c r="I461" s="244"/>
      <c r="J461" s="243"/>
      <c r="K461" s="38"/>
      <c r="L461" s="266">
        <f>SUMIFS(BV_Data_An_Cour!$AM:$AM,BV_Data_An_Cour!$AP:$AP,$B461,BV_Data_An_Cour!$AQ:$AQ,$C461,BV_Data_An_Cour!$AR:$AR,$L$2)</f>
        <v>711.69</v>
      </c>
      <c r="M461" s="243"/>
      <c r="N461" s="266"/>
      <c r="O461" s="243"/>
      <c r="P461" s="38"/>
      <c r="Q461" s="266">
        <f>SUMIFS(BV_Data_An_Prec!$AM:$AM,BV_Data_An_Prec!$AP:$AP,$B461,BV_Data_An_Prec!$AQ:$AQ,$C461,BV_Data_An_Prec!$AR:$AR,$L$2)</f>
        <v>0</v>
      </c>
      <c r="R461" s="243"/>
      <c r="S461" s="266">
        <f t="shared" si="73"/>
        <v>711.69</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f>+INDEX('Budget original'!$A$2:$AO$501,MATCH($A462,'Budget original'!$A$2:$A$501,0),MATCH(F$2,'Budget original'!$A$2:$AO$2,0))</f>
        <v>0</v>
      </c>
      <c r="G462" s="288"/>
      <c r="H462" s="38"/>
      <c r="I462" s="244"/>
      <c r="J462" s="243"/>
      <c r="K462" s="38"/>
      <c r="L462" s="266">
        <f>SUMIFS(BV_Data_An_Cour!$AM:$AM,BV_Data_An_Cour!$AP:$AP,$B462,BV_Data_An_Cour!$AQ:$AQ,$C462,BV_Data_An_Cour!$AR:$AR,$L$2)</f>
        <v>471.29999999999995</v>
      </c>
      <c r="M462" s="243"/>
      <c r="N462" s="266"/>
      <c r="O462" s="243"/>
      <c r="P462" s="38"/>
      <c r="Q462" s="266">
        <f>SUMIFS(BV_Data_An_Prec!$AM:$AM,BV_Data_An_Prec!$AP:$AP,$B462,BV_Data_An_Prec!$AQ:$AQ,$C462,BV_Data_An_Prec!$AR:$AR,$L$2)</f>
        <v>0</v>
      </c>
      <c r="R462" s="243"/>
      <c r="S462" s="266">
        <f t="shared" si="73"/>
        <v>471.29999999999995</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f>+INDEX('Budget original'!$A$2:$AO$501,MATCH($A463,'Budget original'!$A$2:$A$501,0),MATCH(F$2,'Budget original'!$A$2:$AO$2,0))</f>
        <v>0</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f>+SUM(F452:F463)</f>
        <v>0</v>
      </c>
      <c r="G464" s="295"/>
      <c r="H464" s="293"/>
      <c r="I464" s="294"/>
      <c r="J464" s="295" t="s">
        <v>115</v>
      </c>
      <c r="K464" s="293">
        <f>IFERROR(L464/L$448,0)</f>
        <v>0.22759468335030567</v>
      </c>
      <c r="L464" s="294">
        <f>+SUM(L452:L463)</f>
        <v>15530.539999999997</v>
      </c>
      <c r="M464" s="296"/>
      <c r="N464" s="294"/>
      <c r="O464" s="295" t="s">
        <v>115</v>
      </c>
      <c r="P464" s="293">
        <f>IFERROR(Q464/Q$448,0)</f>
        <v>0</v>
      </c>
      <c r="Q464" s="294">
        <f>+SUM(Q452:Q463)</f>
        <v>0</v>
      </c>
      <c r="R464" s="297"/>
      <c r="S464" s="294">
        <f t="shared" si="73"/>
        <v>15530.539999999997</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f>+INDEX('Budget original'!$A$2:$AO$501,MATCH($A465,'Budget original'!$A$2:$A$501,0),MATCH(F$2,'Budget original'!$A$2:$AO$2,0))</f>
        <v>0</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f>+INDEX('Budget original'!$A$2:$AO$501,MATCH($A466,'Budget original'!$A$2:$A$501,0),MATCH(F$2,'Budget original'!$A$2:$AO$2,0))</f>
        <v>0</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f>+INDEX('Budget original'!$A$2:$AO$501,MATCH($A467,'Budget original'!$A$2:$A$501,0),MATCH(F$2,'Budget original'!$A$2:$AO$2,0))</f>
        <v>0</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f>+INDEX('Budget original'!$A$2:$AO$501,MATCH($A468,'Budget original'!$A$2:$A$501,0),MATCH(F$2,'Budget original'!$A$2:$AO$2,0))</f>
        <v>0</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f>+INDEX('Budget original'!$A$2:$AO$501,MATCH($A469,'Budget original'!$A$2:$A$501,0),MATCH(F$2,'Budget original'!$A$2:$AO$2,0))</f>
        <v>0</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f>+INDEX('Budget original'!$A$2:$AO$501,MATCH($A470,'Budget original'!$A$2:$A$501,0),MATCH(F$2,'Budget original'!$A$2:$AO$2,0))</f>
        <v>0</v>
      </c>
      <c r="G470" s="290"/>
      <c r="H470" s="304"/>
      <c r="I470" s="240"/>
      <c r="J470" s="238"/>
      <c r="K470" s="304"/>
      <c r="L470" s="286">
        <f>SUMIFS(BV_Data_An_Cour!$AM:$AM,BV_Data_An_Cour!$AP:$AP,$B470,BV_Data_An_Cour!$AQ:$AQ,$C470,BV_Data_An_Cour!$AR:$AR,$L$2)</f>
        <v>567.63</v>
      </c>
      <c r="M470" s="238"/>
      <c r="N470" s="286"/>
      <c r="O470" s="238"/>
      <c r="P470" s="304"/>
      <c r="Q470" s="286">
        <f>SUMIFS(BV_Data_An_Prec!$AM:$AM,BV_Data_An_Prec!$AP:$AP,$B470,BV_Data_An_Prec!$AQ:$AQ,$C470,BV_Data_An_Prec!$AR:$AR,$L$2)</f>
        <v>0</v>
      </c>
      <c r="R470" s="238"/>
      <c r="S470" s="286">
        <f t="shared" si="73"/>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f>+INDEX('Budget original'!$A$2:$AO$501,MATCH($A471,'Budget original'!$A$2:$A$501,0),MATCH(F$2,'Budget original'!$A$2:$AO$2,0))</f>
        <v>0</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f>+INDEX('Budget original'!$A$2:$AO$501,MATCH($A472,'Budget original'!$A$2:$A$501,0),MATCH(F$2,'Budget original'!$A$2:$AO$2,0))</f>
        <v>0</v>
      </c>
      <c r="G472" s="288"/>
      <c r="H472" s="38"/>
      <c r="I472" s="244"/>
      <c r="J472" s="243"/>
      <c r="K472" s="38"/>
      <c r="L472" s="266">
        <f>SUMIFS(BV_Data_An_Cour!$AM:$AM,BV_Data_An_Cour!$AP:$AP,$B472,BV_Data_An_Cour!$AQ:$AQ,$C472,BV_Data_An_Cour!$AR:$AR,$L$2)</f>
        <v>544.45000000000005</v>
      </c>
      <c r="M472" s="243"/>
      <c r="N472" s="266"/>
      <c r="O472" s="243"/>
      <c r="P472" s="38"/>
      <c r="Q472" s="266">
        <f>SUMIFS(BV_Data_An_Prec!$AM:$AM,BV_Data_An_Prec!$AP:$AP,$B472,BV_Data_An_Prec!$AQ:$AQ,$C472,BV_Data_An_Prec!$AR:$AR,$L$2)</f>
        <v>0</v>
      </c>
      <c r="R472" s="243"/>
      <c r="S472" s="266">
        <f t="shared" si="73"/>
        <v>544.45000000000005</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f>+INDEX('Budget original'!$A$2:$AO$501,MATCH($A473,'Budget original'!$A$2:$A$501,0),MATCH(F$2,'Budget original'!$A$2:$AO$2,0))</f>
        <v>0</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f>+INDEX('Budget original'!$A$2:$AO$501,MATCH($A474,'Budget original'!$A$2:$A$501,0),MATCH(F$2,'Budget original'!$A$2:$AO$2,0))</f>
        <v>0</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f>+INDEX('Budget original'!$A$2:$AO$501,MATCH($A475,'Budget original'!$A$2:$A$501,0),MATCH(F$2,'Budget original'!$A$2:$AO$2,0))</f>
        <v>0</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f>+INDEX('Budget original'!$A$2:$AO$501,MATCH($A476,'Budget original'!$A$2:$A$501,0),MATCH(F$2,'Budget original'!$A$2:$AO$2,0))</f>
        <v>0</v>
      </c>
      <c r="G476" s="288"/>
      <c r="H476" s="38"/>
      <c r="I476" s="244"/>
      <c r="J476" s="243"/>
      <c r="K476" s="38"/>
      <c r="L476" s="266">
        <f>SUMIFS(BV_Data_An_Cour!$AM:$AM,BV_Data_An_Cour!$AP:$AP,$B476,BV_Data_An_Cour!$AQ:$AQ,$C476,BV_Data_An_Cour!$AR:$AR,$L$2)</f>
        <v>75</v>
      </c>
      <c r="M476" s="243"/>
      <c r="N476" s="266"/>
      <c r="O476" s="243"/>
      <c r="P476" s="38"/>
      <c r="Q476" s="266">
        <f>SUMIFS(BV_Data_An_Prec!$AM:$AM,BV_Data_An_Prec!$AP:$AP,$B476,BV_Data_An_Prec!$AQ:$AQ,$C476,BV_Data_An_Prec!$AR:$AR,$L$2)</f>
        <v>0</v>
      </c>
      <c r="R476" s="243"/>
      <c r="S476" s="266">
        <f t="shared" si="73"/>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f>+INDEX('Budget original'!$A$2:$AO$501,MATCH($A477,'Budget original'!$A$2:$A$501,0),MATCH(F$2,'Budget original'!$A$2:$AO$2,0))</f>
        <v>0</v>
      </c>
      <c r="G477" s="288"/>
      <c r="H477" s="38"/>
      <c r="I477" s="244"/>
      <c r="J477" s="243"/>
      <c r="K477" s="38"/>
      <c r="L477" s="266">
        <f>SUMIFS(BV_Data_An_Cour!$AM:$AM,BV_Data_An_Cour!$AP:$AP,$B477,BV_Data_An_Cour!$AQ:$AQ,$C477,BV_Data_An_Cour!$AR:$AR,$L$2)</f>
        <v>1577.2800000000002</v>
      </c>
      <c r="M477" s="243"/>
      <c r="N477" s="266"/>
      <c r="O477" s="243"/>
      <c r="P477" s="38"/>
      <c r="Q477" s="266">
        <f>SUMIFS(BV_Data_An_Prec!$AM:$AM,BV_Data_An_Prec!$AP:$AP,$B477,BV_Data_An_Prec!$AQ:$AQ,$C477,BV_Data_An_Prec!$AR:$AR,$L$2)</f>
        <v>0</v>
      </c>
      <c r="R477" s="243"/>
      <c r="S477" s="266">
        <f t="shared" si="73"/>
        <v>1577.2800000000002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f>+INDEX('Budget original'!$A$2:$AO$501,MATCH($A478,'Budget original'!$A$2:$A$501,0),MATCH(F$2,'Budget original'!$A$2:$AO$2,0))</f>
        <v>0</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f>+INDEX('Budget original'!$A$2:$AO$501,MATCH($A479,'Budget original'!$A$2:$A$501,0),MATCH(F$2,'Budget original'!$A$2:$AO$2,0))</f>
        <v>0</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f>+INDEX('Budget original'!$A$2:$AO$501,MATCH($A480,'Budget original'!$A$2:$A$501,0),MATCH(F$2,'Budget original'!$A$2:$AO$2,0))</f>
        <v>0</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f>+INDEX('Budget original'!$A$2:$AO$501,MATCH($A481,'Budget original'!$A$2:$A$501,0),MATCH(F$2,'Budget original'!$A$2:$AO$2,0))</f>
        <v>0</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f>+SUM(F465:F481)</f>
        <v>0</v>
      </c>
      <c r="G482" s="295"/>
      <c r="H482" s="293"/>
      <c r="I482" s="294"/>
      <c r="J482" s="295" t="s">
        <v>115</v>
      </c>
      <c r="K482" s="293">
        <f>IFERROR(L482/L$448,0)</f>
        <v>4.051073812412518E-2</v>
      </c>
      <c r="L482" s="294">
        <f>+SUM(L465:L481)</f>
        <v>2764.36</v>
      </c>
      <c r="M482" s="296"/>
      <c r="N482" s="294"/>
      <c r="O482" s="295" t="s">
        <v>115</v>
      </c>
      <c r="P482" s="293">
        <f>IFERROR(Q482/Q$448,0)</f>
        <v>0</v>
      </c>
      <c r="Q482" s="294">
        <f>+SUM(Q465:Q481)</f>
        <v>0</v>
      </c>
      <c r="R482" s="297"/>
      <c r="S482" s="294">
        <f>+SUM(S465:S481)</f>
        <v>2764.36</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f>F464+F482</f>
        <v>0</v>
      </c>
      <c r="G484" s="295"/>
      <c r="H484" s="293"/>
      <c r="I484" s="294"/>
      <c r="J484" s="295" t="s">
        <v>115</v>
      </c>
      <c r="K484" s="293">
        <f>IFERROR(L484/L$448,0)</f>
        <v>0.26810542147443084</v>
      </c>
      <c r="L484" s="294">
        <f>L464+L482</f>
        <v>18294.899999999998</v>
      </c>
      <c r="M484" s="296"/>
      <c r="N484" s="294"/>
      <c r="O484" s="295" t="s">
        <v>115</v>
      </c>
      <c r="P484" s="293">
        <f>IFERROR(Q484/Q$448,0)</f>
        <v>0</v>
      </c>
      <c r="Q484" s="294">
        <f>Q464+Q482</f>
        <v>0</v>
      </c>
      <c r="R484" s="297"/>
      <c r="S484" s="294">
        <f>L484-Q484</f>
        <v>18294.899999999998</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49942.810000000056</v>
      </c>
      <c r="M486" s="958"/>
      <c r="N486" s="956"/>
      <c r="O486" s="957"/>
      <c r="P486" s="955"/>
      <c r="Q486" s="956">
        <f>Q448-Q484</f>
        <v>54634.710000000014</v>
      </c>
      <c r="R486" s="959"/>
      <c r="S486" s="956">
        <f>L486-Q486</f>
        <v>-4691.8999999999578</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f>F390+F326+F268</f>
        <v>0</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f>F429+F307+F365</f>
        <v>0</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77"/>
      <c r="Z491" s="1284"/>
      <c r="AA491" s="1276"/>
      <c r="AB491" s="1277"/>
      <c r="AC491" s="1284"/>
      <c r="AD491" s="1276" t="s">
        <v>340</v>
      </c>
      <c r="AE491" s="1277"/>
      <c r="AF491" s="1284"/>
      <c r="AG491" s="1276" t="s">
        <v>668</v>
      </c>
      <c r="AH491" s="1277"/>
      <c r="AI491" s="1284"/>
      <c r="AJ491" s="1276" t="s">
        <v>593</v>
      </c>
      <c r="AK491" s="1277"/>
      <c r="AL491" s="1277"/>
      <c r="AM491" s="1276" t="s">
        <v>594</v>
      </c>
      <c r="AN491" s="1277"/>
      <c r="AO491" s="127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#REF!</v>
      </c>
      <c r="AA493" s="382"/>
      <c r="AB493" s="382"/>
      <c r="AC493" s="383"/>
      <c r="AD493" s="384"/>
      <c r="AE493" s="385"/>
      <c r="AF493" s="383">
        <f>L5+L93+L173+K268+K326+J390+K448</f>
        <v>11078280.780000005</v>
      </c>
      <c r="AG493" s="384"/>
      <c r="AH493" s="385"/>
      <c r="AI493" s="386"/>
      <c r="AJ493" s="384"/>
      <c r="AK493" s="385"/>
      <c r="AL493" s="383">
        <f>Q5+Q93+Q173+P268+P326+O390+P448</f>
        <v>16454252.350000013</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#REF!</v>
      </c>
      <c r="Y494" s="390"/>
      <c r="Z494" s="391" t="e">
        <f>F27+F109+F268+F326+F390+#REF!</f>
        <v>#REF!</v>
      </c>
      <c r="AA494" s="390"/>
      <c r="AB494" s="390"/>
      <c r="AC494" s="391"/>
      <c r="AD494" s="754">
        <f>AF494/AF493</f>
        <v>5.0587994755627343E-2</v>
      </c>
      <c r="AE494" s="393"/>
      <c r="AF494" s="391">
        <f>L27+L109+L182+L268+L326+L390+L448</f>
        <v>560428.01000000746</v>
      </c>
      <c r="AG494" s="392"/>
      <c r="AH494" s="393" t="e">
        <f>AF494-Z494</f>
        <v>#REF!</v>
      </c>
      <c r="AI494" s="394" t="e">
        <f>AH494/Z494</f>
        <v>#REF!</v>
      </c>
      <c r="AJ494" s="754">
        <f>AL494/AL493</f>
        <v>5.0348758021813898E-2</v>
      </c>
      <c r="AK494" s="393"/>
      <c r="AL494" s="391">
        <f>Q27+Q109+Q182+Q268+Q326+Q390+Q448</f>
        <v>828451.17000001331</v>
      </c>
      <c r="AM494" s="395"/>
      <c r="AN494" s="393">
        <f>AF494-AL494</f>
        <v>-268023.16000000585</v>
      </c>
      <c r="AO494" s="396">
        <f>IF(AL494=0,0,AN494/AL494)</f>
        <v>-0.32352318362952104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#DIV/0!</v>
      </c>
      <c r="Z496" s="399">
        <f t="shared" ref="Z496:Z502" si="75">+SUMIF($C:$C,$V496,F:F)</f>
        <v>0</v>
      </c>
      <c r="AA496" s="398"/>
      <c r="AB496" s="406"/>
      <c r="AC496" s="399"/>
      <c r="AD496" s="407"/>
      <c r="AE496" s="401">
        <f>IF(AF496=0,0,AF496/(J$13+J$97))</f>
        <v>495.26333333333372</v>
      </c>
      <c r="AF496" s="399">
        <f t="shared" ref="AF496:AF502" si="76">+SUMIF($C:$C,$V496,L:L)</f>
        <v>49031.070000000036</v>
      </c>
      <c r="AG496" s="400" t="e">
        <f t="shared" ref="AG496:AG505" si="77">AE496-Y496</f>
        <v>#DIV/0!</v>
      </c>
      <c r="AH496" s="401">
        <f t="shared" ref="AH496:AH505" si="78">AF496-Z496</f>
        <v>49031.070000000036</v>
      </c>
      <c r="AI496" s="402">
        <f t="shared" ref="AI496:AI505" si="79">IF(Z496=0,0,AH496/Z496)</f>
        <v>0</v>
      </c>
      <c r="AJ496" s="407"/>
      <c r="AK496" s="401">
        <f>IF(AL496=0,0,AL496/(O$13+O$97))</f>
        <v>1116.3302631578945</v>
      </c>
      <c r="AL496" s="399">
        <f>SUMIFS(BV_Data_An_Prec!$AM:$AM,BV_Data_An_Prec!$AQ:$AQ,$V496)</f>
        <v>84841.099999999977</v>
      </c>
      <c r="AM496" s="403">
        <f>AE496-AK496</f>
        <v>-621.0669298245607</v>
      </c>
      <c r="AN496" s="401">
        <f>AF496-AL496</f>
        <v>-35810.029999999941</v>
      </c>
      <c r="AO496" s="408">
        <f>IF(AL496=0,0,AN496/AL496)</f>
        <v>-0.422083518483376</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#DIV/0!</v>
      </c>
      <c r="Z497" s="383">
        <f t="shared" si="75"/>
        <v>0</v>
      </c>
      <c r="AA497" s="382"/>
      <c r="AB497" s="410"/>
      <c r="AC497" s="383"/>
      <c r="AD497" s="411"/>
      <c r="AE497" s="385">
        <f t="shared" ref="AE497:AE504" si="80">IF(AF497=0,0,AF497/(J$13+J$97))</f>
        <v>0</v>
      </c>
      <c r="AF497" s="383">
        <f t="shared" si="76"/>
        <v>0</v>
      </c>
      <c r="AG497" s="384" t="e">
        <f t="shared" si="77"/>
        <v>#DIV/0!</v>
      </c>
      <c r="AH497" s="385">
        <f t="shared" si="78"/>
        <v>0</v>
      </c>
      <c r="AI497" s="412">
        <f t="shared" si="79"/>
        <v>0</v>
      </c>
      <c r="AJ497" s="411"/>
      <c r="AK497" s="385">
        <f t="shared" ref="AK497:AK504" si="81">IF(AL497=0,0,AL497/(O$13+O$97))</f>
        <v>278.6752631578949</v>
      </c>
      <c r="AL497" s="383">
        <f>SUMIFS(BV_Data_An_Prec!$AM:$AM,BV_Data_An_Prec!$AQ:$AQ,$V497)</f>
        <v>21179.320000000011</v>
      </c>
      <c r="AM497" s="991">
        <f t="shared" ref="AM497:AM504" si="82">AE497-AK497</f>
        <v>-278.6752631578949</v>
      </c>
      <c r="AN497" s="385">
        <f t="shared" ref="AN497:AN504" si="83">AF497-AL497</f>
        <v>-21179.320000000011</v>
      </c>
      <c r="AO497" s="388">
        <f t="shared" ref="AO497:AO504" si="84">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#DIV/0!</v>
      </c>
      <c r="Z498" s="399">
        <f t="shared" si="75"/>
        <v>0</v>
      </c>
      <c r="AA498" s="398"/>
      <c r="AB498" s="406"/>
      <c r="AC498" s="399"/>
      <c r="AD498" s="407"/>
      <c r="AE498" s="401">
        <f t="shared" si="80"/>
        <v>346.13535353535326</v>
      </c>
      <c r="AF498" s="399">
        <f t="shared" si="76"/>
        <v>34267.399999999972</v>
      </c>
      <c r="AG498" s="400" t="e">
        <f t="shared" si="77"/>
        <v>#DIV/0!</v>
      </c>
      <c r="AH498" s="401">
        <f t="shared" si="78"/>
        <v>34267.399999999972</v>
      </c>
      <c r="AI498" s="402">
        <f t="shared" si="79"/>
        <v>0</v>
      </c>
      <c r="AJ498" s="407"/>
      <c r="AK498" s="401">
        <f t="shared" si="81"/>
        <v>-72.434473684210502</v>
      </c>
      <c r="AL498" s="399">
        <f>SUMIFS(BV_Data_An_Prec!$AM:$AM,BV_Data_An_Prec!$AQ:$AQ,$V498)</f>
        <v>-5505.0199999999977</v>
      </c>
      <c r="AM498" s="403">
        <f t="shared" si="82"/>
        <v>418.56982721956376</v>
      </c>
      <c r="AN498" s="401">
        <f t="shared" si="83"/>
        <v>39772.419999999969</v>
      </c>
      <c r="AO498" s="408">
        <f t="shared" si="84"/>
        <v>-7.2247548601094973</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#DIV/0!</v>
      </c>
      <c r="Z499" s="399">
        <f t="shared" si="75"/>
        <v>0</v>
      </c>
      <c r="AA499" s="398"/>
      <c r="AB499" s="406"/>
      <c r="AC499" s="399"/>
      <c r="AD499" s="407"/>
      <c r="AE499" s="401">
        <f t="shared" si="80"/>
        <v>7.9209090909090731</v>
      </c>
      <c r="AF499" s="399">
        <f t="shared" si="76"/>
        <v>784.16999999999825</v>
      </c>
      <c r="AG499" s="400" t="e">
        <f t="shared" si="77"/>
        <v>#DIV/0!</v>
      </c>
      <c r="AH499" s="401">
        <f t="shared" si="78"/>
        <v>784.16999999999825</v>
      </c>
      <c r="AI499" s="402">
        <f t="shared" si="79"/>
        <v>0</v>
      </c>
      <c r="AJ499" s="407"/>
      <c r="AK499" s="401">
        <f t="shared" si="81"/>
        <v>6.2107894736842102</v>
      </c>
      <c r="AL499" s="399">
        <f>SUMIFS(BV_Data_An_Prec!$AM:$AM,BV_Data_An_Prec!$AQ:$AQ,$V499)</f>
        <v>472.02</v>
      </c>
      <c r="AM499" s="403">
        <f t="shared" si="82"/>
        <v>1.7101196172248629</v>
      </c>
      <c r="AN499" s="401">
        <f t="shared" si="83"/>
        <v>312.14999999999827</v>
      </c>
      <c r="AO499" s="408">
        <f t="shared" si="84"/>
        <v>0.66130672429133996</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#DIV/0!</v>
      </c>
      <c r="Z500" s="383">
        <f t="shared" si="75"/>
        <v>0</v>
      </c>
      <c r="AA500" s="382"/>
      <c r="AB500" s="410"/>
      <c r="AC500" s="383"/>
      <c r="AD500" s="411"/>
      <c r="AE500" s="385">
        <f t="shared" si="80"/>
        <v>31.663131313131309</v>
      </c>
      <c r="AF500" s="383">
        <f t="shared" si="76"/>
        <v>3134.6499999999996</v>
      </c>
      <c r="AG500" s="384" t="e">
        <f t="shared" si="77"/>
        <v>#DIV/0!</v>
      </c>
      <c r="AH500" s="385">
        <f t="shared" si="78"/>
        <v>3134.6499999999996</v>
      </c>
      <c r="AI500" s="412">
        <f t="shared" si="79"/>
        <v>0</v>
      </c>
      <c r="AJ500" s="411"/>
      <c r="AK500" s="385">
        <f t="shared" si="81"/>
        <v>0</v>
      </c>
      <c r="AL500" s="383">
        <f>SUMIFS(BV_Data_An_Prec!$AM:$AM,BV_Data_An_Prec!$AQ:$AQ,$V500)</f>
        <v>0</v>
      </c>
      <c r="AM500" s="991">
        <f t="shared" si="82"/>
        <v>31.663131313131309</v>
      </c>
      <c r="AN500" s="385">
        <f t="shared" si="83"/>
        <v>3134.6499999999996</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#DIV/0!</v>
      </c>
      <c r="Z501" s="399">
        <f t="shared" si="75"/>
        <v>0</v>
      </c>
      <c r="AA501" s="402"/>
      <c r="AB501" s="406"/>
      <c r="AC501" s="399"/>
      <c r="AD501" s="407"/>
      <c r="AE501" s="401">
        <f t="shared" si="80"/>
        <v>-559.2826262626262</v>
      </c>
      <c r="AF501" s="399">
        <f t="shared" si="76"/>
        <v>-55368.979999999996</v>
      </c>
      <c r="AG501" s="400" t="e">
        <f t="shared" si="77"/>
        <v>#DIV/0!</v>
      </c>
      <c r="AH501" s="401">
        <f t="shared" si="78"/>
        <v>-55368.979999999996</v>
      </c>
      <c r="AI501" s="402">
        <f t="shared" si="79"/>
        <v>0</v>
      </c>
      <c r="AJ501" s="407"/>
      <c r="AK501" s="401">
        <f t="shared" si="81"/>
        <v>-1186.0940789473686</v>
      </c>
      <c r="AL501" s="399">
        <f>SUMIFS(BV_Data_An_Prec!$AM:$AM,BV_Data_An_Prec!$AQ:$AQ,$V501)</f>
        <v>-90143.150000000009</v>
      </c>
      <c r="AM501" s="403">
        <f t="shared" si="82"/>
        <v>626.81145268474245</v>
      </c>
      <c r="AN501" s="401">
        <f t="shared" si="83"/>
        <v>34774.170000000013</v>
      </c>
      <c r="AO501" s="408">
        <f t="shared" si="84"/>
        <v>-0.38576608427817322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#DIV/0!</v>
      </c>
      <c r="Z502" s="399">
        <f t="shared" si="75"/>
        <v>0</v>
      </c>
      <c r="AA502" s="398"/>
      <c r="AB502" s="406"/>
      <c r="AC502" s="399"/>
      <c r="AD502" s="407"/>
      <c r="AE502" s="401">
        <f t="shared" si="80"/>
        <v>498.62010101010088</v>
      </c>
      <c r="AF502" s="399">
        <f t="shared" si="76"/>
        <v>49363.389999999985</v>
      </c>
      <c r="AG502" s="704" t="e">
        <f t="shared" si="77"/>
        <v>#DIV/0!</v>
      </c>
      <c r="AH502" s="659">
        <f t="shared" si="78"/>
        <v>49363.389999999985</v>
      </c>
      <c r="AI502" s="402">
        <f t="shared" si="79"/>
        <v>0</v>
      </c>
      <c r="AJ502" s="407"/>
      <c r="AK502" s="401">
        <f t="shared" si="81"/>
        <v>766.22947368420978</v>
      </c>
      <c r="AL502" s="399">
        <f>SUMIFS(BV_Data_An_Prec!$AM:$AM,BV_Data_An_Prec!$AQ:$AQ,$V502)</f>
        <v>58233.439999999944</v>
      </c>
      <c r="AM502" s="403">
        <f t="shared" si="82"/>
        <v>-267.6093726741089</v>
      </c>
      <c r="AN502" s="401">
        <f t="shared" si="83"/>
        <v>-8870.0499999999593</v>
      </c>
      <c r="AO502" s="408">
        <f t="shared" si="84"/>
        <v>-0.15231883948466668</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#DIV/0!</v>
      </c>
      <c r="Z503" s="399">
        <f>IFERROR(SUMIF($C:$C,$V503,F:F),0)</f>
        <v>0</v>
      </c>
      <c r="AA503" s="398"/>
      <c r="AB503" s="406"/>
      <c r="AC503" s="399"/>
      <c r="AD503" s="407"/>
      <c r="AE503" s="401">
        <f>IF(AF503=0,0,AF503/(J$13+J$97))</f>
        <v>-1296.1610101010094</v>
      </c>
      <c r="AF503" s="399">
        <f>IFERROR(SUMIF($C:$C,$V503,L:L),0)</f>
        <v>-128319.93999999994</v>
      </c>
      <c r="AG503" s="400" t="e">
        <f t="shared" si="77"/>
        <v>#DIV/0!</v>
      </c>
      <c r="AH503" s="401">
        <f t="shared" si="78"/>
        <v>-128319.93999999994</v>
      </c>
      <c r="AI503" s="402">
        <f t="shared" si="79"/>
        <v>0</v>
      </c>
      <c r="AJ503" s="407"/>
      <c r="AK503" s="401">
        <f t="shared" si="81"/>
        <v>-2902.7215789473694</v>
      </c>
      <c r="AL503" s="399">
        <f>SUMIFS(BV_Data_An_Prec!$AM:$AM,BV_Data_An_Prec!$AQ:$AQ,$V503)</f>
        <v>-220606.84000000008</v>
      </c>
      <c r="AM503" s="403">
        <f>AE503-AK503</f>
        <v>1606.56056884636</v>
      </c>
      <c r="AN503" s="401">
        <f t="shared" si="83"/>
        <v>92286.90000000014</v>
      </c>
      <c r="AO503" s="408">
        <f t="shared" si="84"/>
        <v>-0.41833199732157039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#DIV/0!</v>
      </c>
      <c r="Z504" s="399">
        <f>IFERROR(SUMIF($C:$C,$V504,F:F),0)</f>
        <v>0</v>
      </c>
      <c r="AA504" s="398"/>
      <c r="AB504" s="406"/>
      <c r="AC504" s="399"/>
      <c r="AD504" s="407"/>
      <c r="AE504" s="401">
        <f t="shared" si="80"/>
        <v>0</v>
      </c>
      <c r="AF504" s="399">
        <f>IFERROR(SUMIF($C:$C,$V504,L:L),0)</f>
        <v>0</v>
      </c>
      <c r="AG504" s="400" t="e">
        <f t="shared" si="77"/>
        <v>#DIV/0!</v>
      </c>
      <c r="AH504" s="401">
        <f t="shared" si="78"/>
        <v>0</v>
      </c>
      <c r="AI504" s="402">
        <f t="shared" si="79"/>
        <v>0</v>
      </c>
      <c r="AJ504" s="407"/>
      <c r="AK504" s="401">
        <f t="shared" si="81"/>
        <v>0</v>
      </c>
      <c r="AL504" s="399">
        <f>SUMIFS(BV_Data_An_Prec!$AM:$AM,BV_Data_An_Prec!$AQ:$AQ,$V504)</f>
        <v>0</v>
      </c>
      <c r="AM504" s="403">
        <f t="shared" si="82"/>
        <v>0</v>
      </c>
      <c r="AN504" s="401">
        <f t="shared" si="83"/>
        <v>0</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#DIV/0!</v>
      </c>
      <c r="Z505" s="399">
        <f>IFERROR(SUMIF($C:$C,$V505,F:F),0)</f>
        <v>0</v>
      </c>
      <c r="AA505" s="398"/>
      <c r="AB505" s="406"/>
      <c r="AC505" s="399"/>
      <c r="AD505" s="407"/>
      <c r="AE505" s="401">
        <f>IF(AF505=0,0,AF505/(J$13+J$13))</f>
        <v>0</v>
      </c>
      <c r="AF505" s="399">
        <f>IFERROR(SUMIF($C:$C,$V505,L:L),0)</f>
        <v>0</v>
      </c>
      <c r="AG505" s="400" t="e">
        <f t="shared" si="77"/>
        <v>#DIV/0!</v>
      </c>
      <c r="AH505" s="401">
        <f t="shared" si="78"/>
        <v>0</v>
      </c>
      <c r="AI505" s="402">
        <f t="shared" si="79"/>
        <v>0</v>
      </c>
      <c r="AJ505" s="407"/>
      <c r="AK505" s="401">
        <f>IF(AL505=0,0,AL505/(P$13+P$13))</f>
        <v>0</v>
      </c>
      <c r="AL505" s="399">
        <f>IFERROR(SUMIF($C:$C,$V505,R:R),0)</f>
        <v>0</v>
      </c>
      <c r="AM505" s="403" t="e">
        <f t="shared" ref="AM505" si="85">AE505-Y505</f>
        <v>#DIV/0!</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#REF!</v>
      </c>
      <c r="Y506" s="414"/>
      <c r="Z506" s="416">
        <f>SUM(Z496:Z505)</f>
        <v>0</v>
      </c>
      <c r="AA506" s="415"/>
      <c r="AB506" s="414"/>
      <c r="AC506" s="416"/>
      <c r="AD506" s="417">
        <f>AF506/AF494</f>
        <v>-8.4057611610096603E-2</v>
      </c>
      <c r="AE506" s="419"/>
      <c r="AF506" s="416">
        <f>SUM(AF496:AF505)</f>
        <v>-47108.239999999962</v>
      </c>
      <c r="AG506" s="418"/>
      <c r="AH506" s="419">
        <f t="shared" ref="AH506:AH538" si="88">AF506-Z506</f>
        <v>-47108.239999999962</v>
      </c>
      <c r="AI506" s="415" t="e">
        <f>AH506/Z506</f>
        <v>#DIV/0!</v>
      </c>
      <c r="AJ506" s="417">
        <f>AL506/AL494</f>
        <v>-0.18290653147366276</v>
      </c>
      <c r="AK506" s="419"/>
      <c r="AL506" s="416">
        <f>SUM(AL496:AL505)</f>
        <v>-151529.13000000018</v>
      </c>
      <c r="AM506" s="423"/>
      <c r="AN506" s="419">
        <f t="shared" si="86"/>
        <v>104420.89000000022</v>
      </c>
      <c r="AO506" s="396">
        <f t="shared" si="87"/>
        <v>-0.68911429769312404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f>+INDEX('Budget original'!$A$2:$AO$501,MATCH($A507,'Budget original'!$A$2:$A$501,0),MATCH(F$2,'Budget original'!$A$2:$AO$2,0))</f>
        <v>0</v>
      </c>
      <c r="AA507" s="398"/>
      <c r="AB507" s="398"/>
      <c r="AC507" s="399"/>
      <c r="AD507" s="407"/>
      <c r="AE507" s="406"/>
      <c r="AF507" s="399">
        <f>SUMIFS(BV_Data_An_Cour!$AM:$AM,BV_Data_An_Cour!$AQ:$AQ,$V507)</f>
        <v>6923.100000000004</v>
      </c>
      <c r="AG507" s="400"/>
      <c r="AH507" s="401">
        <f t="shared" si="88"/>
        <v>6923.100000000004</v>
      </c>
      <c r="AI507" s="402">
        <f t="shared" ref="AI507:AI519" si="89">IF(Z507=0,0,AH507/Z507)</f>
        <v>0</v>
      </c>
      <c r="AJ507" s="407"/>
      <c r="AK507" s="406"/>
      <c r="AL507" s="399">
        <f>SUMIFS(BV_Data_An_Prec!$AM:$AM,BV_Data_An_Prec!$AQ:$AQ,$V507)</f>
        <v>2522.1799999999821</v>
      </c>
      <c r="AM507" s="403"/>
      <c r="AN507" s="401">
        <f t="shared" si="86"/>
        <v>4400.9200000000219</v>
      </c>
      <c r="AO507" s="408">
        <f t="shared" si="87"/>
        <v>1.7448873593478869</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f t="shared" ref="Z508:Z518" si="90">+SUMIF($C:$C,$V508,F:F)</f>
        <v>0</v>
      </c>
      <c r="AA508" s="398"/>
      <c r="AB508" s="398"/>
      <c r="AC508" s="399"/>
      <c r="AD508" s="407"/>
      <c r="AE508" s="406"/>
      <c r="AF508" s="399">
        <f>+SUMIF($C:$C,$V508,L:L)</f>
        <v>24108.560000000001</v>
      </c>
      <c r="AG508" s="400"/>
      <c r="AH508" s="401">
        <f t="shared" si="88"/>
        <v>24108.560000000001</v>
      </c>
      <c r="AI508" s="402">
        <f t="shared" si="89"/>
        <v>0</v>
      </c>
      <c r="AJ508" s="407"/>
      <c r="AK508" s="406"/>
      <c r="AL508" s="399">
        <f>SUMIFS(BV_Data_An_Prec!$AM:$AM,BV_Data_An_Prec!$AQ:$AQ,$V508)</f>
        <v>45636.330000000016</v>
      </c>
      <c r="AM508" s="403"/>
      <c r="AN508" s="401">
        <f t="shared" si="86"/>
        <v>-21527.770000000015</v>
      </c>
      <c r="AO508" s="408">
        <f t="shared" si="87"/>
        <v>-0.47172439151000983</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f t="shared" si="90"/>
        <v>0</v>
      </c>
      <c r="AA509" s="382"/>
      <c r="AB509" s="382"/>
      <c r="AC509" s="383"/>
      <c r="AD509" s="411"/>
      <c r="AE509" s="410"/>
      <c r="AF509" s="383">
        <f>+SUMIF($C:$C,$V509,L:L)</f>
        <v>28248.980000000003</v>
      </c>
      <c r="AG509" s="384"/>
      <c r="AH509" s="385">
        <f t="shared" si="88"/>
        <v>28248.980000000003</v>
      </c>
      <c r="AI509" s="412">
        <f t="shared" si="89"/>
        <v>0</v>
      </c>
      <c r="AJ509" s="411"/>
      <c r="AK509" s="410"/>
      <c r="AL509" s="383">
        <f>SUMIFS(BV_Data_An_Prec!$AM:$AM,BV_Data_An_Prec!$AQ:$AQ,$V509)</f>
        <v>98155.829999999973</v>
      </c>
      <c r="AM509" s="387"/>
      <c r="AN509" s="385">
        <f t="shared" si="86"/>
        <v>-69906.849999999977</v>
      </c>
      <c r="AO509" s="388">
        <f t="shared" si="87"/>
        <v>-0.71220272906866555</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f t="shared" si="90"/>
        <v>0</v>
      </c>
      <c r="AA510" s="398"/>
      <c r="AB510" s="398"/>
      <c r="AC510" s="399"/>
      <c r="AD510" s="407"/>
      <c r="AE510" s="406"/>
      <c r="AF510" s="399">
        <f>+SUMIF($C:$C,$V510,L:L)</f>
        <v>22235.090000000022</v>
      </c>
      <c r="AG510" s="400"/>
      <c r="AH510" s="401">
        <f t="shared" si="88"/>
        <v>22235.090000000022</v>
      </c>
      <c r="AI510" s="402">
        <f t="shared" si="89"/>
        <v>0</v>
      </c>
      <c r="AJ510" s="407"/>
      <c r="AK510" s="406"/>
      <c r="AL510" s="399">
        <f>SUMIFS(BV_Data_An_Prec!$AM:$AM,BV_Data_An_Prec!$AQ:$AQ,$V510)</f>
        <v>93760.670000000027</v>
      </c>
      <c r="AM510" s="403"/>
      <c r="AN510" s="401">
        <f t="shared" si="86"/>
        <v>-71525.58</v>
      </c>
      <c r="AO510" s="408">
        <f t="shared" si="87"/>
        <v>-0.76285269719169013</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f t="shared" si="90"/>
        <v>0</v>
      </c>
      <c r="AA511" s="398"/>
      <c r="AB511" s="398"/>
      <c r="AC511" s="399"/>
      <c r="AD511" s="407"/>
      <c r="AE511" s="406"/>
      <c r="AF511" s="399">
        <f>+SUMIF($C:$C,$V511,L:L)</f>
        <v>6300</v>
      </c>
      <c r="AG511" s="400"/>
      <c r="AH511" s="401">
        <f t="shared" si="88"/>
        <v>6300</v>
      </c>
      <c r="AI511" s="402">
        <f t="shared" si="89"/>
        <v>0</v>
      </c>
      <c r="AJ511" s="407"/>
      <c r="AK511" s="406"/>
      <c r="AL511" s="399">
        <f>SUMIFS(BV_Data_An_Prec!$AM:$AM,BV_Data_An_Prec!$AQ:$AQ,$V511)</f>
        <v>0</v>
      </c>
      <c r="AM511" s="403"/>
      <c r="AN511" s="401">
        <f t="shared" si="86"/>
        <v>6300</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f t="shared" si="90"/>
        <v>0</v>
      </c>
      <c r="AA512" s="398"/>
      <c r="AB512" s="398"/>
      <c r="AC512" s="399"/>
      <c r="AD512" s="407"/>
      <c r="AE512" s="406"/>
      <c r="AF512" s="399">
        <f>IFERROR(SUMIF($C:$C,$V512,L:L),0)</f>
        <v>0</v>
      </c>
      <c r="AG512" s="400"/>
      <c r="AH512" s="401">
        <f t="shared" si="88"/>
        <v>0</v>
      </c>
      <c r="AI512" s="402">
        <f t="shared" si="89"/>
        <v>0</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f t="shared" si="90"/>
        <v>0</v>
      </c>
      <c r="AA513" s="398"/>
      <c r="AB513" s="398"/>
      <c r="AC513" s="399"/>
      <c r="AD513" s="407"/>
      <c r="AE513" s="406"/>
      <c r="AF513" s="399">
        <f>IFERROR(SUMIF($C:$C,$V513,L:L),0)</f>
        <v>0</v>
      </c>
      <c r="AG513" s="400"/>
      <c r="AH513" s="401">
        <f t="shared" si="88"/>
        <v>0</v>
      </c>
      <c r="AI513" s="402">
        <f t="shared" si="89"/>
        <v>0</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f t="shared" si="90"/>
        <v>0</v>
      </c>
      <c r="AA514" s="398"/>
      <c r="AB514" s="398"/>
      <c r="AC514" s="399"/>
      <c r="AD514" s="407"/>
      <c r="AE514" s="406"/>
      <c r="AF514" s="399">
        <f>IFERROR(SUMIF($C:$C,$V514,L:L),0)</f>
        <v>0</v>
      </c>
      <c r="AG514" s="400"/>
      <c r="AH514" s="401">
        <f t="shared" si="88"/>
        <v>0</v>
      </c>
      <c r="AI514" s="402">
        <f t="shared" si="89"/>
        <v>0</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#DIV/0!</v>
      </c>
      <c r="Z515" s="383">
        <f t="shared" si="90"/>
        <v>0</v>
      </c>
      <c r="AA515" s="382"/>
      <c r="AB515" s="382"/>
      <c r="AC515" s="383"/>
      <c r="AD515" s="411"/>
      <c r="AE515" s="410"/>
      <c r="AF515" s="383">
        <f>+SUMIF($C:$C,$V515,L:L)</f>
        <v>28364.150000000005</v>
      </c>
      <c r="AG515" s="384"/>
      <c r="AH515" s="385">
        <f t="shared" si="88"/>
        <v>28364.150000000005</v>
      </c>
      <c r="AI515" s="412">
        <f t="shared" si="89"/>
        <v>0</v>
      </c>
      <c r="AJ515" s="411"/>
      <c r="AK515" s="410"/>
      <c r="AL515" s="383">
        <f>SUMIFS(BV_Data_An_Prec!$AM:$AM,BV_Data_An_Prec!$AQ:$AQ,$V515)</f>
        <v>40334.779999999992</v>
      </c>
      <c r="AM515" s="387"/>
      <c r="AN515" s="385">
        <f t="shared" si="86"/>
        <v>-11970.629999999986</v>
      </c>
      <c r="AO515" s="388">
        <f t="shared" si="87"/>
        <v>-0.29678183443668193</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#DIV/0!</v>
      </c>
      <c r="Z516" s="399">
        <f t="shared" si="90"/>
        <v>0</v>
      </c>
      <c r="AA516" s="398"/>
      <c r="AB516" s="398"/>
      <c r="AC516" s="399"/>
      <c r="AD516" s="407"/>
      <c r="AE516" s="406"/>
      <c r="AF516" s="399">
        <f>+SUMIF($C:$C,$V516,L:L)</f>
        <v>25820.560000000012</v>
      </c>
      <c r="AG516" s="400"/>
      <c r="AH516" s="401">
        <f t="shared" si="88"/>
        <v>25820.560000000012</v>
      </c>
      <c r="AI516" s="402">
        <f t="shared" si="89"/>
        <v>0</v>
      </c>
      <c r="AJ516" s="407"/>
      <c r="AK516" s="406"/>
      <c r="AL516" s="399">
        <f>SUMIFS(BV_Data_An_Prec!$AM:$AM,BV_Data_An_Prec!$AQ:$AQ,$V516)</f>
        <v>43183.060000000012</v>
      </c>
      <c r="AM516" s="403"/>
      <c r="AN516" s="401">
        <f t="shared" si="86"/>
        <v>-17362.5</v>
      </c>
      <c r="AO516" s="408">
        <f t="shared" si="87"/>
        <v>-0.40206738475689296</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#DIV/0!</v>
      </c>
      <c r="Z517" s="399">
        <f t="shared" si="90"/>
        <v>0</v>
      </c>
      <c r="AA517" s="398"/>
      <c r="AB517" s="398"/>
      <c r="AC517" s="399"/>
      <c r="AD517" s="407"/>
      <c r="AE517" s="406"/>
      <c r="AF517" s="399">
        <f>+SUMIF($C:$C,$V517,L:L)</f>
        <v>3082.2199999999943</v>
      </c>
      <c r="AG517" s="400"/>
      <c r="AH517" s="401">
        <f t="shared" si="88"/>
        <v>3082.2199999999943</v>
      </c>
      <c r="AI517" s="402">
        <f t="shared" si="89"/>
        <v>0</v>
      </c>
      <c r="AJ517" s="407"/>
      <c r="AK517" s="406"/>
      <c r="AL517" s="399">
        <f>SUMIFS(BV_Data_An_Prec!$AM:$AM,BV_Data_An_Prec!$AQ:$AQ,$V517)</f>
        <v>21788.750000000011</v>
      </c>
      <c r="AM517" s="403"/>
      <c r="AN517" s="401">
        <f t="shared" si="86"/>
        <v>-18706.530000000017</v>
      </c>
      <c r="AO517" s="408">
        <f t="shared" si="87"/>
        <v>-0.85854076071367136</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f t="shared" si="90"/>
        <v>0</v>
      </c>
      <c r="AA518" s="398"/>
      <c r="AB518" s="398"/>
      <c r="AC518" s="399"/>
      <c r="AD518" s="407"/>
      <c r="AE518" s="406"/>
      <c r="AF518" s="399">
        <f>+SUMIF($C:$C,$V518,L:L)</f>
        <v>12795.04</v>
      </c>
      <c r="AG518" s="400"/>
      <c r="AH518" s="401">
        <f t="shared" si="88"/>
        <v>12795.04</v>
      </c>
      <c r="AI518" s="420">
        <f t="shared" si="89"/>
        <v>0</v>
      </c>
      <c r="AJ518" s="407"/>
      <c r="AK518" s="406"/>
      <c r="AL518" s="399">
        <f>SUMIFS(BV_Data_An_Prec!$AM:$AM,BV_Data_An_Prec!$AQ:$AQ,$V518)</f>
        <v>1080.9199999999985</v>
      </c>
      <c r="AM518" s="403"/>
      <c r="AN518" s="401">
        <f t="shared" si="86"/>
        <v>11714.120000000003</v>
      </c>
      <c r="AO518" s="408">
        <f t="shared" si="87"/>
        <v>10.837175739185156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#REF!</v>
      </c>
      <c r="Y520" s="414"/>
      <c r="Z520" s="416">
        <f>SUM(Z507:Z519)</f>
        <v>0</v>
      </c>
      <c r="AA520" s="415"/>
      <c r="AB520" s="414"/>
      <c r="AC520" s="416"/>
      <c r="AD520" s="417">
        <f>AF520/AF494</f>
        <v>0.28170915297398852</v>
      </c>
      <c r="AE520" s="421"/>
      <c r="AF520" s="416">
        <f>SUM(AF507:AF519)</f>
        <v>157877.70000000007</v>
      </c>
      <c r="AG520" s="418"/>
      <c r="AH520" s="419">
        <f t="shared" si="88"/>
        <v>157877.70000000007</v>
      </c>
      <c r="AI520" s="415" t="e">
        <f>AH520/Z520</f>
        <v>#DIV/0!</v>
      </c>
      <c r="AJ520" s="417">
        <f>AL520/AL494</f>
        <v>0.41820511883638767</v>
      </c>
      <c r="AK520" s="421"/>
      <c r="AL520" s="416">
        <f>SUM(AL507:AL519)</f>
        <v>346462.51999999996</v>
      </c>
      <c r="AM520" s="423"/>
      <c r="AN520" s="419">
        <f t="shared" si="86"/>
        <v>-188584.81999999989</v>
      </c>
      <c r="AO520" s="396">
        <f t="shared" si="87"/>
        <v>-0.54431521193114885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f t="shared" ref="Z521:Z535" si="91">+SUMIF($C:$C,$V521,F:F)</f>
        <v>0</v>
      </c>
      <c r="AA521" s="425"/>
      <c r="AB521" s="425"/>
      <c r="AC521" s="426"/>
      <c r="AD521" s="427"/>
      <c r="AE521" s="428"/>
      <c r="AF521" s="426">
        <f>+SUMIF($C:$C,$V521,L:L)</f>
        <v>5732.2299999999987</v>
      </c>
      <c r="AG521" s="427"/>
      <c r="AH521" s="429">
        <f t="shared" si="88"/>
        <v>5732.2299999999987</v>
      </c>
      <c r="AI521" s="430">
        <f t="shared" ref="AI521:AI538" si="92">IF(Z521=0,0,AH521/Z521)</f>
        <v>0</v>
      </c>
      <c r="AJ521" s="427"/>
      <c r="AK521" s="428"/>
      <c r="AL521" s="426">
        <f>SUMIFS(BV_Data_An_Prec!$AM:$AM,BV_Data_An_Prec!$AQ:$AQ,$V521)</f>
        <v>5671.7099999999991</v>
      </c>
      <c r="AM521" s="431"/>
      <c r="AN521" s="429">
        <f t="shared" si="86"/>
        <v>60.519999999999527</v>
      </c>
      <c r="AO521" s="404">
        <f t="shared" si="87"/>
        <v>1.0670503252105544E-2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f t="shared" si="91"/>
        <v>0</v>
      </c>
      <c r="AA522" s="398"/>
      <c r="AB522" s="398"/>
      <c r="AC522" s="399"/>
      <c r="AD522" s="407"/>
      <c r="AE522" s="406"/>
      <c r="AF522" s="399">
        <f>+SUMIF($C:$C,$V522,L:L)</f>
        <v>5631.2100000000009</v>
      </c>
      <c r="AG522" s="400"/>
      <c r="AH522" s="401">
        <f t="shared" si="88"/>
        <v>5631.2100000000009</v>
      </c>
      <c r="AI522" s="402">
        <f t="shared" si="92"/>
        <v>0</v>
      </c>
      <c r="AJ522" s="407"/>
      <c r="AK522" s="406"/>
      <c r="AL522" s="399">
        <f>SUMIFS(BV_Data_An_Prec!$AM:$AM,BV_Data_An_Prec!$AQ:$AQ,$V522)</f>
        <v>6896.33</v>
      </c>
      <c r="AM522" s="403"/>
      <c r="AN522" s="401">
        <f t="shared" si="86"/>
        <v>-1265.119999999999</v>
      </c>
      <c r="AO522" s="408">
        <f t="shared" si="87"/>
        <v>-0.18344829786277614</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f t="shared" si="91"/>
        <v>0</v>
      </c>
      <c r="AA523" s="382"/>
      <c r="AB523" s="382"/>
      <c r="AC523" s="383"/>
      <c r="AD523" s="411"/>
      <c r="AE523" s="410"/>
      <c r="AF523" s="383">
        <f>+SUMIF($C:$C,$V523,L:L)</f>
        <v>13716.38999999999</v>
      </c>
      <c r="AG523" s="384"/>
      <c r="AH523" s="385">
        <f t="shared" si="88"/>
        <v>13716.38999999999</v>
      </c>
      <c r="AI523" s="412">
        <f t="shared" si="92"/>
        <v>0</v>
      </c>
      <c r="AJ523" s="411"/>
      <c r="AK523" s="410"/>
      <c r="AL523" s="383">
        <f>SUMIFS(BV_Data_An_Prec!$AM:$AM,BV_Data_An_Prec!$AQ:$AQ,$V523)</f>
        <v>12036.199999999992</v>
      </c>
      <c r="AM523" s="387"/>
      <c r="AN523" s="385">
        <f t="shared" si="86"/>
        <v>1680.1899999999987</v>
      </c>
      <c r="AO523" s="388">
        <f t="shared" si="87"/>
        <v>0.13959472258686295</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f t="shared" si="91"/>
        <v>0</v>
      </c>
      <c r="AA524" s="398"/>
      <c r="AB524" s="398"/>
      <c r="AC524" s="399"/>
      <c r="AD524" s="407"/>
      <c r="AE524" s="406"/>
      <c r="AF524" s="399">
        <f>+SUMIF($C:$C,$V524,L:L)</f>
        <v>12446.94</v>
      </c>
      <c r="AG524" s="400"/>
      <c r="AH524" s="401">
        <f t="shared" si="88"/>
        <v>12446.94</v>
      </c>
      <c r="AI524" s="402">
        <f t="shared" si="92"/>
        <v>0</v>
      </c>
      <c r="AJ524" s="407"/>
      <c r="AK524" s="406"/>
      <c r="AL524" s="399">
        <f>SUMIFS(BV_Data_An_Prec!$AM:$AM,BV_Data_An_Prec!$AQ:$AQ,$V524)</f>
        <v>11173.099999999997</v>
      </c>
      <c r="AM524" s="403"/>
      <c r="AN524" s="401">
        <f t="shared" si="86"/>
        <v>1273.8400000000038</v>
      </c>
      <c r="AO524" s="408">
        <f t="shared" si="87"/>
        <v>0.11400954077203321</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f t="shared" si="91"/>
        <v>0</v>
      </c>
      <c r="AA525" s="398"/>
      <c r="AB525" s="398"/>
      <c r="AC525" s="399"/>
      <c r="AD525" s="407"/>
      <c r="AE525" s="406"/>
      <c r="AF525" s="399">
        <f>+SUMIF($C:$C,$V525,L:L)</f>
        <v>2503.3900000000003</v>
      </c>
      <c r="AG525" s="400"/>
      <c r="AH525" s="401">
        <f t="shared" si="88"/>
        <v>2503.3900000000003</v>
      </c>
      <c r="AI525" s="402">
        <f t="shared" si="92"/>
        <v>0</v>
      </c>
      <c r="AJ525" s="407"/>
      <c r="AK525" s="406"/>
      <c r="AL525" s="399">
        <f>SUMIFS(BV_Data_An_Prec!$AM:$AM,BV_Data_An_Prec!$AQ:$AQ,$V525)</f>
        <v>34438.07</v>
      </c>
      <c r="AM525" s="403"/>
      <c r="AN525" s="401">
        <f t="shared" si="86"/>
        <v>-31934.68</v>
      </c>
      <c r="AO525" s="408">
        <f t="shared" si="87"/>
        <v>-0.92730748267832663</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f t="shared" si="91"/>
        <v>0</v>
      </c>
      <c r="AA526" s="398"/>
      <c r="AB526" s="398"/>
      <c r="AC526" s="399"/>
      <c r="AD526" s="407"/>
      <c r="AE526" s="406"/>
      <c r="AF526" s="399">
        <f>SUMIFS(BV_Data_An_Cour!$AM:$AM,BV_Data_An_Cour!$AQ:$AQ,$V526)</f>
        <v>18209.179999999997</v>
      </c>
      <c r="AG526" s="400"/>
      <c r="AH526" s="401">
        <f t="shared" si="88"/>
        <v>18209.179999999997</v>
      </c>
      <c r="AI526" s="402">
        <f t="shared" si="92"/>
        <v>0</v>
      </c>
      <c r="AJ526" s="407"/>
      <c r="AK526" s="406"/>
      <c r="AL526" s="399">
        <f>SUMIFS(BV_Data_An_Prec!$AM:$AM,BV_Data_An_Prec!$AQ:$AQ,$V526)</f>
        <v>33892.07</v>
      </c>
      <c r="AM526" s="403"/>
      <c r="AN526" s="401">
        <f t="shared" si="86"/>
        <v>-15682.890000000003</v>
      </c>
      <c r="AO526" s="408">
        <f t="shared" si="87"/>
        <v>-0.4627303673101113</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f t="shared" si="91"/>
        <v>0</v>
      </c>
      <c r="AA528" s="398"/>
      <c r="AB528" s="406"/>
      <c r="AC528" s="399"/>
      <c r="AD528" s="407"/>
      <c r="AE528" s="406"/>
      <c r="AF528" s="399">
        <f t="shared" si="93"/>
        <v>11315.549999999997</v>
      </c>
      <c r="AG528" s="400"/>
      <c r="AH528" s="401">
        <f t="shared" si="88"/>
        <v>11315.549999999997</v>
      </c>
      <c r="AI528" s="402">
        <f t="shared" si="92"/>
        <v>0</v>
      </c>
      <c r="AJ528" s="407"/>
      <c r="AK528" s="406"/>
      <c r="AL528" s="399">
        <f>SUMIFS(BV_Data_An_Prec!$AM:$AM,BV_Data_An_Prec!$AQ:$AQ,$V528)</f>
        <v>15438.829999999998</v>
      </c>
      <c r="AM528" s="403"/>
      <c r="AN528" s="401">
        <f t="shared" si="86"/>
        <v>-4123.2800000000007</v>
      </c>
      <c r="AO528" s="408">
        <f t="shared" si="87"/>
        <v>-0.2670720514443129</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f t="shared" si="91"/>
        <v>0</v>
      </c>
      <c r="AA529" s="398"/>
      <c r="AB529" s="398"/>
      <c r="AC529" s="399"/>
      <c r="AD529" s="407"/>
      <c r="AE529" s="406"/>
      <c r="AF529" s="399">
        <f t="shared" si="93"/>
        <v>2687.8500000000004</v>
      </c>
      <c r="AG529" s="400"/>
      <c r="AH529" s="401">
        <f t="shared" si="88"/>
        <v>2687.8500000000004</v>
      </c>
      <c r="AI529" s="420">
        <f t="shared" si="92"/>
        <v>0</v>
      </c>
      <c r="AJ529" s="407"/>
      <c r="AK529" s="406"/>
      <c r="AL529" s="399">
        <f>SUMIFS(BV_Data_An_Prec!$AM:$AM,BV_Data_An_Prec!$AQ:$AQ,$V529)</f>
        <v>0</v>
      </c>
      <c r="AM529" s="403"/>
      <c r="AN529" s="401">
        <f t="shared" si="86"/>
        <v>2687.8500000000004</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f t="shared" si="91"/>
        <v>0</v>
      </c>
      <c r="AA530" s="398"/>
      <c r="AB530" s="398"/>
      <c r="AC530" s="399"/>
      <c r="AD530" s="407"/>
      <c r="AE530" s="406"/>
      <c r="AF530" s="399">
        <f t="shared" si="93"/>
        <v>1367.8299999999981</v>
      </c>
      <c r="AG530" s="400"/>
      <c r="AH530" s="401">
        <f t="shared" si="88"/>
        <v>1367.8299999999981</v>
      </c>
      <c r="AI530" s="402">
        <f t="shared" si="92"/>
        <v>0</v>
      </c>
      <c r="AJ530" s="407"/>
      <c r="AK530" s="406"/>
      <c r="AL530" s="399">
        <f>SUMIFS(BV_Data_An_Prec!$AM:$AM,BV_Data_An_Prec!$AQ:$AQ,$V530)</f>
        <v>4226.6199999999981</v>
      </c>
      <c r="AM530" s="403"/>
      <c r="AN530" s="401">
        <f t="shared" si="86"/>
        <v>-2858.79</v>
      </c>
      <c r="AO530" s="408">
        <f t="shared" si="87"/>
        <v>-0.67637734170566577</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f t="shared" si="91"/>
        <v>0</v>
      </c>
      <c r="AA531" s="398"/>
      <c r="AB531" s="398"/>
      <c r="AC531" s="399"/>
      <c r="AD531" s="407"/>
      <c r="AE531" s="406"/>
      <c r="AF531" s="399">
        <f t="shared" si="93"/>
        <v>1869.2600000000002</v>
      </c>
      <c r="AG531" s="400"/>
      <c r="AH531" s="401">
        <f t="shared" si="88"/>
        <v>1869.2600000000002</v>
      </c>
      <c r="AI531" s="420">
        <f t="shared" si="92"/>
        <v>0</v>
      </c>
      <c r="AJ531" s="407"/>
      <c r="AK531" s="406"/>
      <c r="AL531" s="399">
        <f>SUMIFS(BV_Data_An_Prec!$AM:$AM,BV_Data_An_Prec!$AQ:$AQ,$V531)</f>
        <v>581.55000000000064</v>
      </c>
      <c r="AM531" s="403"/>
      <c r="AN531" s="401">
        <f t="shared" si="86"/>
        <v>1287.7099999999996</v>
      </c>
      <c r="AO531" s="408">
        <f t="shared" si="87"/>
        <v>2.2142722035938407</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f t="shared" si="91"/>
        <v>0</v>
      </c>
      <c r="AA532" s="398"/>
      <c r="AB532" s="398"/>
      <c r="AC532" s="399"/>
      <c r="AD532" s="407"/>
      <c r="AE532" s="406"/>
      <c r="AF532" s="399">
        <f t="shared" si="93"/>
        <v>3715.949999999998</v>
      </c>
      <c r="AG532" s="400"/>
      <c r="AH532" s="401">
        <f t="shared" si="88"/>
        <v>3715.949999999998</v>
      </c>
      <c r="AI532" s="402">
        <f t="shared" si="92"/>
        <v>0</v>
      </c>
      <c r="AJ532" s="407"/>
      <c r="AK532" s="406"/>
      <c r="AL532" s="399">
        <f>SUMIFS(BV_Data_An_Prec!$AM:$AM,BV_Data_An_Prec!$AQ:$AQ,$V532)</f>
        <v>5647.37</v>
      </c>
      <c r="AM532" s="403"/>
      <c r="AN532" s="401">
        <f t="shared" si="86"/>
        <v>-1931.4200000000019</v>
      </c>
      <c r="AO532" s="408">
        <f t="shared" si="87"/>
        <v>-0.34200344585178621</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f t="shared" si="91"/>
        <v>0</v>
      </c>
      <c r="AA533" s="398"/>
      <c r="AB533" s="406"/>
      <c r="AC533" s="399"/>
      <c r="AD533" s="407"/>
      <c r="AE533" s="406"/>
      <c r="AF533" s="399">
        <f>SUMIFS(BV_Data_An_Cour!$AM:$AM,BV_Data_An_Cour!$AQ:$AQ,$V533)</f>
        <v>9924.3299999999981</v>
      </c>
      <c r="AG533" s="400"/>
      <c r="AH533" s="401">
        <f t="shared" si="88"/>
        <v>9924.3299999999981</v>
      </c>
      <c r="AI533" s="420">
        <f t="shared" si="92"/>
        <v>0</v>
      </c>
      <c r="AJ533" s="407"/>
      <c r="AK533" s="406"/>
      <c r="AL533" s="399">
        <f>SUMIFS(BV_Data_An_Prec!$AM:$AM,BV_Data_An_Prec!$AQ:$AQ,$V533)</f>
        <v>14257.789999999999</v>
      </c>
      <c r="AM533" s="403"/>
      <c r="AN533" s="401">
        <f t="shared" si="86"/>
        <v>-4333.4600000000009</v>
      </c>
      <c r="AO533" s="408">
        <f t="shared" si="87"/>
        <v>-0.30393630429400359</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f t="shared" si="91"/>
        <v>0</v>
      </c>
      <c r="AA534" s="398"/>
      <c r="AB534" s="406"/>
      <c r="AC534" s="399"/>
      <c r="AD534" s="407"/>
      <c r="AE534" s="406"/>
      <c r="AF534" s="399">
        <f>+SUMIF($C:$C,$V534,L:L)</f>
        <v>6416.25</v>
      </c>
      <c r="AG534" s="400"/>
      <c r="AH534" s="401">
        <f t="shared" si="88"/>
        <v>6416.25</v>
      </c>
      <c r="AI534" s="402">
        <f t="shared" si="92"/>
        <v>0</v>
      </c>
      <c r="AJ534" s="407"/>
      <c r="AK534" s="406"/>
      <c r="AL534" s="399">
        <f>SUMIFS(BV_Data_An_Prec!$AM:$AM,BV_Data_An_Prec!$AQ:$AQ,$V534)</f>
        <v>7885.760000000002</v>
      </c>
      <c r="AM534" s="403"/>
      <c r="AN534" s="401">
        <f t="shared" si="86"/>
        <v>-1469.510000000002</v>
      </c>
      <c r="AO534" s="408">
        <f t="shared" si="87"/>
        <v>-0.18634982550825813</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#REF!</v>
      </c>
      <c r="Z535" s="399">
        <f t="shared" si="91"/>
        <v>0</v>
      </c>
      <c r="AA535" s="398"/>
      <c r="AB535" s="406"/>
      <c r="AC535" s="399"/>
      <c r="AD535" s="407"/>
      <c r="AE535" s="406"/>
      <c r="AF535" s="399">
        <f>SUMIFS(BV_Data_An_Cour!$AM:$AM,BV_Data_An_Cour!$AQ:$AQ,$V535)</f>
        <v>8021.9</v>
      </c>
      <c r="AG535" s="400"/>
      <c r="AH535" s="659">
        <f t="shared" si="88"/>
        <v>8021.9</v>
      </c>
      <c r="AI535" s="402">
        <f t="shared" si="92"/>
        <v>0</v>
      </c>
      <c r="AJ535" s="407"/>
      <c r="AK535" s="406"/>
      <c r="AL535" s="399">
        <f>SUMIFS(BV_Data_An_Prec!$AM:$AM,BV_Data_An_Prec!$AQ:$AQ,$V535)</f>
        <v>1282.04</v>
      </c>
      <c r="AM535" s="403"/>
      <c r="AN535" s="401">
        <f t="shared" si="86"/>
        <v>6739.86</v>
      </c>
      <c r="AO535" s="408">
        <f t="shared" si="87"/>
        <v>5.2571370628061524</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2278.380000000001</v>
      </c>
      <c r="AG536" s="400"/>
      <c r="AH536" s="401">
        <f t="shared" si="88"/>
        <v>2278.380000000001</v>
      </c>
      <c r="AI536" s="402">
        <f t="shared" si="92"/>
        <v>0</v>
      </c>
      <c r="AJ536" s="407"/>
      <c r="AK536" s="406"/>
      <c r="AL536" s="399">
        <f>IFERROR(SUMIF($C:$C,$V536,R:R),0)</f>
        <v>0</v>
      </c>
      <c r="AM536" s="403"/>
      <c r="AN536" s="401">
        <f t="shared" si="86"/>
        <v>2278.380000000001</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#REF!</v>
      </c>
      <c r="Y539" s="414"/>
      <c r="Z539" s="416">
        <f>+SUM(Z521:Z538)</f>
        <v>0</v>
      </c>
      <c r="AA539" s="415"/>
      <c r="AB539" s="414"/>
      <c r="AC539" s="416"/>
      <c r="AD539" s="417">
        <f>AF539/AF494</f>
        <v>0.18884966152922758</v>
      </c>
      <c r="AE539" s="414"/>
      <c r="AF539" s="416">
        <f>+SUM(AF521:AF538)</f>
        <v>105836.63999999998</v>
      </c>
      <c r="AG539" s="422"/>
      <c r="AH539" s="435">
        <f>+SUM(AH521:AH538)</f>
        <v>105836.63999999998</v>
      </c>
      <c r="AI539" s="415" t="e">
        <f>AH539/Z539</f>
        <v>#DIV/0!</v>
      </c>
      <c r="AJ539" s="417">
        <f>AL539/AL494</f>
        <v>0.18519792783924433</v>
      </c>
      <c r="AK539" s="414"/>
      <c r="AL539" s="416">
        <f>+SUM(AL521:AL538)</f>
        <v>153427.44</v>
      </c>
      <c r="AM539" s="423"/>
      <c r="AN539" s="419">
        <f t="shared" si="86"/>
        <v>-47590.800000000017</v>
      </c>
      <c r="AO539" s="436">
        <f t="shared" si="87"/>
        <v>-0.31018441029844479</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f>+INDEX('Budget original'!$A$2:$AO$501,MATCH($A540,'Budget original'!$A$2:$A$501,0),MATCH(F$2,'Budget original'!$A$2:$AO$2,0))</f>
        <v>0</v>
      </c>
      <c r="AA540" s="398"/>
      <c r="AB540" s="406"/>
      <c r="AC540" s="399"/>
      <c r="AD540" s="407"/>
      <c r="AE540" s="406"/>
      <c r="AF540" s="399">
        <f>SUMIFS(BV_Data_An_Cour!$AM:$AM,BV_Data_An_Cour!$AQ:$AQ,$V540)</f>
        <v>142099.99999999997</v>
      </c>
      <c r="AG540" s="400"/>
      <c r="AH540" s="401">
        <f t="shared" ref="AH540:AH548" si="94">AF540-Z540</f>
        <v>142099.99999999997</v>
      </c>
      <c r="AI540" s="402">
        <f t="shared" ref="AI540:AI548" si="95">IF(Z540=0,0,AH540/Z540)</f>
        <v>0</v>
      </c>
      <c r="AJ540" s="407"/>
      <c r="AK540" s="406"/>
      <c r="AL540" s="399">
        <f>SUMIFS(BV_Data_An_Prec!$AM:$AM,BV_Data_An_Prec!$AQ:$AQ,$V540)</f>
        <v>80049.989999999991</v>
      </c>
      <c r="AM540" s="403"/>
      <c r="AN540" s="401">
        <f t="shared" si="86"/>
        <v>62050.00999999998</v>
      </c>
      <c r="AO540" s="408">
        <f t="shared" si="87"/>
        <v>0.77514075891827083</v>
      </c>
      <c r="AP540" s="35"/>
      <c r="AQ540" s="1104">
        <v>71050</v>
      </c>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f>+INDEX('Budget original'!$A$2:$AO$501,MATCH($A541,'Budget original'!$A$2:$A$501,0),MATCH(F$2,'Budget original'!$A$2:$AO$2,0))</f>
        <v>0</v>
      </c>
      <c r="AA541" s="398"/>
      <c r="AB541" s="406"/>
      <c r="AC541" s="399"/>
      <c r="AD541" s="407"/>
      <c r="AE541" s="406"/>
      <c r="AF541" s="399">
        <f>SUMIFS(BV_Data_An_Cour!$AM:$AM,BV_Data_An_Cour!$AQ:$AQ,$V541)</f>
        <v>7053.8899999999976</v>
      </c>
      <c r="AG541" s="400"/>
      <c r="AH541" s="401">
        <f t="shared" si="94"/>
        <v>7053.8899999999976</v>
      </c>
      <c r="AI541" s="402">
        <f t="shared" si="95"/>
        <v>0</v>
      </c>
      <c r="AJ541" s="407"/>
      <c r="AK541" s="406"/>
      <c r="AL541" s="399">
        <f>SUMIFS(BV_Data_An_Prec!$AM:$AM,BV_Data_An_Prec!$AQ:$AQ,$V541)</f>
        <v>12238</v>
      </c>
      <c r="AM541" s="403"/>
      <c r="AN541" s="401">
        <f t="shared" si="86"/>
        <v>-5184.1100000000024</v>
      </c>
      <c r="AO541" s="408">
        <f t="shared" si="87"/>
        <v>-0.4236076156234681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f>+INDEX('Budget original'!$A$2:$AO$501,MATCH($A542,'Budget original'!$A$2:$A$501,0),MATCH(F$2,'Budget original'!$A$2:$AO$2,0))</f>
        <v>0</v>
      </c>
      <c r="AA542" s="382"/>
      <c r="AB542" s="410"/>
      <c r="AC542" s="383"/>
      <c r="AD542" s="411"/>
      <c r="AE542" s="410"/>
      <c r="AF542" s="383">
        <f>SUMIFS(BV_Data_An_Cour!$AM:$AM,BV_Data_An_Cour!$AQ:$AQ,$V542)</f>
        <v>14727.609999999999</v>
      </c>
      <c r="AG542" s="384"/>
      <c r="AH542" s="385">
        <f t="shared" si="94"/>
        <v>14727.609999999999</v>
      </c>
      <c r="AI542" s="412">
        <f t="shared" si="95"/>
        <v>0</v>
      </c>
      <c r="AJ542" s="411"/>
      <c r="AK542" s="410"/>
      <c r="AL542" s="383">
        <f>SUMIFS(BV_Data_An_Prec!$AM:$AM,BV_Data_An_Prec!$AQ:$AQ,$V542)</f>
        <v>10000</v>
      </c>
      <c r="AM542" s="387"/>
      <c r="AN542" s="385">
        <f t="shared" si="86"/>
        <v>4727.6099999999988</v>
      </c>
      <c r="AO542" s="388">
        <f t="shared" si="87"/>
        <v>0.47276099999999988</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f>+INDEX('Budget original'!$A$2:$AO$501,MATCH($A543,'Budget original'!$A$2:$A$501,0),MATCH(F$2,'Budget original'!$A$2:$AO$2,0))</f>
        <v>0</v>
      </c>
      <c r="AA543" s="398"/>
      <c r="AB543" s="406"/>
      <c r="AC543" s="399"/>
      <c r="AD543" s="407"/>
      <c r="AE543" s="406"/>
      <c r="AF543" s="399">
        <f>SUMIFS(BV_Data_An_Cour!$AM:$AM,BV_Data_An_Cour!$AQ:$AQ,$V543)</f>
        <v>0</v>
      </c>
      <c r="AG543" s="400"/>
      <c r="AH543" s="401">
        <f t="shared" si="94"/>
        <v>0</v>
      </c>
      <c r="AI543" s="402">
        <f t="shared" si="95"/>
        <v>0</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f>+INDEX('Budget original'!$A$2:$AO$501,MATCH($A544,'Budget original'!$A$2:$A$501,0),MATCH(F$2,'Budget original'!$A$2:$AO$2,0))</f>
        <v>0</v>
      </c>
      <c r="AA544" s="382"/>
      <c r="AB544" s="410"/>
      <c r="AC544" s="383"/>
      <c r="AD544" s="411"/>
      <c r="AE544" s="410"/>
      <c r="AF544" s="383">
        <f>SUMIF(BV_Data_An_Cour!$AQ:$AQ,Print_Mois!$V544,BV_Data_An_Cour!$AM:$AM)</f>
        <v>7841.2899999999991</v>
      </c>
      <c r="AG544" s="384"/>
      <c r="AH544" s="385">
        <f t="shared" si="94"/>
        <v>7841.2899999999991</v>
      </c>
      <c r="AI544" s="412">
        <f t="shared" si="95"/>
        <v>0</v>
      </c>
      <c r="AJ544" s="411"/>
      <c r="AK544" s="410"/>
      <c r="AL544" s="383">
        <f>SUMIFS(BV_Data_An_Prec!$AM:$AM,BV_Data_An_Prec!$AQ:$AQ,$V544)</f>
        <v>13073.610000000006</v>
      </c>
      <c r="AM544" s="387"/>
      <c r="AN544" s="385">
        <f t="shared" si="86"/>
        <v>-5232.320000000007</v>
      </c>
      <c r="AO544" s="388">
        <f t="shared" si="87"/>
        <v>-0.40021998514564872</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f>+INDEX('Budget original'!$A$2:$AO$501,MATCH($A545,'Budget original'!$A$2:$A$501,0),MATCH(F$2,'Budget original'!$A$2:$AO$2,0))</f>
        <v>0</v>
      </c>
      <c r="AA545" s="437"/>
      <c r="AB545" s="438"/>
      <c r="AC545" s="399"/>
      <c r="AD545" s="407"/>
      <c r="AE545" s="406"/>
      <c r="AF545" s="399">
        <f>SUMIFS(BV_Data_An_Cour!$AM:$AM,BV_Data_An_Cour!$AQ:$AQ,$V545)</f>
        <v>11100</v>
      </c>
      <c r="AG545" s="400"/>
      <c r="AH545" s="401">
        <f t="shared" si="94"/>
        <v>11100</v>
      </c>
      <c r="AI545" s="402">
        <f t="shared" si="95"/>
        <v>0</v>
      </c>
      <c r="AJ545" s="407"/>
      <c r="AK545" s="406"/>
      <c r="AL545" s="399">
        <f>SUMIFS(BV_Data_An_Prec!$AM:$AM,BV_Data_An_Prec!$AQ:$AQ,$V545)</f>
        <v>9936.6999999999989</v>
      </c>
      <c r="AM545" s="403"/>
      <c r="AN545" s="401">
        <f t="shared" si="86"/>
        <v>1163.3000000000011</v>
      </c>
      <c r="AO545" s="408">
        <f t="shared" si="87"/>
        <v>0.11707105980858849</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f>+INDEX('Budget original'!$A$2:$AO$501,MATCH($A546,'Budget original'!$A$2:$A$501,0),MATCH(F$2,'Budget original'!$A$2:$AO$2,0))</f>
        <v>0</v>
      </c>
      <c r="AA546" s="398"/>
      <c r="AB546" s="406"/>
      <c r="AC546" s="399"/>
      <c r="AD546" s="407"/>
      <c r="AE546" s="406"/>
      <c r="AF546" s="399">
        <f>SUMIFS(BV_Data_An_Cour!$AM:$AM,BV_Data_An_Cour!$AQ:$AQ,$V546)</f>
        <v>4798.67</v>
      </c>
      <c r="AG546" s="400"/>
      <c r="AH546" s="401">
        <f t="shared" si="94"/>
        <v>4798.67</v>
      </c>
      <c r="AI546" s="402">
        <f t="shared" si="95"/>
        <v>0</v>
      </c>
      <c r="AJ546" s="407"/>
      <c r="AK546" s="406"/>
      <c r="AL546" s="399">
        <f>SUMIFS(BV_Data_An_Prec!$AM:$AM,BV_Data_An_Prec!$AQ:$AQ,$V546)</f>
        <v>10861.199999999999</v>
      </c>
      <c r="AM546" s="403"/>
      <c r="AN546" s="401">
        <f t="shared" si="86"/>
        <v>-6062.5299999999988</v>
      </c>
      <c r="AO546" s="408">
        <f t="shared" si="87"/>
        <v>-0.55818233712665266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f>+INDEX('Budget original'!$A$2:$AO$501,MATCH($A547,'Budget original'!$A$2:$A$501,0),MATCH(F$2,'Budget original'!$A$2:$AO$2,0))</f>
        <v>0</v>
      </c>
      <c r="AA547" s="382"/>
      <c r="AB547" s="410"/>
      <c r="AC547" s="383"/>
      <c r="AD547" s="411"/>
      <c r="AE547" s="410"/>
      <c r="AF547" s="383">
        <f>SUMIFS(BV_Data_An_Cour!$AM:$AM,BV_Data_An_Cour!$AQ:$AQ,$V547)</f>
        <v>15268.630000000001</v>
      </c>
      <c r="AG547" s="384"/>
      <c r="AH547" s="385">
        <f t="shared" si="94"/>
        <v>15268.630000000001</v>
      </c>
      <c r="AI547" s="412">
        <f t="shared" si="95"/>
        <v>0</v>
      </c>
      <c r="AJ547" s="411"/>
      <c r="AK547" s="410"/>
      <c r="AL547" s="383">
        <f>SUMIFS(BV_Data_An_Prec!$AM:$AM,BV_Data_An_Prec!$AQ:$AQ,$V547)</f>
        <v>11687.770000000004</v>
      </c>
      <c r="AM547" s="387"/>
      <c r="AN547" s="385">
        <f t="shared" si="86"/>
        <v>3580.8599999999969</v>
      </c>
      <c r="AO547" s="388">
        <f t="shared" si="87"/>
        <v>0.30637666552302073</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f>+INDEX('Budget original'!$A$2:$AO$501,MATCH($A548,'Budget original'!$A$2:$A$501,0),MATCH(F$2,'Budget original'!$A$2:$AO$2,0))</f>
        <v>0</v>
      </c>
      <c r="AA548" s="398"/>
      <c r="AB548" s="406"/>
      <c r="AC548" s="399"/>
      <c r="AD548" s="407"/>
      <c r="AE548" s="406"/>
      <c r="AF548" s="399">
        <f>SUMIFS(BV_Data_An_Cour!$AM:$AM,BV_Data_An_Cour!$AQ:$AQ,$V548)</f>
        <v>855.75999999999976</v>
      </c>
      <c r="AG548" s="400"/>
      <c r="AH548" s="401">
        <f t="shared" si="94"/>
        <v>855.75999999999976</v>
      </c>
      <c r="AI548" s="439">
        <f t="shared" si="95"/>
        <v>0</v>
      </c>
      <c r="AJ548" s="407"/>
      <c r="AK548" s="406"/>
      <c r="AL548" s="399">
        <f>SUMIFS(BV_Data_An_Prec!$AM:$AM,BV_Data_An_Prec!$AQ:$AQ,$V548)</f>
        <v>1954.2500000000007</v>
      </c>
      <c r="AM548" s="403"/>
      <c r="AN548" s="401">
        <f t="shared" si="86"/>
        <v>-1098.4900000000009</v>
      </c>
      <c r="AO548" s="408">
        <f t="shared" si="87"/>
        <v>-0.56210310860944124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#REF!</v>
      </c>
      <c r="Y553" s="414"/>
      <c r="Z553" s="416">
        <f>SUM(Z540:Z552)</f>
        <v>0</v>
      </c>
      <c r="AA553" s="415"/>
      <c r="AB553" s="414"/>
      <c r="AC553" s="416"/>
      <c r="AD553" s="417">
        <f>AF553/AF494</f>
        <v>0.36355400937222476</v>
      </c>
      <c r="AE553" s="414"/>
      <c r="AF553" s="416">
        <f>SUM(AF540:AF552)</f>
        <v>203745.84999999998</v>
      </c>
      <c r="AG553" s="422"/>
      <c r="AH553" s="435">
        <f>SUM(AH540:AH552)</f>
        <v>203745.84999999998</v>
      </c>
      <c r="AI553" s="415">
        <f>IF(Z553=0,0,AH553/Z553)</f>
        <v>0</v>
      </c>
      <c r="AJ553" s="417">
        <f>AL553/AL494</f>
        <v>0.18082118225507196</v>
      </c>
      <c r="AK553" s="414"/>
      <c r="AL553" s="416">
        <f>SUM(AL540:AL552)</f>
        <v>149801.52000000002</v>
      </c>
      <c r="AM553" s="423"/>
      <c r="AN553" s="419">
        <f t="shared" si="86"/>
        <v>53944.329999999958</v>
      </c>
      <c r="AO553" s="436">
        <f t="shared" si="87"/>
        <v>0.36010535807647315</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#REF!</v>
      </c>
      <c r="Y555" s="414"/>
      <c r="Z555" s="416">
        <f>Z506+Z520+Z539+Z553</f>
        <v>0</v>
      </c>
      <c r="AA555" s="415"/>
      <c r="AB555" s="414"/>
      <c r="AC555" s="416"/>
      <c r="AD555" s="417">
        <f>AF555/AF494</f>
        <v>0.75005521226534422</v>
      </c>
      <c r="AE555" s="414"/>
      <c r="AF555" s="416">
        <f>AF506+AF520+AF539+AF553</f>
        <v>420351.95000000007</v>
      </c>
      <c r="AG555" s="422"/>
      <c r="AH555" s="435">
        <f t="shared" si="96"/>
        <v>420351.95000000007</v>
      </c>
      <c r="AI555" s="415" t="e">
        <f>AH555/Z555</f>
        <v>#DIV/0!</v>
      </c>
      <c r="AJ555" s="417">
        <f>AL555/AL494</f>
        <v>0.60131769745704122</v>
      </c>
      <c r="AK555" s="414"/>
      <c r="AL555" s="416">
        <f>AL506+AL520+AL539+AL553</f>
        <v>498162.3499999998</v>
      </c>
      <c r="AM555" s="423"/>
      <c r="AN555" s="419">
        <f t="shared" ref="AN555:AN568" si="97">AF555-AL555</f>
        <v>-77810.399999999732</v>
      </c>
      <c r="AO555" s="396">
        <f t="shared" ref="AO555:AO568" si="98">IF(AL555=0,0,AN555/AL555)</f>
        <v>-0.15619486297990959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f>+INDEX('Budget original'!$A$2:$AO$501,MATCH($A556,'Budget original'!$A$2:$A$501,0),MATCH(F$2,'Budget original'!$A$2:$AO$2,0))</f>
        <v>0</v>
      </c>
      <c r="AA556" s="443"/>
      <c r="AB556" s="444"/>
      <c r="AC556" s="426"/>
      <c r="AD556" s="445"/>
      <c r="AE556" s="444"/>
      <c r="AF556" s="426">
        <f>-SUMIFS(BV_Data_An_Cour!$AM:$AM,BV_Data_An_Cour!$AQ:$AQ,$V556)</f>
        <v>0</v>
      </c>
      <c r="AG556" s="446"/>
      <c r="AH556" s="401">
        <f t="shared" si="96"/>
        <v>0</v>
      </c>
      <c r="AI556" s="439">
        <f>IF(AH556=0,0,AH556/Z556)</f>
        <v>0</v>
      </c>
      <c r="AJ556" s="445"/>
      <c r="AK556" s="444"/>
      <c r="AL556" s="426">
        <f>-SUMIFS(BV_Data_An_Prec!$AM:$AM,BV_Data_An_Prec!$AQ:$AQ,$V556)</f>
        <v>139981.76000000001</v>
      </c>
      <c r="AM556" s="447"/>
      <c r="AN556" s="401">
        <f t="shared" si="97"/>
        <v>-139981.76000000001</v>
      </c>
      <c r="AO556" s="408">
        <f t="shared" si="98"/>
        <v>-1</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f t="shared" ref="Z557:Z563" si="99">+SUMIF($C:$C,$V557,F:F)</f>
        <v>0</v>
      </c>
      <c r="AA557" s="437"/>
      <c r="AB557" s="401"/>
      <c r="AC557" s="399"/>
      <c r="AD557" s="448"/>
      <c r="AE557" s="449"/>
      <c r="AF557" s="399">
        <f t="shared" ref="AF557:AF563" si="100">+SUMIF($C:$C,$V557,L:L)</f>
        <v>0</v>
      </c>
      <c r="AG557" s="450"/>
      <c r="AH557" s="401">
        <f t="shared" si="96"/>
        <v>0</v>
      </c>
      <c r="AI557" s="420">
        <f>IF(Z557=0,0,AH557/Z557)</f>
        <v>0</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f t="shared" si="99"/>
        <v>0</v>
      </c>
      <c r="AA558" s="437"/>
      <c r="AB558" s="438"/>
      <c r="AC558" s="399"/>
      <c r="AD558" s="451"/>
      <c r="AF558" s="399">
        <f t="shared" si="100"/>
        <v>0</v>
      </c>
      <c r="AG558" s="450"/>
      <c r="AH558" s="401">
        <f t="shared" si="96"/>
        <v>0</v>
      </c>
      <c r="AI558" s="420">
        <f t="shared" ref="AI558:AI567" si="101">IF(AH558=0,0,AH558/Z558)</f>
        <v>0</v>
      </c>
      <c r="AJ558" s="451"/>
      <c r="AL558" s="399">
        <f>-SUMIFS(BV_Data_An_Prec!$AM:$AM,BV_Data_An_Prec!$AQ:$AQ,$V558)</f>
        <v>26831.50999999998</v>
      </c>
      <c r="AM558" s="448"/>
      <c r="AN558" s="401">
        <f t="shared" si="97"/>
        <v>-26831.50999999998</v>
      </c>
      <c r="AO558" s="408">
        <f t="shared" si="98"/>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f t="shared" si="99"/>
        <v>0</v>
      </c>
      <c r="AA559" s="437"/>
      <c r="AB559" s="438"/>
      <c r="AC559" s="399"/>
      <c r="AD559" s="451"/>
      <c r="AE559" s="438"/>
      <c r="AF559" s="399">
        <f t="shared" si="100"/>
        <v>0</v>
      </c>
      <c r="AG559" s="450"/>
      <c r="AH559" s="401">
        <f t="shared" si="96"/>
        <v>0</v>
      </c>
      <c r="AI559" s="420">
        <f t="shared" si="101"/>
        <v>0</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f t="shared" si="99"/>
        <v>0</v>
      </c>
      <c r="AA560" s="437"/>
      <c r="AB560" s="438"/>
      <c r="AC560" s="399"/>
      <c r="AD560" s="451"/>
      <c r="AE560" s="438"/>
      <c r="AF560" s="399">
        <f t="shared" si="100"/>
        <v>0</v>
      </c>
      <c r="AG560" s="450"/>
      <c r="AH560" s="401">
        <f t="shared" si="96"/>
        <v>0</v>
      </c>
      <c r="AI560" s="420">
        <f t="shared" si="101"/>
        <v>0</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f t="shared" si="99"/>
        <v>0</v>
      </c>
      <c r="AA561" s="437"/>
      <c r="AB561" s="438"/>
      <c r="AC561" s="399"/>
      <c r="AD561" s="451"/>
      <c r="AE561" s="438"/>
      <c r="AF561" s="399">
        <f t="shared" si="100"/>
        <v>0</v>
      </c>
      <c r="AG561" s="450"/>
      <c r="AH561" s="401">
        <f t="shared" si="96"/>
        <v>0</v>
      </c>
      <c r="AI561" s="420">
        <f t="shared" si="101"/>
        <v>0</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f t="shared" si="99"/>
        <v>0</v>
      </c>
      <c r="AA562" s="437"/>
      <c r="AB562" s="438"/>
      <c r="AC562" s="399"/>
      <c r="AD562" s="451"/>
      <c r="AE562" s="438"/>
      <c r="AF562" s="399">
        <f t="shared" si="100"/>
        <v>0</v>
      </c>
      <c r="AG562" s="450"/>
      <c r="AH562" s="401">
        <f t="shared" si="96"/>
        <v>0</v>
      </c>
      <c r="AI562" s="420">
        <f t="shared" si="101"/>
        <v>0</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f t="shared" si="99"/>
        <v>0</v>
      </c>
      <c r="AA563" s="437"/>
      <c r="AB563" s="438"/>
      <c r="AC563" s="399"/>
      <c r="AD563" s="451"/>
      <c r="AE563" s="438"/>
      <c r="AF563" s="399">
        <f t="shared" si="100"/>
        <v>0</v>
      </c>
      <c r="AG563" s="450"/>
      <c r="AH563" s="401">
        <f t="shared" si="96"/>
        <v>0</v>
      </c>
      <c r="AI563" s="420">
        <f t="shared" si="101"/>
        <v>0</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f>+INDEX('Budget original'!$A$2:$AO$501,MATCH($A564,'Budget original'!$A$2:$A$501,0),MATCH(F$2,'Budget original'!$A$2:$AO$2,0))</f>
        <v>0</v>
      </c>
      <c r="AA564" s="398"/>
      <c r="AB564" s="398"/>
      <c r="AC564" s="399"/>
      <c r="AD564" s="407"/>
      <c r="AE564" s="406"/>
      <c r="AF564" s="399">
        <f>IFERROR(SUMIF($C:$C,$V564,L:L),0)</f>
        <v>0</v>
      </c>
      <c r="AG564" s="400"/>
      <c r="AH564" s="401">
        <f t="shared" si="96"/>
        <v>0</v>
      </c>
      <c r="AI564" s="402">
        <f t="shared" si="101"/>
        <v>0</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f>+SUMIF($C:$C,$V567,F:F)</f>
        <v>0</v>
      </c>
      <c r="AA567" s="437"/>
      <c r="AB567" s="438"/>
      <c r="AC567" s="399"/>
      <c r="AD567" s="452">
        <f>AF567/499</f>
        <v>107.08416833667334</v>
      </c>
      <c r="AE567" s="437">
        <f>(AF567/399)/(J13+J15+J97)</f>
        <v>1.352750563276879</v>
      </c>
      <c r="AF567" s="399">
        <f>+SUMIF($C:$C,$V567,L:L)</f>
        <v>53435</v>
      </c>
      <c r="AG567" s="450"/>
      <c r="AH567" s="401">
        <f t="shared" si="96"/>
        <v>53435</v>
      </c>
      <c r="AI567" s="420" t="e">
        <f t="shared" si="101"/>
        <v>#DIV/0!</v>
      </c>
      <c r="AJ567" s="452">
        <f>AL567/499</f>
        <v>0</v>
      </c>
      <c r="AK567" s="437">
        <f>(AL567/399)/(P13+P15+P97)</f>
        <v>0</v>
      </c>
      <c r="AL567" s="399">
        <f>-SUMIFS(BV_Data_An_Prec!$AM:$AM,BV_Data_An_Prec!$AQ:$AQ,$V567)</f>
        <v>0</v>
      </c>
      <c r="AM567" s="448"/>
      <c r="AN567" s="401">
        <f t="shared" si="97"/>
        <v>53435</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#REF!</v>
      </c>
      <c r="Y568" s="434"/>
      <c r="Z568" s="416">
        <f>SUM(Z556:Z567)</f>
        <v>0</v>
      </c>
      <c r="AA568" s="415"/>
      <c r="AB568" s="434"/>
      <c r="AC568" s="416"/>
      <c r="AD568" s="415">
        <f>AF568/+AF494</f>
        <v>9.534676898108517E-2</v>
      </c>
      <c r="AE568" s="434"/>
      <c r="AF568" s="416">
        <f>SUM(AF556:AF567)</f>
        <v>53435</v>
      </c>
      <c r="AG568" s="422"/>
      <c r="AH568" s="419">
        <f t="shared" si="96"/>
        <v>53435</v>
      </c>
      <c r="AI568" s="415" t="e">
        <f>AH568/Z568</f>
        <v>#DIV/0!</v>
      </c>
      <c r="AJ568" s="415">
        <f>AL568/+AL494</f>
        <v>0.20135558502500189</v>
      </c>
      <c r="AK568" s="434"/>
      <c r="AL568" s="416">
        <f>SUM(AL556:AL567)</f>
        <v>166813.26999999999</v>
      </c>
      <c r="AM568" s="453"/>
      <c r="AN568" s="419">
        <f t="shared" si="97"/>
        <v>-113378.26999999999</v>
      </c>
      <c r="AO568" s="436">
        <f t="shared" si="98"/>
        <v>-0.67967176712020572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#REF!</v>
      </c>
      <c r="Z570" s="468" t="e">
        <f>Z494-Z555+Z568</f>
        <v>#REF!</v>
      </c>
      <c r="AA570" s="466"/>
      <c r="AB570" s="467"/>
      <c r="AC570" s="468"/>
      <c r="AD570" s="466" t="s">
        <v>215</v>
      </c>
      <c r="AE570" s="467">
        <f>AF570/AF493</f>
        <v>1.7467607460298303E-2</v>
      </c>
      <c r="AF570" s="468">
        <f>AF494-AF555+AF568</f>
        <v>193511.06000000739</v>
      </c>
      <c r="AG570" s="470"/>
      <c r="AH570" s="470" t="e">
        <f>AF570-Z570</f>
        <v>#REF!</v>
      </c>
      <c r="AI570" s="471" t="e">
        <f>AH570/Z570</f>
        <v>#REF!</v>
      </c>
      <c r="AJ570" s="466" t="s">
        <v>215</v>
      </c>
      <c r="AK570" s="467">
        <f>AL570/AL493</f>
        <v>3.0211162405079626E-2</v>
      </c>
      <c r="AL570" s="468">
        <f>AL494-AL555+AL568</f>
        <v>497102.09000001347</v>
      </c>
      <c r="AM570" s="472"/>
      <c r="AN570" s="469">
        <f>AF570-AL570</f>
        <v>-303591.03000000608</v>
      </c>
      <c r="AO570" s="473">
        <f>IF(AL570=0,0,AN570/AL570)</f>
        <v>-0.61072169300273482</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2.1923478455111629E-2</v>
      </c>
      <c r="AF575" s="752">
        <f>AF576+AF502</f>
        <v>242874.45000000737</v>
      </c>
      <c r="AG575" s="470"/>
      <c r="AH575" s="470" t="e">
        <f t="shared" ref="AH575" si="102">AF575-Z575</f>
        <v>#REF!</v>
      </c>
      <c r="AI575" s="471" t="e">
        <f>AH575/Z575</f>
        <v>#REF!</v>
      </c>
      <c r="AJ575" s="750" t="s">
        <v>215</v>
      </c>
      <c r="AK575" s="751">
        <f>IF($AL$493=0,0,AL575/$AL$493)</f>
        <v>3.3750274286999921E-2</v>
      </c>
      <c r="AL575" s="752">
        <f>AL576+AL502</f>
        <v>555335.53000001342</v>
      </c>
      <c r="AM575" s="472"/>
      <c r="AN575" s="752">
        <f t="shared" ref="AN575:AN585" si="103">AF575-AL575</f>
        <v>-312461.08000000601</v>
      </c>
      <c r="AO575" s="753">
        <f t="shared" ref="AO575:AO585" si="104">IF(AL575=0,0,AN575/AL575)</f>
        <v>-0.56265278038305677</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#REF!</v>
      </c>
      <c r="Z576" s="468" t="e">
        <f>Z570</f>
        <v>#REF!</v>
      </c>
      <c r="AA576" s="466"/>
      <c r="AB576" s="467"/>
      <c r="AC576" s="468"/>
      <c r="AD576" s="466" t="s">
        <v>215</v>
      </c>
      <c r="AE576" s="467">
        <f>AF576/AF493</f>
        <v>1.7467607460298303E-2</v>
      </c>
      <c r="AF576" s="468">
        <f>AF570</f>
        <v>193511.06000000739</v>
      </c>
      <c r="AG576" s="469"/>
      <c r="AH576" s="470" t="e">
        <f>AF576-Z576</f>
        <v>#REF!</v>
      </c>
      <c r="AI576" s="471" t="e">
        <f>AH576/Z576</f>
        <v>#REF!</v>
      </c>
      <c r="AJ576" s="466" t="s">
        <v>215</v>
      </c>
      <c r="AK576" s="467">
        <f>IF($AL$493=0,0,AL576/$AL$493)</f>
        <v>3.0211162405079626E-2</v>
      </c>
      <c r="AL576" s="468">
        <f>AL570</f>
        <v>497102.09000001347</v>
      </c>
      <c r="AM576" s="474"/>
      <c r="AN576" s="475">
        <f t="shared" si="103"/>
        <v>-303591.03000000608</v>
      </c>
      <c r="AO576" s="476">
        <f t="shared" si="104"/>
        <v>-0.61072169300273482</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f>+INDEX('Budget original'!$A$2:$AO$501,MATCH($A578,'Budget original'!$A$2:$A$501,0),MATCH(F$2,'Budget original'!$A$2:$AO$2,0))</f>
        <v>0</v>
      </c>
      <c r="AA578" s="398"/>
      <c r="AB578" s="406"/>
      <c r="AC578" s="659"/>
      <c r="AD578" s="1057"/>
      <c r="AE578" s="406"/>
      <c r="AF578" s="399">
        <f>SUMIFS(BV_Data_An_Cour!$AM:$AM,BV_Data_An_Cour!$AQ:$AQ,$V578)</f>
        <v>10810</v>
      </c>
      <c r="AG578" s="398"/>
      <c r="AH578" s="401">
        <f t="shared" ref="AH578:AH585" si="105">AF578-Z578</f>
        <v>10810</v>
      </c>
      <c r="AI578" s="420">
        <f t="shared" ref="AI578:AI584" si="106">IF(Z578=0,0,AH578/Z578)</f>
        <v>0</v>
      </c>
      <c r="AJ578" s="398"/>
      <c r="AK578" s="406"/>
      <c r="AL578" s="399">
        <f>SUMIFS(BV_Data_An_Prec!$AM:$AM,BV_Data_An_Prec!$AQ:$AQ,$V578)</f>
        <v>10786.230000000003</v>
      </c>
      <c r="AM578" s="403"/>
      <c r="AN578" s="401">
        <f t="shared" si="103"/>
        <v>23.769999999996799</v>
      </c>
      <c r="AO578" s="408">
        <f t="shared" si="104"/>
        <v>2.2037356889290133E-3</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f>+INDEX('Budget original'!$A$2:$AO$501,MATCH($A579,'Budget original'!$A$2:$A$501,0),MATCH(F$2,'Budget original'!$A$2:$AO$2,0))</f>
        <v>0</v>
      </c>
      <c r="AA579" s="35"/>
      <c r="AB579" s="35"/>
      <c r="AC579" s="659"/>
      <c r="AD579" s="1058"/>
      <c r="AE579" s="38"/>
      <c r="AF579" s="399">
        <f>SUMIFS(BV_Data_An_Cour!$AM:$AM,BV_Data_An_Cour!$AQ:$AQ,$V579)</f>
        <v>0</v>
      </c>
      <c r="AG579" s="35"/>
      <c r="AH579" s="401">
        <f t="shared" si="105"/>
        <v>0</v>
      </c>
      <c r="AI579" s="420">
        <f t="shared" si="106"/>
        <v>0</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f>+INDEX('Budget original'!$A$2:$AO$501,MATCH($A580,'Budget original'!$A$2:$A$501,0),MATCH(F$2,'Budget original'!$A$2:$AO$2,0))</f>
        <v>0</v>
      </c>
      <c r="AA580" s="35"/>
      <c r="AB580" s="35"/>
      <c r="AC580" s="659"/>
      <c r="AD580" s="1058"/>
      <c r="AE580" s="38"/>
      <c r="AF580" s="399">
        <f>SUMIFS(BV_Data_An_Cour!$AM:$AM,BV_Data_An_Cour!$AQ:$AQ,$V580)</f>
        <v>0</v>
      </c>
      <c r="AG580" s="35"/>
      <c r="AH580" s="401">
        <f t="shared" si="105"/>
        <v>0</v>
      </c>
      <c r="AI580" s="420">
        <f t="shared" si="106"/>
        <v>0</v>
      </c>
      <c r="AJ580" s="35"/>
      <c r="AK580" s="38"/>
      <c r="AL580" s="399">
        <f>SUMIFS(BV_Data_An_Prec!$AM:$AM,BV_Data_An_Prec!$AQ:$AQ,$V580)</f>
        <v>0</v>
      </c>
      <c r="AM580" s="480"/>
      <c r="AN580" s="401">
        <f t="shared" si="103"/>
        <v>0</v>
      </c>
      <c r="AO580" s="408">
        <f t="shared" si="104"/>
        <v>0</v>
      </c>
      <c r="AP580" s="35"/>
      <c r="AQ580" s="35"/>
      <c r="AR580" s="91">
        <f>AQ580-AF580</f>
        <v>0</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f>+INDEX('Budget original'!$A$2:$AO$501,MATCH($A581,'Budget original'!$A$2:$A$501,0),MATCH(F$2,'Budget original'!$A$2:$AO$2,0))</f>
        <v>0</v>
      </c>
      <c r="AA581" s="35"/>
      <c r="AB581" s="35"/>
      <c r="AC581" s="659"/>
      <c r="AD581" s="1058"/>
      <c r="AE581" s="38"/>
      <c r="AF581" s="399">
        <f>SUMIFS(BV_Data_An_Cour!$AM:$AM,BV_Data_An_Cour!$AQ:$AQ,$V581)</f>
        <v>0</v>
      </c>
      <c r="AG581" s="35"/>
      <c r="AH581" s="401">
        <f t="shared" si="105"/>
        <v>0</v>
      </c>
      <c r="AI581" s="420">
        <f t="shared" si="106"/>
        <v>0</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f>+INDEX('Budget original'!$A$2:$AO$501,MATCH($A583,'Budget original'!$A$2:$A$501,0),MATCH(F$2,'Budget original'!$A$2:$AO$2,0))</f>
        <v>0</v>
      </c>
      <c r="AA583" s="398"/>
      <c r="AB583" s="398"/>
      <c r="AC583" s="659"/>
      <c r="AD583" s="1057"/>
      <c r="AE583" s="406"/>
      <c r="AF583" s="399">
        <f>SUMIFS(BV_Data_An_Cour!$AM:$AM,BV_Data_An_Cour!$AQ:$AQ,$V583)</f>
        <v>0</v>
      </c>
      <c r="AG583" s="400"/>
      <c r="AH583" s="401">
        <f t="shared" si="105"/>
        <v>0</v>
      </c>
      <c r="AI583" s="402">
        <f t="shared" si="106"/>
        <v>0</v>
      </c>
      <c r="AJ583" s="407"/>
      <c r="AK583" s="406"/>
      <c r="AL583" s="399">
        <f>SUMIFS(BV_Data_An_Prec!$AM:$AM,BV_Data_An_Prec!$AQ:$AQ,$V583)</f>
        <v>0</v>
      </c>
      <c r="AM583" s="480"/>
      <c r="AN583" s="401">
        <f t="shared" si="103"/>
        <v>0</v>
      </c>
      <c r="AO583" s="408">
        <f t="shared" si="10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#REF!</v>
      </c>
      <c r="Z585" s="468" t="e">
        <f>Z576-Z578-Z579-Z580-Z584-Z583</f>
        <v>#REF!</v>
      </c>
      <c r="AA585" s="466"/>
      <c r="AB585" s="467"/>
      <c r="AC585" s="468"/>
      <c r="AD585" s="466" t="s">
        <v>215</v>
      </c>
      <c r="AE585" s="467">
        <f>AF585/AF493</f>
        <v>1.6491824284670938E-2</v>
      </c>
      <c r="AF585" s="468">
        <f>AF576-AF578-AF579-AF580-AF584-AF583</f>
        <v>182701.06000000739</v>
      </c>
      <c r="AG585" s="470"/>
      <c r="AH585" s="470" t="e">
        <f t="shared" si="105"/>
        <v>#REF!</v>
      </c>
      <c r="AI585" s="471" t="e">
        <f>AH585/Z585</f>
        <v>#REF!</v>
      </c>
      <c r="AJ585" s="466" t="s">
        <v>215</v>
      </c>
      <c r="AK585" s="467">
        <f>IF($AL$493=0,0,AL585/$AL$493)</f>
        <v>2.9555633987831304E-2</v>
      </c>
      <c r="AL585" s="468">
        <f>AL576-AL578-AL579-AL580-AL584-AL583</f>
        <v>486315.86000001349</v>
      </c>
      <c r="AM585" s="472"/>
      <c r="AN585" s="469">
        <f t="shared" si="103"/>
        <v>-303614.8000000061</v>
      </c>
      <c r="AO585" s="482">
        <f t="shared" si="104"/>
        <v>-0.6243160566468009</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197947.84</v>
      </c>
      <c r="AG589" s="35"/>
      <c r="AH589" s="35"/>
      <c r="AI589" s="35"/>
      <c r="AJ589" s="483"/>
      <c r="AK589" s="700"/>
      <c r="AL589" s="657">
        <v>486312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15246.779999992606</v>
      </c>
      <c r="AL591" s="904">
        <f>AL589-AL585</f>
        <v>-3.8600000134902075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3451</v>
      </c>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182701.06000000739</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S553" zoomScale="80" zoomScaleNormal="80" workbookViewId="0">
      <selection activeCell="AJ593" sqref="AJ593"/>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Septembre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74" t="s">
        <v>339</v>
      </c>
      <c r="E3" s="1279"/>
      <c r="F3" s="1280"/>
      <c r="G3" s="1281"/>
      <c r="H3" s="1279"/>
      <c r="I3" s="1280"/>
      <c r="J3" s="1281" t="s">
        <v>340</v>
      </c>
      <c r="K3" s="1279"/>
      <c r="L3" s="1280"/>
      <c r="M3" s="1281" t="s">
        <v>668</v>
      </c>
      <c r="N3" s="1280"/>
      <c r="O3" s="1274" t="s">
        <v>341</v>
      </c>
      <c r="P3" s="1279"/>
      <c r="Q3" s="1280"/>
      <c r="R3" s="1273" t="s">
        <v>670</v>
      </c>
      <c r="S3" s="1282"/>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93203813.120000005</v>
      </c>
      <c r="M5" s="242"/>
      <c r="N5" s="950"/>
      <c r="O5" s="238"/>
      <c r="P5" s="949"/>
      <c r="Q5" s="286">
        <f>-SUMIFS(BV_Data_An_Prec!$AN:$AN,BV_Data_An_Prec!$AS:$AS,"Oui",BV_Data_An_Prec!$AP:$AP,$B5)</f>
        <v>113028395.44</v>
      </c>
      <c r="R5" s="242"/>
      <c r="S5" s="962"/>
      <c r="T5" s="38"/>
      <c r="U5" s="35">
        <f>L5/AF493</f>
        <v>0.52785251688375856</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5</v>
      </c>
      <c r="K6" s="281">
        <f t="shared" ref="K6:K12" si="3">IF(J6=0,0,L6/J6)</f>
        <v>4730.1739999999991</v>
      </c>
      <c r="L6" s="266">
        <f>-SUMIFS(BV_Data_An_Cour!$AN:$AN,BV_Data_An_Cour!$AP:$AP,$B6,BV_Data_An_Cour!$AQ:$AQ,$C6,BV_Data_An_Cour!$AR:$AR,L$2)</f>
        <v>23650.869999999995</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-2</v>
      </c>
      <c r="S6" s="266">
        <f t="shared" ref="S6:S12" si="8">L6-Q6</f>
        <v>-11781.780000000028</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269</v>
      </c>
      <c r="K7" s="281">
        <f t="shared" si="3"/>
        <v>2513.8295167285914</v>
      </c>
      <c r="L7" s="266">
        <f>-SUMIFS(BV_Data_An_Cour!$AN:$AN,BV_Data_An_Cour!$AP:$AP,$B7,BV_Data_An_Cour!$AQ:$AQ,$C7,BV_Data_An_Cour!$AR:$AR,L$2)</f>
        <v>676220.13999999105</v>
      </c>
      <c r="M7" s="245" t="e">
        <f t="shared" si="4"/>
        <v>#N/A</v>
      </c>
      <c r="N7" s="246" t="e">
        <f t="shared" si="5"/>
        <v>#N/A</v>
      </c>
      <c r="O7" s="245">
        <f>SUMIFS(BV_Data_An_Prec!$AX:$AX,BV_Data_An_Prec!$AP:$AP,$B7,BV_Data_An_Prec!$AQ:$AQ,$C7,BV_Data_An_Prec!$AY:$AY,O$2)</f>
        <v>427</v>
      </c>
      <c r="P7" s="281">
        <f t="shared" si="6"/>
        <v>3063.3947306791638</v>
      </c>
      <c r="Q7" s="266">
        <f>-SUMIFS(BV_Data_An_Prec!$AN:$AN,BV_Data_An_Prec!$AP:$AP,$B7,BV_Data_An_Prec!$AQ:$AQ,$C7,BV_Data_An_Prec!$AR:$AR,Q$2)</f>
        <v>1308069.5500000028</v>
      </c>
      <c r="R7" s="245">
        <f t="shared" si="7"/>
        <v>-158</v>
      </c>
      <c r="S7" s="266">
        <f t="shared" si="8"/>
        <v>-631849.41000001179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159</v>
      </c>
      <c r="K9" s="281">
        <f t="shared" si="3"/>
        <v>1296.1824528301927</v>
      </c>
      <c r="L9" s="266">
        <f>-SUMIFS(BV_Data_An_Cour!$AN:$AN,BV_Data_An_Cour!$AP:$AP,$B9,BV_Data_An_Cour!$AQ:$AQ,$C9,BV_Data_An_Cour!$AR:$AR,L$2)</f>
        <v>206093.01000000062</v>
      </c>
      <c r="M9" s="245" t="e">
        <f t="shared" si="4"/>
        <v>#N/A</v>
      </c>
      <c r="N9" s="246" t="e">
        <f t="shared" si="5"/>
        <v>#N/A</v>
      </c>
      <c r="O9" s="245">
        <f>SUMIFS(BV_Data_An_Prec!$AX:$AX,BV_Data_An_Prec!$AP:$AP,$B9,BV_Data_An_Prec!$AQ:$AQ,$C9,BV_Data_An_Prec!$AY:$AY,O$2)</f>
        <v>155</v>
      </c>
      <c r="P9" s="281">
        <f t="shared" si="6"/>
        <v>1220.662387096779</v>
      </c>
      <c r="Q9" s="266">
        <f>-SUMIFS(BV_Data_An_Prec!$AN:$AN,BV_Data_An_Prec!$AP:$AP,$B9,BV_Data_An_Prec!$AQ:$AQ,$C9,BV_Data_An_Prec!$AR:$AR,Q$2)</f>
        <v>189202.67000000074</v>
      </c>
      <c r="R9" s="245">
        <f t="shared" si="7"/>
        <v>4</v>
      </c>
      <c r="S9" s="266">
        <f t="shared" si="8"/>
        <v>16890.33999999988</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433</v>
      </c>
      <c r="K13" s="355">
        <f>IF(J13&lt;=0,0,L13/J13)</f>
        <v>2092.295658198595</v>
      </c>
      <c r="L13" s="356">
        <f>+SUM(L6:L12)</f>
        <v>905964.01999999164</v>
      </c>
      <c r="M13" s="252" t="e">
        <f>+SUM(M6:M12)</f>
        <v>#N/A</v>
      </c>
      <c r="N13" s="251" t="e">
        <f t="shared" ref="N13" si="10">+SUM(N6:N12)</f>
        <v>#N/A</v>
      </c>
      <c r="O13" s="252">
        <f>+SUM(O6:O12)</f>
        <v>589</v>
      </c>
      <c r="P13" s="355">
        <f>IF(O13&lt;=0,0,Q13/O13)</f>
        <v>2602.215398981331</v>
      </c>
      <c r="Q13" s="356">
        <f>+SUM(Q6:Q12)</f>
        <v>1532704.8700000038</v>
      </c>
      <c r="R13" s="252">
        <f t="shared" ref="R13" si="11">+SUM(R6:R12)</f>
        <v>-156</v>
      </c>
      <c r="S13" s="356">
        <f>+SUM(S6:S12)</f>
        <v>-626740.85000001197</v>
      </c>
      <c r="T13" s="38"/>
      <c r="U13" s="338">
        <f>1-(J13/O13)</f>
        <v>0.264855687606112</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-0.26485568760611206</v>
      </c>
      <c r="S14" s="255">
        <f>IF(Q13=0,0,(S13/Q13))</f>
        <v>-0.40891163215264686</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989</v>
      </c>
      <c r="K17" s="281">
        <f>IF(J17=0,0,L17/J17)</f>
        <v>557.32010111224031</v>
      </c>
      <c r="L17" s="266">
        <f>-SUMIFS(BV_Data_An_Cour!$AN:$AN,BV_Data_An_Cour!$AP:$AP,$B17,BV_Data_An_Cour!$AQ:$AQ,$C17,BV_Data_An_Cour!$AR:$AR,L$2)</f>
        <v>551189.58000000566</v>
      </c>
      <c r="M17" s="257" t="e">
        <f>J17-D17</f>
        <v>#N/A</v>
      </c>
      <c r="N17" s="246" t="e">
        <f>L17-F17</f>
        <v>#N/A</v>
      </c>
      <c r="O17" s="257">
        <f>SUMIFS(BV_Data_An_Prec!$AX:$AX,BV_Data_An_Prec!$AP:$AP,$B17,BV_Data_An_Prec!$AQ:$AQ,$C17,BV_Data_An_Prec!$AY:$AY,O$2)</f>
        <v>1252</v>
      </c>
      <c r="P17" s="281">
        <f>IF(O17=0,0,Q17/O17)</f>
        <v>620.5440095846717</v>
      </c>
      <c r="Q17" s="266">
        <f>-SUMIFS(BV_Data_An_Prec!$AN:$AN,BV_Data_An_Prec!$AP:$AP,$B17,BV_Data_An_Prec!$AQ:$AQ,$C17,BV_Data_An_Prec!$AR:$AR,Q$2)</f>
        <v>776921.10000000894</v>
      </c>
      <c r="R17" s="245">
        <f>J17-O17</f>
        <v>-263</v>
      </c>
      <c r="S17" s="266">
        <f>L17-Q17</f>
        <v>-225731.52000000328</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33.143972286374137</v>
      </c>
      <c r="L21" s="266">
        <f>-SUMIFS(BV_Data_An_Cour!$AN:$AN,BV_Data_An_Cour!$AP:$AP,$B21,BV_Data_An_Cour!$AQ:$AQ,$C21,BV_Data_An_Cour!$AR:$AR,L$2)</f>
        <v>14351.34</v>
      </c>
      <c r="M21" s="245"/>
      <c r="N21" s="246" t="e">
        <f>L21-F21</f>
        <v>#N/A</v>
      </c>
      <c r="O21" s="245"/>
      <c r="P21" s="281">
        <f>IF(O13=0,0,Q21/(O13+O15))</f>
        <v>9.0538709677419345</v>
      </c>
      <c r="Q21" s="266">
        <f>-SUMIFS(BV_Data_An_Prec!$AN:$AN,BV_Data_An_Prec!$AP:$AP,$B21,BV_Data_An_Prec!$AQ:$AQ,$C21,BV_Data_An_Prec!$AR:$AR,Q$2)</f>
        <v>5332.73</v>
      </c>
      <c r="R21" s="267">
        <f>P21-K21</f>
        <v>-24.0901013186322</v>
      </c>
      <c r="S21" s="266">
        <f t="shared" ref="S21:S23" si="12">L21-Q21</f>
        <v>9018.61</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745.24842956120062</v>
      </c>
      <c r="L22" s="266">
        <f>-SUMIFS(BV_Data_An_Cour!$AN:$AN,BV_Data_An_Cour!$AP:$AP,$B22,BV_Data_An_Cour!$AQ:$AQ,$C22,BV_Data_An_Cour!$AR:$AR,L$2)</f>
        <v>322692.56999999989</v>
      </c>
      <c r="M22" s="245"/>
      <c r="N22" s="246" t="e">
        <f>L22-F22</f>
        <v>#N/A</v>
      </c>
      <c r="O22" s="245"/>
      <c r="P22" s="281">
        <f>IF(O13=0,0,Q22/(O13+O15))</f>
        <v>685.23887945670629</v>
      </c>
      <c r="Q22" s="266">
        <f>-SUMIFS(BV_Data_An_Prec!$AN:$AN,BV_Data_An_Prec!$AP:$AP,$B22,BV_Data_An_Prec!$AQ:$AQ,$C22,BV_Data_An_Prec!$AR:$AR,Q$2)</f>
        <v>403605.7</v>
      </c>
      <c r="R22" s="267">
        <f t="shared" ref="R22:R23" si="13">P22-K22</f>
        <v>-60.009550104494338</v>
      </c>
      <c r="S22" s="266">
        <f t="shared" si="12"/>
        <v>-80913.130000000121</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87.811270207852203</v>
      </c>
      <c r="L23" s="266">
        <f>-SUMIFS(BV_Data_An_Cour!$AN:$AN,BV_Data_An_Cour!$AP:$AP,$B23,BV_Data_An_Cour!$AQ:$AQ,$C23,BV_Data_An_Cour!$AR:$AR,L$2)</f>
        <v>38022.280000000006</v>
      </c>
      <c r="M23" s="257"/>
      <c r="N23" s="246" t="e">
        <f>L23-F23</f>
        <v>#N/A</v>
      </c>
      <c r="O23" s="245"/>
      <c r="P23" s="281">
        <f>IF(O13=0,0,Q23/(O13+O15))</f>
        <v>68.979694397283538</v>
      </c>
      <c r="Q23" s="266">
        <f>-SUMIFS(BV_Data_An_Prec!$AN:$AN,BV_Data_An_Prec!$AP:$AP,$B23,BV_Data_An_Prec!$AQ:$AQ,$C23,BV_Data_An_Prec!$AR:$AR,Q$2)</f>
        <v>40629.040000000001</v>
      </c>
      <c r="R23" s="267">
        <f t="shared" si="13"/>
        <v>-18.831575810568665</v>
      </c>
      <c r="S23" s="266">
        <f t="shared" si="12"/>
        <v>-2606.7599999999948</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433</v>
      </c>
      <c r="K24" s="355">
        <f>IF(J24&lt;=0,0,L24/J24)</f>
        <v>866.20367205542709</v>
      </c>
      <c r="L24" s="356">
        <f>L21+L22+L23</f>
        <v>375066.18999999994</v>
      </c>
      <c r="M24" s="265" t="e">
        <f>J24-D24</f>
        <v>#N/A</v>
      </c>
      <c r="N24" s="251" t="e">
        <f>L24-F24</f>
        <v>#N/A</v>
      </c>
      <c r="O24" s="252">
        <f>+O15+O13</f>
        <v>589</v>
      </c>
      <c r="P24" s="355">
        <f>IF(O24&lt;=0,0,Q24/O24)</f>
        <v>763.27244482173171</v>
      </c>
      <c r="Q24" s="356">
        <f>Q21+Q22+Q23</f>
        <v>449567.47</v>
      </c>
      <c r="R24" s="337">
        <f>P24-K24</f>
        <v>-102.93122723369538</v>
      </c>
      <c r="S24" s="356">
        <f>L24-Q24</f>
        <v>-74501.280000000028</v>
      </c>
      <c r="T24" s="38"/>
      <c r="U24" s="1051">
        <f>L24-L32</f>
        <v>375066.18999999994</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-0.16571768415539503</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1422</v>
      </c>
      <c r="K27" s="269">
        <f>IF(J27&lt;=0,0,L27/J27)</f>
        <v>1288.4808649789011</v>
      </c>
      <c r="L27" s="271">
        <f>L13+L17+L24+L19+L15</f>
        <v>1832219.7899999972</v>
      </c>
      <c r="M27" s="272" t="e">
        <f>J27-D27</f>
        <v>#N/A</v>
      </c>
      <c r="N27" s="271" t="e">
        <f>L27-F27</f>
        <v>#N/A</v>
      </c>
      <c r="O27" s="272">
        <f>+O13+O15+O17</f>
        <v>1841</v>
      </c>
      <c r="P27" s="269">
        <f>IF(O27&lt;=0,0,Q27/O27)</f>
        <v>1498.7471156979971</v>
      </c>
      <c r="Q27" s="271">
        <f>Q13+Q17+Q24+Q19+Q15</f>
        <v>2759193.4400000125</v>
      </c>
      <c r="R27" s="272">
        <f>J27-O27</f>
        <v>-419</v>
      </c>
      <c r="S27" s="271">
        <f>L27-Q27</f>
        <v>-926973.65000001527</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2141.431444575775</v>
      </c>
      <c r="R28" s="276">
        <f>R27/O27</f>
        <v>-0.2275936990765888</v>
      </c>
      <c r="S28" s="326">
        <f>IF(Q27=0,0,S27/Q27)</f>
        <v>-0.33595819581247305</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0.24293913833105904</v>
      </c>
      <c r="K31" s="281">
        <f>IF(L31=0,0,L31/J$24)</f>
        <v>817.55113163972294</v>
      </c>
      <c r="L31" s="266">
        <f>SUMIFS(BV_Data_An_Cour!$AN:$AN,BV_Data_An_Cour!$AP:$AP,$B31,BV_Data_An_Cour!$AQ:$AQ,$C31,BV_Data_An_Cour!$AR:$AR,L$2)</f>
        <v>353999.64</v>
      </c>
      <c r="M31" s="243"/>
      <c r="N31" s="266" t="e">
        <f t="shared" ref="N31:N53" si="15">L31-F31</f>
        <v>#N/A</v>
      </c>
      <c r="O31" s="282">
        <f>Q31/(Q15+Q13+Q17)</f>
        <v>0.22000019769434667</v>
      </c>
      <c r="P31" s="281">
        <f t="shared" ref="P31:P40" si="16">IF(Q31=0,0,Q31/O$24)</f>
        <v>862.67940577249578</v>
      </c>
      <c r="Q31" s="266">
        <f>SUMIFS(BV_Data_An_Prec!$AN:$AN,BV_Data_An_Prec!$AP:$AP,$B31,BV_Data_An_Prec!$AQ:$AQ,$C31,BV_Data_An_Prec!$AR:$AR,Q$2)</f>
        <v>508118.17</v>
      </c>
      <c r="R31" s="243"/>
      <c r="S31" s="266">
        <f>L31-Q31</f>
        <v>-154118.52999999997</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v>
      </c>
      <c r="K32" s="284">
        <f t="shared" ref="K32:K39" si="17">IF(L32=0,0,L32/J$24)</f>
        <v>0</v>
      </c>
      <c r="L32" s="266">
        <f>SUMIFS(BV_Data_An_Cour!$AN:$AN,BV_Data_An_Cour!$AP:$AP,$B32,BV_Data_An_Cour!$AQ:$AQ,$C32,BV_Data_An_Cour!$AR:$AR,L$2)</f>
        <v>0</v>
      </c>
      <c r="M32" s="238"/>
      <c r="N32" s="286" t="e">
        <f t="shared" si="15"/>
        <v>#N/A</v>
      </c>
      <c r="O32" s="285">
        <f>Q32/Q24</f>
        <v>0.2729336711128143</v>
      </c>
      <c r="P32" s="284">
        <f t="shared" si="16"/>
        <v>208.32275042444823</v>
      </c>
      <c r="Q32" s="286">
        <f>SUMIFS(BV_Data_An_Prec!$AN:$AN,BV_Data_An_Prec!$AP:$AP,$B32,BV_Data_An_Prec!$AQ:$AQ,$C32,BV_Data_An_Prec!$AR:$AR,Q$2)</f>
        <v>122702.1</v>
      </c>
      <c r="R32" s="238"/>
      <c r="S32" s="286">
        <f t="shared" ref="S32:S39" si="18">L32-Q32</f>
        <v>-122702.1</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638.77808314087758</v>
      </c>
      <c r="L33" s="952">
        <f>SUMIFS(BV_Data_An_Cour!$AN:$AN,BV_Data_An_Cour!$AP:$AP,$B33,BV_Data_An_Cour!$AQ:$AQ,$C33,BV_Data_An_Cour!$AR:$AR,L$2)</f>
        <v>276590.90999999997</v>
      </c>
      <c r="M33" s="243"/>
      <c r="N33" s="266" t="e">
        <f t="shared" si="15"/>
        <v>#N/A</v>
      </c>
      <c r="O33" s="243"/>
      <c r="P33" s="281">
        <f t="shared" si="16"/>
        <v>-59.694312393887941</v>
      </c>
      <c r="Q33" s="266">
        <f>SUMIFS(BV_Data_An_Prec!$AN:$AN,BV_Data_An_Prec!$AP:$AP,$B33,BV_Data_An_Prec!$AQ:$AQ,$C33,BV_Data_An_Prec!$AR:$AR,Q$2)</f>
        <v>-35159.949999999997</v>
      </c>
      <c r="R33" s="243"/>
      <c r="S33" s="266">
        <f t="shared" si="18"/>
        <v>311750.86</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21.554180138568128</v>
      </c>
      <c r="L34" s="266">
        <f>SUMIFS(BV_Data_An_Cour!$AN:$AN,BV_Data_An_Cour!$AP:$AP,$B34,BV_Data_An_Cour!$AQ:$AQ,$C34,BV_Data_An_Cour!$AR:$AR,L$2)</f>
        <v>9332.9599999999991</v>
      </c>
      <c r="M34" s="243"/>
      <c r="N34" s="266" t="e">
        <f t="shared" si="15"/>
        <v>#N/A</v>
      </c>
      <c r="O34" s="243"/>
      <c r="P34" s="281">
        <f t="shared" si="16"/>
        <v>6.2582342954159591</v>
      </c>
      <c r="Q34" s="266">
        <f>SUMIFS(BV_Data_An_Prec!$AN:$AN,BV_Data_An_Prec!$AP:$AP,$B34,BV_Data_An_Prec!$AQ:$AQ,$C34,BV_Data_An_Prec!$AR:$AR,Q$2)</f>
        <v>3686.1</v>
      </c>
      <c r="R34" s="243"/>
      <c r="S34" s="266">
        <f t="shared" si="18"/>
        <v>5646.8599999999988</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28.016859122401847</v>
      </c>
      <c r="L35" s="266">
        <f>SUMIFS(BV_Data_An_Cour!$AN:$AN,BV_Data_An_Cour!$AP:$AP,$B35,BV_Data_An_Cour!$AQ:$AQ,$C35,BV_Data_An_Cour!$AR:$AR,L$2)</f>
        <v>12131.3</v>
      </c>
      <c r="M35" s="238"/>
      <c r="N35" s="286" t="e">
        <f t="shared" si="15"/>
        <v>#N/A</v>
      </c>
      <c r="O35" s="238"/>
      <c r="P35" s="284">
        <f t="shared" si="16"/>
        <v>0</v>
      </c>
      <c r="Q35" s="286">
        <f>SUMIFS(BV_Data_An_Prec!$AN:$AN,BV_Data_An_Prec!$AP:$AP,$B35,BV_Data_An_Prec!$AQ:$AQ,$C35,BV_Data_An_Prec!$AR:$AR,Q$2)</f>
        <v>0</v>
      </c>
      <c r="R35" s="238"/>
      <c r="S35" s="286">
        <f t="shared" si="18"/>
        <v>12131.3</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-320.90436489607396</v>
      </c>
      <c r="L36" s="952">
        <f>SUMIFS(BV_Data_An_Cour!$AN:$AN,BV_Data_An_Cour!$AP:$AP,$B36,BV_Data_An_Cour!$AQ:$AQ,$C36,BV_Data_An_Cour!$AR:$AR,L$2)</f>
        <v>-138951.59000000003</v>
      </c>
      <c r="M36" s="243"/>
      <c r="N36" s="266" t="e">
        <f t="shared" si="15"/>
        <v>#N/A</v>
      </c>
      <c r="O36" s="243"/>
      <c r="P36" s="281">
        <f t="shared" si="16"/>
        <v>-419.80157894736845</v>
      </c>
      <c r="Q36" s="266">
        <f>SUMIFS(BV_Data_An_Prec!$AN:$AN,BV_Data_An_Prec!$AP:$AP,$B36,BV_Data_An_Prec!$AQ:$AQ,$C36,BV_Data_An_Prec!$AR:$AR,Q$2)</f>
        <v>-247263.13</v>
      </c>
      <c r="R36" s="243"/>
      <c r="S36" s="266">
        <f t="shared" si="18"/>
        <v>108311.53999999998</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1132.6827713625867</v>
      </c>
      <c r="L37" s="266">
        <f>SUMIFS(BV_Data_An_Cour!$AN:$AN,BV_Data_An_Cour!$AP:$AP,$B37,BV_Data_An_Cour!$AQ:$AQ,$C37,BV_Data_An_Cour!$AR:$AR,L$2)</f>
        <v>490451.64</v>
      </c>
      <c r="M37" s="243"/>
      <c r="N37" s="658" t="e">
        <f t="shared" si="15"/>
        <v>#N/A</v>
      </c>
      <c r="O37" s="243"/>
      <c r="P37" s="281">
        <f t="shared" si="16"/>
        <v>1373.4986417657044</v>
      </c>
      <c r="Q37" s="266">
        <f>SUMIFS(BV_Data_An_Prec!$AN:$AN,BV_Data_An_Prec!$AP:$AP,$B37,BV_Data_An_Prec!$AQ:$AQ,$C37,BV_Data_An_Prec!$AR:$AR,Q$2)</f>
        <v>808990.7</v>
      </c>
      <c r="R37" s="243"/>
      <c r="S37" s="266">
        <f t="shared" si="18"/>
        <v>-318539.05999999994</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-3714.1132101616627</v>
      </c>
      <c r="L38" s="266">
        <f>SUMIFS(BV_Data_An_Cour!$AN:$AN,BV_Data_An_Cour!$AP:$AP,$B38,BV_Data_An_Cour!$AQ:$AQ,$C38,BV_Data_An_Cour!$AR:$AR,L$2)</f>
        <v>-1608211.02</v>
      </c>
      <c r="M38" s="38"/>
      <c r="N38" s="266" t="e">
        <f t="shared" si="15"/>
        <v>#N/A</v>
      </c>
      <c r="O38" s="243"/>
      <c r="P38" s="281">
        <f t="shared" si="16"/>
        <v>-3799.6706281833617</v>
      </c>
      <c r="Q38" s="266">
        <f>SUMIFS(BV_Data_An_Prec!$AN:$AN,BV_Data_An_Prec!$AP:$AP,$B38,BV_Data_An_Prec!$AQ:$AQ,$C38,BV_Data_An_Prec!$AR:$AR,Q$2)</f>
        <v>-2238006</v>
      </c>
      <c r="R38" s="243"/>
      <c r="S38" s="266">
        <f t="shared" si="18"/>
        <v>629794.98</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0</v>
      </c>
      <c r="L39" s="266">
        <f>SUMIFS(BV_Data_An_Cour!$AN:$AN,BV_Data_An_Cour!$AP:$AP,$B39,BV_Data_An_Cour!$AQ:$AQ,$C39,BV_Data_An_Cour!$AR:$AR,L$2)</f>
        <v>0</v>
      </c>
      <c r="M39" s="38"/>
      <c r="N39" s="266" t="e">
        <f t="shared" si="15"/>
        <v>#N/A</v>
      </c>
      <c r="O39" s="243"/>
      <c r="P39" s="281">
        <f t="shared" si="16"/>
        <v>0</v>
      </c>
      <c r="Q39" s="266">
        <f>SUMIFS(BV_Data_An_Prec!$AN:$AN,BV_Data_An_Prec!$AP:$AP,$B39,BV_Data_An_Prec!$AQ:$AQ,$C39,BV_Data_An_Prec!$AR:$AR,Q$2)</f>
        <v>0</v>
      </c>
      <c r="R39" s="243"/>
      <c r="S39" s="266">
        <f t="shared" si="18"/>
        <v>0</v>
      </c>
      <c r="T39" s="38"/>
      <c r="U39" s="1247">
        <f>L39+L121+L194</f>
        <v>0</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-0.33001289654228699</v>
      </c>
      <c r="L41" s="294">
        <f>SUM(L31:L40)</f>
        <v>-604656.15999999992</v>
      </c>
      <c r="M41" s="296"/>
      <c r="N41" s="294" t="e">
        <f t="shared" si="15"/>
        <v>#N/A</v>
      </c>
      <c r="O41" s="295" t="s">
        <v>115</v>
      </c>
      <c r="P41" s="293">
        <f>Q41/Q$27</f>
        <v>-0.39030681734296785</v>
      </c>
      <c r="Q41" s="294">
        <f>SUM(Q31:Q40)</f>
        <v>-1076932.01</v>
      </c>
      <c r="R41" s="297"/>
      <c r="S41" s="294">
        <f t="shared" si="20"/>
        <v>472275.85000000009</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83475.34</v>
      </c>
      <c r="M42" s="243"/>
      <c r="N42" s="266" t="e">
        <f t="shared" si="15"/>
        <v>#N/A</v>
      </c>
      <c r="O42" s="243"/>
      <c r="P42" s="38"/>
      <c r="Q42" s="281">
        <f>SUMIFS(BV_Data_An_Prec!$AN:$AN,BV_Data_An_Prec!$AP:$AP,$B42,BV_Data_An_Prec!$AQ:$AQ,$C42,BV_Data_An_Prec!$AR:$AR,Q$2)</f>
        <v>125661.04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162114.62</v>
      </c>
      <c r="M43" s="243"/>
      <c r="N43" s="266" t="e">
        <f t="shared" si="15"/>
        <v>#N/A</v>
      </c>
      <c r="O43" s="243"/>
      <c r="P43" s="38"/>
      <c r="Q43" s="286">
        <f>SUMIFS(BV_Data_An_Prec!$AN:$AN,BV_Data_An_Prec!$AP:$AP,$B43,BV_Data_An_Prec!$AQ:$AQ,$C43,BV_Data_An_Prec!$AR:$AR,Q$2)</f>
        <v>232543.78</v>
      </c>
      <c r="R43" s="243"/>
      <c r="S43" s="266">
        <f t="shared" ref="S43:S53" si="21">L43-Q43</f>
        <v>-70429.16</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42506.79</v>
      </c>
      <c r="M44" s="233"/>
      <c r="N44" s="303" t="e">
        <f t="shared" si="15"/>
        <v>#N/A</v>
      </c>
      <c r="O44" s="233"/>
      <c r="P44" s="301"/>
      <c r="Q44" s="281">
        <f>SUMIFS(BV_Data_An_Prec!$AN:$AN,BV_Data_An_Prec!$AP:$AP,$B44,BV_Data_An_Prec!$AQ:$AQ,$C44,BV_Data_An_Prec!$AR:$AR,Q$2)</f>
        <v>31061.38</v>
      </c>
      <c r="R44" s="233"/>
      <c r="S44" s="303">
        <f t="shared" si="21"/>
        <v>11445.41</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64168.959999999999</v>
      </c>
      <c r="M49" s="243"/>
      <c r="N49" s="266" t="e">
        <f t="shared" si="15"/>
        <v>#N/A</v>
      </c>
      <c r="O49" s="243"/>
      <c r="P49" s="38"/>
      <c r="Q49" s="286">
        <f>SUMIFS(BV_Data_An_Prec!$AN:$AN,BV_Data_An_Prec!$AP:$AP,$B49,BV_Data_An_Prec!$AQ:$AQ,$C49,BV_Data_An_Prec!$AR:$AR,Q$2)</f>
        <v>110342.33</v>
      </c>
      <c r="R49" s="243"/>
      <c r="S49" s="266">
        <f t="shared" si="21"/>
        <v>-46173.37</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120904.94</v>
      </c>
      <c r="M50" s="233"/>
      <c r="N50" s="303" t="e">
        <f t="shared" si="15"/>
        <v>#N/A</v>
      </c>
      <c r="O50" s="233"/>
      <c r="P50" s="301"/>
      <c r="Q50" s="281">
        <f>SUMIFS(BV_Data_An_Prec!$AN:$AN,BV_Data_An_Prec!$AP:$AP,$B50,BV_Data_An_Prec!$AQ:$AQ,$C50,BV_Data_An_Prec!$AR:$AR,Q$2)</f>
        <v>166766.04999999999</v>
      </c>
      <c r="R50" s="233"/>
      <c r="S50" s="303">
        <f t="shared" si="21"/>
        <v>-45861.109999999986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28292.35</v>
      </c>
      <c r="M51" s="243"/>
      <c r="N51" s="266" t="e">
        <f t="shared" si="15"/>
        <v>#N/A</v>
      </c>
      <c r="O51" s="243"/>
      <c r="P51" s="38"/>
      <c r="Q51" s="281">
        <f>SUMIFS(BV_Data_An_Prec!$AN:$AN,BV_Data_An_Prec!$AP:$AP,$B51,BV_Data_An_Prec!$AQ:$AQ,$C51,BV_Data_An_Prec!$AR:$AR,Q$2)</f>
        <v>45602.89</v>
      </c>
      <c r="R51" s="243"/>
      <c r="S51" s="266">
        <f t="shared" si="21"/>
        <v>-17310.54</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24694.37</v>
      </c>
      <c r="M52" s="243"/>
      <c r="N52" s="266" t="e">
        <f t="shared" si="15"/>
        <v>#N/A</v>
      </c>
      <c r="O52" s="243"/>
      <c r="P52" s="38"/>
      <c r="Q52" s="281">
        <f>SUMIFS(BV_Data_An_Prec!$AN:$AN,BV_Data_An_Prec!$AP:$AP,$B52,BV_Data_An_Prec!$AQ:$AQ,$C52,BV_Data_An_Prec!$AR:$AR,Q$2)</f>
        <v>799.78</v>
      </c>
      <c r="R52" s="243"/>
      <c r="S52" s="266">
        <f t="shared" si="21"/>
        <v>23894.59</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0.28716935210049271</v>
      </c>
      <c r="L54" s="294">
        <f>+SUM(L42:L53)</f>
        <v>526157.37</v>
      </c>
      <c r="M54" s="296"/>
      <c r="N54" s="294" t="e">
        <f>+SUM(N42:N53)</f>
        <v>#N/A</v>
      </c>
      <c r="O54" s="295" t="s">
        <v>115</v>
      </c>
      <c r="P54" s="293">
        <f>Q54/Q$27</f>
        <v>0.25832811852437459</v>
      </c>
      <c r="Q54" s="294">
        <f>+SUM(Q42:Q53)</f>
        <v>712777.25000000012</v>
      </c>
      <c r="R54" s="297"/>
      <c r="S54" s="294">
        <f>+SUM(S42:S53)</f>
        <v>-144434.18</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88473.11</v>
      </c>
      <c r="M57" s="238"/>
      <c r="N57" s="286" t="e">
        <f t="shared" si="22"/>
        <v>#N/A</v>
      </c>
      <c r="O57" s="238"/>
      <c r="P57" s="304"/>
      <c r="Q57" s="286">
        <f>SUMIFS(BV_Data_An_Prec!$AN:$AN,BV_Data_An_Prec!$AP:$AP,$B57,BV_Data_An_Prec!$AQ:$AQ,$C57,BV_Data_An_Prec!$AR:$AR,Q$2)</f>
        <v>109093.9</v>
      </c>
      <c r="R57" s="238"/>
      <c r="S57" s="286">
        <f t="shared" si="23"/>
        <v>-20620.789999999994</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30014.71</v>
      </c>
      <c r="M58" s="243"/>
      <c r="N58" s="266" t="e">
        <f t="shared" si="22"/>
        <v>#N/A</v>
      </c>
      <c r="O58" s="243"/>
      <c r="P58" s="38"/>
      <c r="Q58" s="266">
        <f>SUMIFS(BV_Data_An_Prec!$AN:$AN,BV_Data_An_Prec!$AP:$AP,$B58,BV_Data_An_Prec!$AQ:$AQ,$C58,BV_Data_An_Prec!$AR:$AR,Q$2)</f>
        <v>37886.22</v>
      </c>
      <c r="R58" s="243"/>
      <c r="S58" s="266">
        <f t="shared" si="23"/>
        <v>-7871.510000000002</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24910.61</v>
      </c>
      <c r="M59" s="243"/>
      <c r="N59" s="266" t="e">
        <f t="shared" si="22"/>
        <v>#N/A</v>
      </c>
      <c r="O59" s="243"/>
      <c r="P59" s="38"/>
      <c r="Q59" s="266">
        <f>SUMIFS(BV_Data_An_Prec!$AN:$AN,BV_Data_An_Prec!$AP:$AP,$B59,BV_Data_An_Prec!$AQ:$AQ,$C59,BV_Data_An_Prec!$AR:$AR,Q$2)</f>
        <v>42804.270000000004</v>
      </c>
      <c r="R59" s="243"/>
      <c r="S59" s="266">
        <f t="shared" si="23"/>
        <v>-17893.660000000003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56956.08</v>
      </c>
      <c r="M60" s="238"/>
      <c r="N60" s="286" t="e">
        <f t="shared" si="22"/>
        <v>#N/A</v>
      </c>
      <c r="O60" s="238"/>
      <c r="P60" s="304"/>
      <c r="Q60" s="286">
        <f>SUMIFS(BV_Data_An_Prec!$AN:$AN,BV_Data_An_Prec!$AP:$AP,$B60,BV_Data_An_Prec!$AQ:$AQ,$C60,BV_Data_An_Prec!$AR:$AR,Q$2)</f>
        <v>64864.05</v>
      </c>
      <c r="R60" s="238"/>
      <c r="S60" s="286">
        <f t="shared" si="23"/>
        <v>-7907.9700000000012</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3996.33</v>
      </c>
      <c r="M61" s="243"/>
      <c r="N61" s="266" t="e">
        <f t="shared" si="22"/>
        <v>#N/A</v>
      </c>
      <c r="O61" s="243"/>
      <c r="P61" s="38"/>
      <c r="Q61" s="266">
        <f>SUMIFS(BV_Data_An_Prec!$AN:$AN,BV_Data_An_Prec!$AP:$AP,$B61,BV_Data_An_Prec!$AQ:$AQ,$C61,BV_Data_An_Prec!$AR:$AR,Q$2)</f>
        <v>6191.83</v>
      </c>
      <c r="R61" s="243"/>
      <c r="S61" s="266">
        <f t="shared" si="23"/>
        <v>-2195.5</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16701.57</v>
      </c>
      <c r="M63" s="243"/>
      <c r="N63" s="266" t="e">
        <f t="shared" si="22"/>
        <v>#N/A</v>
      </c>
      <c r="O63" s="243"/>
      <c r="P63" s="38"/>
      <c r="Q63" s="266">
        <f>SUMIFS(BV_Data_An_Prec!$AN:$AN,BV_Data_An_Prec!$AP:$AP,$B63,BV_Data_An_Prec!$AQ:$AQ,$C63,BV_Data_An_Prec!$AR:$AR,Q$2)</f>
        <v>19170.64</v>
      </c>
      <c r="R63" s="243"/>
      <c r="S63" s="266">
        <f t="shared" si="23"/>
        <v>-2469.0699999999997</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5226.5</v>
      </c>
      <c r="M64" s="243"/>
      <c r="N64" s="266" t="e">
        <f t="shared" si="22"/>
        <v>#N/A</v>
      </c>
      <c r="O64" s="243"/>
      <c r="P64" s="38"/>
      <c r="Q64" s="266">
        <f>SUMIFS(BV_Data_An_Prec!$AN:$AN,BV_Data_An_Prec!$AP:$AP,$B64,BV_Data_An_Prec!$AQ:$AQ,$C64,BV_Data_An_Prec!$AR:$AR,Q$2)</f>
        <v>8741.1299999999992</v>
      </c>
      <c r="R64" s="243"/>
      <c r="S64" s="266">
        <f t="shared" si="23"/>
        <v>-3514.6299999999992</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14795.39</v>
      </c>
      <c r="M65" s="243"/>
      <c r="N65" s="266" t="e">
        <f t="shared" si="22"/>
        <v>#N/A</v>
      </c>
      <c r="O65" s="243"/>
      <c r="P65" s="38"/>
      <c r="Q65" s="266">
        <f>SUMIFS(BV_Data_An_Prec!$AN:$AN,BV_Data_An_Prec!$AP:$AP,$B65,BV_Data_An_Prec!$AQ:$AQ,$C65,BV_Data_An_Prec!$AR:$AR,Q$2)</f>
        <v>8079.51</v>
      </c>
      <c r="R65" s="243"/>
      <c r="S65" s="266">
        <f t="shared" si="23"/>
        <v>6715.8799999999992</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29093.210000000003</v>
      </c>
      <c r="M66" s="243"/>
      <c r="N66" s="266" t="e">
        <f t="shared" si="22"/>
        <v>#N/A</v>
      </c>
      <c r="O66" s="243"/>
      <c r="P66" s="38"/>
      <c r="Q66" s="266">
        <f>SUMIFS(BV_Data_An_Prec!$AN:$AN,BV_Data_An_Prec!$AP:$AP,$B66,BV_Data_An_Prec!$AQ:$AQ,$C66,BV_Data_An_Prec!$AR:$AR,Q$2)</f>
        <v>26756.239999999998</v>
      </c>
      <c r="R66" s="243"/>
      <c r="S66" s="266">
        <f t="shared" si="23"/>
        <v>2336.9700000000048</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13409.21</v>
      </c>
      <c r="M67" s="243"/>
      <c r="N67" s="266" t="e">
        <f t="shared" si="22"/>
        <v>#N/A</v>
      </c>
      <c r="O67" s="243"/>
      <c r="P67" s="38"/>
      <c r="Q67" s="266">
        <f>SUMIFS(BV_Data_An_Prec!$AN:$AN,BV_Data_An_Prec!$AP:$AP,$B67,BV_Data_An_Prec!$AQ:$AQ,$C67,BV_Data_An_Prec!$AR:$AR,Q$2)</f>
        <v>6711.03</v>
      </c>
      <c r="R67" s="243"/>
      <c r="S67" s="266">
        <f t="shared" si="23"/>
        <v>6698.1799999999994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13784.86</v>
      </c>
      <c r="M68" s="243"/>
      <c r="N68" s="658" t="e">
        <f t="shared" si="22"/>
        <v>#N/A</v>
      </c>
      <c r="O68" s="243"/>
      <c r="P68" s="38"/>
      <c r="Q68" s="266">
        <f>SUMIFS(BV_Data_An_Prec!$AN:$AN,BV_Data_An_Prec!$AP:$AP,$B68,BV_Data_An_Prec!$AQ:$AQ,$C68,BV_Data_An_Prec!$AR:$AR,Q$2)</f>
        <v>3227.62</v>
      </c>
      <c r="R68" s="243"/>
      <c r="S68" s="266">
        <f t="shared" si="23"/>
        <v>10557.240000000002</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0.16229580185901193</v>
      </c>
      <c r="L72" s="294">
        <f>+SUM(L55:L71)</f>
        <v>297361.58</v>
      </c>
      <c r="M72" s="296"/>
      <c r="N72" s="294" t="e">
        <f>+SUM(N55:N71)</f>
        <v>#N/A</v>
      </c>
      <c r="O72" s="295" t="s">
        <v>115</v>
      </c>
      <c r="P72" s="293">
        <f>Q72/Q$27</f>
        <v>0.12087823751856937</v>
      </c>
      <c r="Q72" s="294">
        <f>+SUM(Q55:Q71)</f>
        <v>333526.44</v>
      </c>
      <c r="R72" s="297"/>
      <c r="S72" s="294">
        <f>+SUM(S55:S71)</f>
        <v>-36164.86</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0.11945225741721763</v>
      </c>
      <c r="L74" s="294">
        <f>L41+L54+L72</f>
        <v>218862.7900000001</v>
      </c>
      <c r="M74" s="296"/>
      <c r="N74" s="294" t="e">
        <f t="shared" ref="N74:N82" si="24">L74-F74</f>
        <v>#N/A</v>
      </c>
      <c r="O74" s="295" t="s">
        <v>115</v>
      </c>
      <c r="P74" s="293">
        <f>Q74/Q$27</f>
        <v>-1.1100461300023876E-2</v>
      </c>
      <c r="Q74" s="294">
        <f>Q41+Q54+Q72</f>
        <v>-30628.319999999891</v>
      </c>
      <c r="R74" s="297"/>
      <c r="S74" s="294">
        <f>L74-Q74</f>
        <v>249491.11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0</v>
      </c>
      <c r="M75" s="243"/>
      <c r="N75" s="266" t="e">
        <f t="shared" si="24"/>
        <v>#N/A</v>
      </c>
      <c r="O75" s="243"/>
      <c r="P75" s="38"/>
      <c r="Q75" s="266">
        <f>-SUMIFS(BV_Data_An_Prec!$AN:$AN,BV_Data_An_Prec!$AP:$AP,$B75,BV_Data_An_Prec!$AQ:$AQ,$C75,BV_Data_An_Prec!$AR:$AR,Q$2)</f>
        <v>230561.58</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0.86743516802294274</v>
      </c>
      <c r="K82" s="307">
        <f>+L82/J24</f>
        <v>606.33718244803697</v>
      </c>
      <c r="L82" s="266">
        <f>-SUMIFS(BV_Data_An_Cour!$AN:$AN,BV_Data_An_Cour!$AP:$AP,$B82,BV_Data_An_Cour!$AQ:$AQ,$C82,BV_Data_An_Cour!$AR:$AR,L$2)</f>
        <v>262544</v>
      </c>
      <c r="M82" s="243"/>
      <c r="N82" s="266" t="e">
        <f t="shared" si="24"/>
        <v>#N/A</v>
      </c>
      <c r="O82" s="744"/>
      <c r="P82" s="307"/>
      <c r="Q82" s="266">
        <f>-SUMIFS(BV_Data_An_Prec!$AN:$AN,BV_Data_An_Prec!$AP:$AP,$B82,BV_Data_An_Prec!$AQ:$AQ,$C82,BV_Data_An_Prec!$AR:$AR,Q$2)</f>
        <v>0</v>
      </c>
      <c r="R82" s="243"/>
      <c r="S82" s="266">
        <f t="shared" si="25"/>
        <v>262544</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262544</v>
      </c>
      <c r="M83" s="296"/>
      <c r="N83" s="294" t="e">
        <f>+SUM(N75:N82)</f>
        <v>#N/A</v>
      </c>
      <c r="O83" s="295"/>
      <c r="P83" s="293"/>
      <c r="Q83" s="294">
        <f>+SUM(Q75:Q82)</f>
        <v>230561.58</v>
      </c>
      <c r="R83" s="297"/>
      <c r="S83" s="294">
        <f>+SUM(S75:S82)</f>
        <v>262544</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1875900.9999999972</v>
      </c>
      <c r="M85" s="958"/>
      <c r="N85" s="956" t="e">
        <f>N27-N41-N54-N72+N83</f>
        <v>#N/A</v>
      </c>
      <c r="O85" s="957"/>
      <c r="P85" s="955"/>
      <c r="Q85" s="956">
        <f>Q27-Q74+Q83</f>
        <v>3020383.3400000124</v>
      </c>
      <c r="R85" s="959"/>
      <c r="S85" s="956">
        <f>L85-Q85</f>
        <v>-1144482.3400000152</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Septembre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4" t="s">
        <v>339</v>
      </c>
      <c r="E91" s="1279"/>
      <c r="F91" s="1280"/>
      <c r="G91" s="1281"/>
      <c r="H91" s="1279"/>
      <c r="I91" s="1280"/>
      <c r="J91" s="1281" t="s">
        <v>340</v>
      </c>
      <c r="K91" s="1279"/>
      <c r="L91" s="1280"/>
      <c r="M91" s="1281" t="s">
        <v>668</v>
      </c>
      <c r="N91" s="1280"/>
      <c r="O91" s="1274" t="s">
        <v>341</v>
      </c>
      <c r="P91" s="1279"/>
      <c r="Q91" s="1280"/>
      <c r="R91" s="1273" t="s">
        <v>670</v>
      </c>
      <c r="S91" s="1282"/>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15315887.359999999</v>
      </c>
      <c r="M93" s="320"/>
      <c r="N93" s="321"/>
      <c r="O93" s="238"/>
      <c r="P93" s="284"/>
      <c r="Q93" s="286">
        <f>-SUMIFS(BV_Data_An_Prec!$AN:$AN,BV_Data_An_Prec!$AS:$AS,"Oui",BV_Data_An_Prec!$AP:$AP,$B93)</f>
        <v>22782116.710000001</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193</v>
      </c>
      <c r="K95" s="281">
        <f t="shared" si="28"/>
        <v>1272.5565803108805</v>
      </c>
      <c r="L95" s="266">
        <f>-SUMIFS(BV_Data_An_Cour!$AN:$AN,BV_Data_An_Cour!$AP:$AP,$B95,BV_Data_An_Cour!$AQ:$AQ,$C95,BV_Data_An_Cour!$AR:$AR,$L2)</f>
        <v>245603.41999999993</v>
      </c>
      <c r="M95" s="245" t="e">
        <f>J95-D95</f>
        <v>#N/A</v>
      </c>
      <c r="N95" s="246" t="e">
        <f>L95-F95</f>
        <v>#N/A</v>
      </c>
      <c r="O95" s="245">
        <f>SUMIFS(BV_Data_An_Prec!$AX:$AX,BV_Data_An_Prec!$AP:$AP,$B95,BV_Data_An_Prec!$AQ:$AQ,$C95,BV_Data_An_Prec!$AY:$AY,O$2)</f>
        <v>83</v>
      </c>
      <c r="P95" s="281">
        <f t="shared" si="29"/>
        <v>242.33457831325325</v>
      </c>
      <c r="Q95" s="266">
        <f>-SUMIFS(BV_Data_An_Prec!$AN:$AN,BV_Data_An_Prec!$AP:$AP,$B95,BV_Data_An_Prec!$AQ:$AQ,$C95,BV_Data_An_Prec!$AR:$AR,$L2)</f>
        <v>20113.770000000019</v>
      </c>
      <c r="R95" s="245">
        <f>J95-O95</f>
        <v>110</v>
      </c>
      <c r="S95" s="266">
        <f t="shared" si="31"/>
        <v>225489.64999999991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193</v>
      </c>
      <c r="K97" s="305">
        <f>IF(J97&lt;=0,0,L97/J97)</f>
        <v>1272.5565803108805</v>
      </c>
      <c r="L97" s="356">
        <f>+L94+L95+L96</f>
        <v>245603.41999999993</v>
      </c>
      <c r="M97" s="252" t="e">
        <f>J97-D97</f>
        <v>#N/A</v>
      </c>
      <c r="N97" s="251" t="e">
        <f>L97-F97</f>
        <v>#N/A</v>
      </c>
      <c r="O97" s="250">
        <f>+O94+O95+O96</f>
        <v>83</v>
      </c>
      <c r="P97" s="305">
        <f>IF(O97&lt;=0,0,Q97/O97)</f>
        <v>242.33457831325325</v>
      </c>
      <c r="Q97" s="356">
        <f>+Q94+Q95+Q96</f>
        <v>20113.770000000019</v>
      </c>
      <c r="R97" s="252">
        <f>R94+R95</f>
        <v>110</v>
      </c>
      <c r="S97" s="356">
        <f>S94+S95</f>
        <v>225489.64999999991</v>
      </c>
      <c r="T97" s="38"/>
      <c r="U97" s="338">
        <f>-(1-(J97/O97))</f>
        <v>1.3253012048192772</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1.3253012048192772</v>
      </c>
      <c r="S98" s="255">
        <f>IF(Q97=0,0,(S97/Q97))</f>
        <v>11.210710374037275</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252</v>
      </c>
      <c r="K101" s="281">
        <f t="shared" si="34"/>
        <v>414.356984126984</v>
      </c>
      <c r="L101" s="266">
        <f>-SUMIFS(BV_Data_An_Cour!$AN:$AN,BV_Data_An_Cour!$AP:$AP,$B101,BV_Data_An_Cour!$AQ:$AQ,$C101,BV_Data_An_Cour!$AR:$AR,L$2)</f>
        <v>104417.95999999996</v>
      </c>
      <c r="M101" s="245" t="e">
        <f>J101-D101</f>
        <v>#N/A</v>
      </c>
      <c r="N101" s="246" t="e">
        <f>L101-F101</f>
        <v>#N/A</v>
      </c>
      <c r="O101" s="245">
        <f>SUMIFS(BV_Data_An_Prec!$AX:$AX,BV_Data_An_Prec!$AP:$AP,$B101,BV_Data_An_Prec!$AQ:$AQ,$C101,BV_Data_An_Prec!$AY:$AY,O$2)</f>
        <v>544</v>
      </c>
      <c r="P101" s="281">
        <f t="shared" ref="P101" si="38">IF(O101=0,0,Q101/O101)</f>
        <v>879.12775735293428</v>
      </c>
      <c r="Q101" s="266">
        <f>-SUMIFS(BV_Data_An_Prec!$AN:$AN,BV_Data_An_Prec!$AP:$AP,$B101,BV_Data_An_Prec!$AQ:$AQ,$C101,BV_Data_An_Prec!$AR:$AR,Q$2)</f>
        <v>478245.49999999627</v>
      </c>
      <c r="R101" s="245">
        <f>J101-O101</f>
        <v>-292</v>
      </c>
      <c r="S101" s="266">
        <f t="shared" ref="S101" si="39">L101-Q101</f>
        <v>-373827.53999999631</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0</v>
      </c>
      <c r="L103" s="266">
        <f>-SUMIFS(BV_Data_An_Cour!$AN:$AN,BV_Data_An_Cour!$AP:$AP,$B103,BV_Data_An_Cour!$AQ:$AQ,$C103,BV_Data_An_Cour!$AR:$AR,$L2)</f>
        <v>0</v>
      </c>
      <c r="M103" s="245"/>
      <c r="N103" s="246" t="e">
        <f>L103-F103</f>
        <v>#N/A</v>
      </c>
      <c r="O103" s="245"/>
      <c r="P103" s="281">
        <f>IF(O97=0,0,Q103/O97)</f>
        <v>353.57506024096386</v>
      </c>
      <c r="Q103" s="266">
        <f>-SUMIFS(BV_Data_An_Prec!$AN:$AN,BV_Data_An_Prec!$AP:$AP,$B103,BV_Data_An_Prec!$AQ:$AQ,$C103,BV_Data_An_Prec!$AR:$AR,$L2)</f>
        <v>29346.73</v>
      </c>
      <c r="R103" s="267">
        <f>P103-K103</f>
        <v>353.57506024096386</v>
      </c>
      <c r="S103" s="266">
        <f t="shared" ref="S103:S105" si="41">L103-Q103</f>
        <v>-29346.73</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434.71367875647672</v>
      </c>
      <c r="L104" s="266">
        <f>-SUMIFS(BV_Data_An_Cour!$AN:$AN,BV_Data_An_Cour!$AP:$AP,$B104,BV_Data_An_Cour!$AQ:$AQ,$C104,BV_Data_An_Cour!$AR:$AR,$L2)</f>
        <v>83899.74</v>
      </c>
      <c r="M104" s="245"/>
      <c r="N104" s="246" t="e">
        <f>L104-F104</f>
        <v>#N/A</v>
      </c>
      <c r="O104" s="245"/>
      <c r="P104" s="281">
        <f>IF(O97=0,0,Q104/O97)</f>
        <v>706.60024096385541</v>
      </c>
      <c r="Q104" s="266">
        <f>-SUMIFS(BV_Data_An_Prec!$AN:$AN,BV_Data_An_Prec!$AP:$AP,$B104,BV_Data_An_Prec!$AQ:$AQ,$C104,BV_Data_An_Prec!$AR:$AR,$L2)</f>
        <v>58647.82</v>
      </c>
      <c r="R104" s="267">
        <f t="shared" ref="R104:R106" si="42">P104-K104</f>
        <v>271.88656220737869</v>
      </c>
      <c r="S104" s="266">
        <f t="shared" si="41"/>
        <v>25251.920000000006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193</v>
      </c>
      <c r="K106" s="355">
        <f>IF(J106&lt;=0,0,L106/J106)</f>
        <v>434.71367875647672</v>
      </c>
      <c r="L106" s="356">
        <f>L103+L104+L105</f>
        <v>83899.74</v>
      </c>
      <c r="M106" s="265" t="e">
        <f>J106-D106</f>
        <v>#N/A</v>
      </c>
      <c r="N106" s="251" t="e">
        <f>L106-F106</f>
        <v>#N/A</v>
      </c>
      <c r="O106" s="252">
        <f>O97</f>
        <v>83</v>
      </c>
      <c r="P106" s="355">
        <f>IF(O106&lt;=0,0,Q106/O106)</f>
        <v>1060.1753012048193</v>
      </c>
      <c r="Q106" s="356">
        <f>Q103+Q104+Q105</f>
        <v>87994.55</v>
      </c>
      <c r="R106" s="357">
        <f t="shared" si="42"/>
        <v>625.46162244834261</v>
      </c>
      <c r="S106" s="356">
        <f>L106-Q106</f>
        <v>-4094.8099999999977</v>
      </c>
      <c r="T106" s="38"/>
      <c r="U106" s="1051">
        <f>L106-L114</f>
        <v>83899.74</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-4.6534813803809409E-2</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445</v>
      </c>
      <c r="K109" s="269">
        <f>IF(J109&lt;=0,0,L109/J109)</f>
        <v>975.10364044943788</v>
      </c>
      <c r="L109" s="271">
        <f>L97+L106+L101+L99</f>
        <v>433921.11999999988</v>
      </c>
      <c r="M109" s="272" t="e">
        <f>J109-D109</f>
        <v>#N/A</v>
      </c>
      <c r="N109" s="271" t="e">
        <f>N97+N106+N101+N99</f>
        <v>#N/A</v>
      </c>
      <c r="O109" s="272">
        <f>O97+O101</f>
        <v>627</v>
      </c>
      <c r="P109" s="269">
        <f>IF(O109&lt;=0,0,Q109/O109)</f>
        <v>935.1735566188139</v>
      </c>
      <c r="Q109" s="271">
        <f>Q97+Q106+Q101+Q99</f>
        <v>586353.81999999634</v>
      </c>
      <c r="R109" s="272">
        <f>J109-O109</f>
        <v>-182</v>
      </c>
      <c r="S109" s="271">
        <f>S97+S106+S101+S99</f>
        <v>-152432.6999999964</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-3.4450549450549453</v>
      </c>
      <c r="S110" s="326">
        <f>IF(Q109=0,0,(S109/Q109))</f>
        <v>-0.2599670963173692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0.37408546672517845</v>
      </c>
      <c r="K113" s="281">
        <f>IF($J$97=0,0,L113/(J$94+J$95+J96))</f>
        <v>476.04492227979273</v>
      </c>
      <c r="L113" s="266">
        <f>SUMIFS(BV_Data_An_Cour!$AN:$AN,BV_Data_An_Cour!$AP:$AP,$B113,BV_Data_An_Cour!$AQ:$AQ,$C113,BV_Data_An_Cour!$AR:$AR,$L$2)</f>
        <v>91876.67</v>
      </c>
      <c r="M113" s="243"/>
      <c r="N113" s="266" t="e">
        <f t="shared" ref="N113:N154" si="44">L113-F113</f>
        <v>#N/A</v>
      </c>
      <c r="O113" s="282">
        <f>Q113/Q97</f>
        <v>5.6388991223425498</v>
      </c>
      <c r="P113" s="281">
        <f>IF($J$97=0,0,Q113/(O$94+O$95+O96))</f>
        <v>1366.5002409638555</v>
      </c>
      <c r="Q113" s="266">
        <f>SUMIFS(BV_Data_An_Prec!$AN:$AN,BV_Data_An_Prec!$AP:$AP,$B113,BV_Data_An_Prec!$AQ:$AQ,$C113,BV_Data_An_Prec!$AR:$AR,$L$2)</f>
        <v>113419.52</v>
      </c>
      <c r="R113" s="243"/>
      <c r="S113" s="266">
        <f>L113-Q113</f>
        <v>-21542.850000000006</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v>
      </c>
      <c r="K114" s="284">
        <f>IF($J$97=0,0,L114/(J$94+J$95+J96))</f>
        <v>0</v>
      </c>
      <c r="L114" s="266">
        <f>SUMIFS(BV_Data_An_Cour!$AN:$AN,BV_Data_An_Cour!$AP:$AP,$B114,BV_Data_An_Cour!$AQ:$AQ,$C114,BV_Data_An_Cour!$AR:$AR,$L$2)</f>
        <v>0</v>
      </c>
      <c r="M114" s="238"/>
      <c r="N114" s="286" t="e">
        <f t="shared" si="44"/>
        <v>#N/A</v>
      </c>
      <c r="O114" s="285">
        <f>Q114/(Q106)</f>
        <v>0.2496054585198742</v>
      </c>
      <c r="P114" s="284">
        <f>IF($J$97=0,0,Q114/(O$94+O$95+O96))</f>
        <v>264.62554216867466</v>
      </c>
      <c r="Q114" s="266">
        <f>SUMIFS(BV_Data_An_Prec!$AN:$AN,BV_Data_An_Prec!$AP:$AP,$B114,BV_Data_An_Prec!$AQ:$AQ,$C114,BV_Data_An_Prec!$AR:$AR,$L$2)</f>
        <v>21963.919999999998</v>
      </c>
      <c r="R114" s="238"/>
      <c r="S114" s="286">
        <f t="shared" ref="S114:S166" si="45">L114-Q114</f>
        <v>-21963.919999999998</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-77.279689119170982</v>
      </c>
      <c r="L115" s="303">
        <f>SUMIFS(BV_Data_An_Cour!$AN:$AN,BV_Data_An_Cour!$AP:$AP,$B115,BV_Data_An_Cour!$AQ:$AQ,$C115,BV_Data_An_Cour!$AR:$AR,$L$2)</f>
        <v>-14914.98</v>
      </c>
      <c r="M115" s="243"/>
      <c r="N115" s="266" t="e">
        <f t="shared" si="44"/>
        <v>#N/A</v>
      </c>
      <c r="O115" s="243"/>
      <c r="P115" s="281">
        <f>IF($J$97=0,0,Q115/(O$94+O$95+O96))</f>
        <v>-147.32349397590363</v>
      </c>
      <c r="Q115" s="303">
        <f>SUMIFS(BV_Data_An_Prec!$AN:$AN,BV_Data_An_Prec!$AP:$AP,$B115,BV_Data_An_Prec!$AQ:$AQ,$C115,BV_Data_An_Prec!$AR:$AR,$L$2)</f>
        <v>-12227.85</v>
      </c>
      <c r="R115" s="243"/>
      <c r="S115" s="266">
        <f t="shared" si="45"/>
        <v>-2687.1299999999992</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65.389481865284978</v>
      </c>
      <c r="L116" s="266">
        <f>SUMIFS(BV_Data_An_Cour!$AN:$AN,BV_Data_An_Cour!$AP:$AP,$B116,BV_Data_An_Cour!$AQ:$AQ,$C116,BV_Data_An_Cour!$AR:$AR,$L$2)</f>
        <v>12620.17</v>
      </c>
      <c r="M116" s="243"/>
      <c r="N116" s="266" t="e">
        <f t="shared" si="44"/>
        <v>#N/A</v>
      </c>
      <c r="O116" s="243"/>
      <c r="P116" s="281">
        <f>IF($J$97=0,0,Q116/(O$94+O$95+O96))</f>
        <v>19.166024096385541</v>
      </c>
      <c r="Q116" s="266">
        <f>SUMIFS(BV_Data_An_Prec!$AN:$AN,BV_Data_An_Prec!$AP:$AP,$B116,BV_Data_An_Prec!$AQ:$AQ,$C116,BV_Data_An_Prec!$AR:$AR,$L$2)</f>
        <v>1590.78</v>
      </c>
      <c r="R116" s="243"/>
      <c r="S116" s="266">
        <f t="shared" si="45"/>
        <v>11029.39</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8.6127461139896369</v>
      </c>
      <c r="L117" s="286">
        <f>SUMIFS(BV_Data_An_Cour!$AN:$AN,BV_Data_An_Cour!$AP:$AP,$B117,BV_Data_An_Cour!$AQ:$AQ,$C117,BV_Data_An_Cour!$AR:$AR,$L$2)</f>
        <v>1662.26</v>
      </c>
      <c r="M117" s="238"/>
      <c r="N117" s="286" t="e">
        <f t="shared" si="44"/>
        <v>#N/A</v>
      </c>
      <c r="O117" s="238"/>
      <c r="P117" s="284">
        <f>IF($J$97=0,0,Q117/(O$94+O$95+O96))</f>
        <v>0</v>
      </c>
      <c r="Q117" s="286">
        <f>SUMIFS(BV_Data_An_Prec!$AN:$AN,BV_Data_An_Prec!$AP:$AP,$B117,BV_Data_An_Prec!$AQ:$AQ,$C117,BV_Data_An_Prec!$AR:$AR,$L$2)</f>
        <v>0</v>
      </c>
      <c r="R117" s="238"/>
      <c r="S117" s="286">
        <f t="shared" si="45"/>
        <v>1662.26</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423.4515544041451</v>
      </c>
      <c r="L118" s="266">
        <f>SUMIFS(BV_Data_An_Cour!$AN:$AN,BV_Data_An_Cour!$AP:$AP,$B118,BV_Data_An_Cour!$AQ:$AQ,$C118,BV_Data_An_Cour!$AR:$AR,$L$2)</f>
        <v>81726.150000000009</v>
      </c>
      <c r="M118" s="243"/>
      <c r="N118" s="266" t="e">
        <f t="shared" si="44"/>
        <v>#N/A</v>
      </c>
      <c r="O118" s="243"/>
      <c r="P118" s="281">
        <f>IF($J$97=0,0,Q118/(O$94+O$95+O96))</f>
        <v>463.75072289156623</v>
      </c>
      <c r="Q118" s="266">
        <f>SUMIFS(BV_Data_An_Prec!$AN:$AN,BV_Data_An_Prec!$AP:$AP,$B118,BV_Data_An_Prec!$AQ:$AQ,$C118,BV_Data_An_Prec!$AR:$AR,$L$2)</f>
        <v>38491.31</v>
      </c>
      <c r="R118" s="243"/>
      <c r="S118" s="266">
        <f t="shared" si="45"/>
        <v>43234.840000000011</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1128.4592227979274</v>
      </c>
      <c r="L119" s="658">
        <f>SUMIFS(BV_Data_An_Cour!$AN:$AN,BV_Data_An_Cour!$AP:$AP,$B119,BV_Data_An_Cour!$AQ:$AQ,$C119,BV_Data_An_Cour!$AR:$AR,$L$2)</f>
        <v>217792.63</v>
      </c>
      <c r="M119" s="243"/>
      <c r="N119" s="658" t="e">
        <f t="shared" si="44"/>
        <v>#N/A</v>
      </c>
      <c r="O119" s="243"/>
      <c r="P119" s="281">
        <f>IF($J$97=0,0,Q119/(O$94+O$95+O96))</f>
        <v>2353.1503614457833</v>
      </c>
      <c r="Q119" s="658">
        <f>SUMIFS(BV_Data_An_Prec!$AN:$AN,BV_Data_An_Prec!$AP:$AP,$B119,BV_Data_An_Prec!$AQ:$AQ,$C119,BV_Data_An_Prec!$AR:$AR,$L$2)</f>
        <v>195311.48</v>
      </c>
      <c r="R119" s="243"/>
      <c r="S119" s="266">
        <f t="shared" si="45"/>
        <v>22481.149999999994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0</v>
      </c>
      <c r="L121" s="266">
        <f>SUMIFS(BV_Data_An_Cour!$AN:$AN,BV_Data_An_Cour!$AP:$AP,$B121,BV_Data_An_Cour!$AQ:$AQ,$C121,BV_Data_An_Cour!$AR:$AR,$L$2)</f>
        <v>0</v>
      </c>
      <c r="M121" s="243"/>
      <c r="N121" s="266" t="e">
        <f t="shared" si="44"/>
        <v>#N/A</v>
      </c>
      <c r="O121" s="243"/>
      <c r="P121" s="281">
        <f t="shared" si="47"/>
        <v>0</v>
      </c>
      <c r="Q121" s="266">
        <f>SUMIFS(BV_Data_An_Prec!$AN:$AN,BV_Data_An_Prec!$AP:$AP,$B121,BV_Data_An_Prec!$AQ:$AQ,$C121,BV_Data_An_Prec!$AR:$AR,$L$2)</f>
        <v>0</v>
      </c>
      <c r="R121" s="243"/>
      <c r="S121" s="266">
        <f t="shared" si="45"/>
        <v>0</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0.90053901962642458</v>
      </c>
      <c r="L123" s="294">
        <f>SUM(L113:L122)</f>
        <v>390762.9</v>
      </c>
      <c r="M123" s="296"/>
      <c r="N123" s="294" t="e">
        <f t="shared" si="44"/>
        <v>#N/A</v>
      </c>
      <c r="O123" s="295" t="s">
        <v>115</v>
      </c>
      <c r="P123" s="293">
        <f>Q123/Q$109</f>
        <v>0.61148942459350275</v>
      </c>
      <c r="Q123" s="294">
        <f>SUM(Q113:Q122)</f>
        <v>358549.16000000003</v>
      </c>
      <c r="R123" s="297"/>
      <c r="S123" s="294">
        <f t="shared" si="45"/>
        <v>32213.739999999991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70949.55</v>
      </c>
      <c r="M124" s="243"/>
      <c r="N124" s="266" t="e">
        <f t="shared" si="44"/>
        <v>#N/A</v>
      </c>
      <c r="O124" s="243"/>
      <c r="P124" s="38"/>
      <c r="Q124" s="266">
        <f>SUMIFS(BV_Data_An_Prec!$AN:$AN,BV_Data_An_Prec!$AP:$AP,$B124,BV_Data_An_Prec!$AQ:$AQ,$C124,BV_Data_An_Prec!$AR:$AR,$L$2)</f>
        <v>114469.55</v>
      </c>
      <c r="R124" s="243"/>
      <c r="S124" s="266">
        <f t="shared" si="45"/>
        <v>-43520</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40459.94</v>
      </c>
      <c r="M125" s="243"/>
      <c r="N125" s="266" t="e">
        <f t="shared" si="44"/>
        <v>#N/A</v>
      </c>
      <c r="O125" s="243"/>
      <c r="P125" s="38"/>
      <c r="Q125" s="266">
        <f>SUMIFS(BV_Data_An_Prec!$AN:$AN,BV_Data_An_Prec!$AP:$AP,$B125,BV_Data_An_Prec!$AQ:$AQ,$C125,BV_Data_An_Prec!$AR:$AR,$L$2)</f>
        <v>50995.63</v>
      </c>
      <c r="R125" s="243"/>
      <c r="S125" s="266">
        <f t="shared" si="45"/>
        <v>-10535.689999999995</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14602.2</v>
      </c>
      <c r="M126" s="233"/>
      <c r="N126" s="303" t="e">
        <f t="shared" si="44"/>
        <v>#N/A</v>
      </c>
      <c r="O126" s="233"/>
      <c r="P126" s="301"/>
      <c r="Q126" s="303">
        <f>SUMIFS(BV_Data_An_Prec!$AN:$AN,BV_Data_An_Prec!$AP:$AP,$B126,BV_Data_An_Prec!$AQ:$AQ,$C126,BV_Data_An_Prec!$AR:$AR,$L$2)</f>
        <v>16756.259999999998</v>
      </c>
      <c r="R126" s="233"/>
      <c r="S126" s="303">
        <f t="shared" si="45"/>
        <v>-2154.0599999999977</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26017.23</v>
      </c>
      <c r="M131" s="243"/>
      <c r="N131" s="266" t="e">
        <f t="shared" si="44"/>
        <v>#N/A</v>
      </c>
      <c r="O131" s="243"/>
      <c r="P131" s="38"/>
      <c r="Q131" s="266">
        <f>SUMIFS(BV_Data_An_Prec!$AN:$AN,BV_Data_An_Prec!$AP:$AP,$B131,BV_Data_An_Prec!$AQ:$AQ,$C131,BV_Data_An_Prec!$AR:$AR,$L$2)</f>
        <v>10188.86</v>
      </c>
      <c r="R131" s="243"/>
      <c r="S131" s="266">
        <f t="shared" si="45"/>
        <v>15828.369999999999</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33274.589999999997</v>
      </c>
      <c r="M132" s="233"/>
      <c r="N132" s="303" t="e">
        <f t="shared" si="44"/>
        <v>#N/A</v>
      </c>
      <c r="O132" s="233"/>
      <c r="P132" s="301"/>
      <c r="Q132" s="303">
        <f>SUMIFS(BV_Data_An_Prec!$AN:$AN,BV_Data_An_Prec!$AP:$AP,$B132,BV_Data_An_Prec!$AQ:$AQ,$C132,BV_Data_An_Prec!$AR:$AR,$L$2)</f>
        <v>21607.07</v>
      </c>
      <c r="R132" s="233"/>
      <c r="S132" s="303">
        <f t="shared" si="45"/>
        <v>11667.519999999997</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18231.25</v>
      </c>
      <c r="M133" s="243"/>
      <c r="N133" s="266" t="e">
        <f t="shared" si="44"/>
        <v>#N/A</v>
      </c>
      <c r="O133" s="243"/>
      <c r="P133" s="38"/>
      <c r="Q133" s="266">
        <f>SUMIFS(BV_Data_An_Prec!$AN:$AN,BV_Data_An_Prec!$AP:$AP,$B133,BV_Data_An_Prec!$AQ:$AQ,$C133,BV_Data_An_Prec!$AR:$AR,$L$2)</f>
        <v>21863.45</v>
      </c>
      <c r="R133" s="243"/>
      <c r="S133" s="266">
        <f t="shared" si="45"/>
        <v>-3632.2000000000007</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15260.88</v>
      </c>
      <c r="M134" s="243"/>
      <c r="N134" s="266" t="e">
        <f t="shared" si="44"/>
        <v>#N/A</v>
      </c>
      <c r="O134" s="243"/>
      <c r="P134" s="38"/>
      <c r="Q134" s="266">
        <f>SUMIFS(BV_Data_An_Prec!$AN:$AN,BV_Data_An_Prec!$AP:$AP,$B134,BV_Data_An_Prec!$AQ:$AQ,$C134,BV_Data_An_Prec!$AR:$AR,$L$2)</f>
        <v>224.85</v>
      </c>
      <c r="R134" s="243"/>
      <c r="S134" s="266">
        <f t="shared" si="45"/>
        <v>15036.029999999999</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0.50422906356805142</v>
      </c>
      <c r="L136" s="294">
        <f>SUM(L124:L135)</f>
        <v>218795.64</v>
      </c>
      <c r="M136" s="296"/>
      <c r="N136" s="294" t="e">
        <f t="shared" si="44"/>
        <v>#N/A</v>
      </c>
      <c r="O136" s="295" t="s">
        <v>115</v>
      </c>
      <c r="P136" s="293">
        <f>Q136/Q$109</f>
        <v>0.40266757365032857</v>
      </c>
      <c r="Q136" s="294">
        <f>SUM(Q124:Q135)</f>
        <v>236105.67</v>
      </c>
      <c r="R136" s="297"/>
      <c r="S136" s="294">
        <f t="shared" si="45"/>
        <v>-17310.03</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35743.72</v>
      </c>
      <c r="M139" s="238"/>
      <c r="N139" s="286" t="e">
        <f t="shared" si="44"/>
        <v>#N/A</v>
      </c>
      <c r="O139" s="238"/>
      <c r="P139" s="304"/>
      <c r="Q139" s="286">
        <f>SUMIFS(BV_Data_An_Prec!$AN:$AN,BV_Data_An_Prec!$AP:$AP,$B139,BV_Data_An_Prec!$AQ:$AQ,$C139,BV_Data_An_Prec!$AR:$AR,$L$2)</f>
        <v>19273.330000000002</v>
      </c>
      <c r="R139" s="238"/>
      <c r="S139" s="286">
        <f t="shared" si="45"/>
        <v>16470.39</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13480.62</v>
      </c>
      <c r="M140" s="243"/>
      <c r="N140" s="266" t="e">
        <f t="shared" si="44"/>
        <v>#N/A</v>
      </c>
      <c r="O140" s="243"/>
      <c r="P140" s="38"/>
      <c r="Q140" s="266">
        <f>SUMIFS(BV_Data_An_Prec!$AN:$AN,BV_Data_An_Prec!$AP:$AP,$B140,BV_Data_An_Prec!$AQ:$AQ,$C140,BV_Data_An_Prec!$AR:$AR,$L$2)</f>
        <v>16578.46</v>
      </c>
      <c r="R140" s="243"/>
      <c r="S140" s="266">
        <f t="shared" si="45"/>
        <v>-3097.8399999999983</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14063.22</v>
      </c>
      <c r="M141" s="243"/>
      <c r="N141" s="266" t="e">
        <f t="shared" si="44"/>
        <v>#N/A</v>
      </c>
      <c r="O141" s="243"/>
      <c r="P141" s="38"/>
      <c r="Q141" s="266">
        <f>SUMIFS(BV_Data_An_Prec!$AN:$AN,BV_Data_An_Prec!$AP:$AP,$B141,BV_Data_An_Prec!$AQ:$AQ,$C141,BV_Data_An_Prec!$AR:$AR,$L$2)</f>
        <v>21347.030000000002</v>
      </c>
      <c r="R141" s="243"/>
      <c r="S141" s="266">
        <f t="shared" si="45"/>
        <v>-7283.8100000000031</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32723.43</v>
      </c>
      <c r="M142" s="238"/>
      <c r="N142" s="286" t="e">
        <f t="shared" si="44"/>
        <v>#N/A</v>
      </c>
      <c r="O142" s="238"/>
      <c r="P142" s="304"/>
      <c r="Q142" s="286">
        <f>SUMIFS(BV_Data_An_Prec!$AN:$AN,BV_Data_An_Prec!$AP:$AP,$B142,BV_Data_An_Prec!$AQ:$AQ,$C142,BV_Data_An_Prec!$AR:$AR,$L$2)</f>
        <v>37780.53</v>
      </c>
      <c r="R142" s="238"/>
      <c r="S142" s="286">
        <f t="shared" si="45"/>
        <v>-5057.0999999999985</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1387.93</v>
      </c>
      <c r="M143" s="243"/>
      <c r="N143" s="266" t="e">
        <f t="shared" si="44"/>
        <v>#N/A</v>
      </c>
      <c r="O143" s="243"/>
      <c r="P143" s="38"/>
      <c r="Q143" s="266">
        <f>SUMIFS(BV_Data_An_Prec!$AN:$AN,BV_Data_An_Prec!$AP:$AP,$B143,BV_Data_An_Prec!$AQ:$AQ,$C143,BV_Data_An_Prec!$AR:$AR,$L$2)</f>
        <v>1172.51</v>
      </c>
      <c r="R143" s="243"/>
      <c r="S143" s="266">
        <f t="shared" si="45"/>
        <v>215.42000000000007</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6053.32</v>
      </c>
      <c r="M145" s="243"/>
      <c r="N145" s="266" t="e">
        <f t="shared" si="44"/>
        <v>#N/A</v>
      </c>
      <c r="O145" s="243"/>
      <c r="P145" s="38"/>
      <c r="Q145" s="266">
        <f>SUMIFS(BV_Data_An_Prec!$AN:$AN,BV_Data_An_Prec!$AP:$AP,$B145,BV_Data_An_Prec!$AQ:$AQ,$C145,BV_Data_An_Prec!$AR:$AR,$L$2)</f>
        <v>5772.1</v>
      </c>
      <c r="R145" s="243"/>
      <c r="S145" s="266">
        <f t="shared" si="45"/>
        <v>281.21999999999935</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3061.99</v>
      </c>
      <c r="M146" s="243"/>
      <c r="N146" s="266" t="e">
        <f t="shared" si="44"/>
        <v>#N/A</v>
      </c>
      <c r="O146" s="243"/>
      <c r="P146" s="38"/>
      <c r="Q146" s="266">
        <f>SUMIFS(BV_Data_An_Prec!$AN:$AN,BV_Data_An_Prec!$AP:$AP,$B146,BV_Data_An_Prec!$AQ:$AQ,$C146,BV_Data_An_Prec!$AR:$AR,$L$2)</f>
        <v>5555.76</v>
      </c>
      <c r="R146" s="243"/>
      <c r="S146" s="266">
        <f t="shared" si="45"/>
        <v>-2493.7700000000004</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10296.129999999999</v>
      </c>
      <c r="M147" s="243"/>
      <c r="N147" s="266" t="e">
        <f t="shared" si="44"/>
        <v>#N/A</v>
      </c>
      <c r="O147" s="243"/>
      <c r="P147" s="38"/>
      <c r="Q147" s="266">
        <f>SUMIFS(BV_Data_An_Prec!$AN:$AN,BV_Data_An_Prec!$AP:$AP,$B147,BV_Data_An_Prec!$AQ:$AQ,$C147,BV_Data_An_Prec!$AR:$AR,$L$2)</f>
        <v>9620.06</v>
      </c>
      <c r="R147" s="243"/>
      <c r="S147" s="266">
        <f t="shared" si="45"/>
        <v>676.06999999999971</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20050.330000000002</v>
      </c>
      <c r="M148" s="243"/>
      <c r="N148" s="266" t="e">
        <f t="shared" si="44"/>
        <v>#N/A</v>
      </c>
      <c r="O148" s="243"/>
      <c r="P148" s="38"/>
      <c r="Q148" s="266">
        <f>SUMIFS(BV_Data_An_Prec!$AN:$AN,BV_Data_An_Prec!$AP:$AP,$B148,BV_Data_An_Prec!$AQ:$AQ,$C148,BV_Data_An_Prec!$AR:$AR,$L$2)</f>
        <v>25515.41</v>
      </c>
      <c r="R148" s="243"/>
      <c r="S148" s="266">
        <f t="shared" si="45"/>
        <v>-5465.0799999999981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9674.19</v>
      </c>
      <c r="M150" s="243"/>
      <c r="N150" s="658" t="e">
        <f t="shared" si="44"/>
        <v>#N/A</v>
      </c>
      <c r="O150" s="243"/>
      <c r="P150" s="38"/>
      <c r="Q150" s="658">
        <f>SUMIFS(BV_Data_An_Prec!$AN:$AN,BV_Data_An_Prec!$AP:$AP,$B150,BV_Data_An_Prec!$AQ:$AQ,$C150,BV_Data_An_Prec!$AR:$AR,Q$2)</f>
        <v>2173.25</v>
      </c>
      <c r="R150" s="243"/>
      <c r="S150" s="266">
        <f t="shared" si="45"/>
        <v>7500.9400000000005</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0.34279403132071573</v>
      </c>
      <c r="L154" s="294">
        <f>+SUM(L137:L153)</f>
        <v>148745.57</v>
      </c>
      <c r="M154" s="296"/>
      <c r="N154" s="294" t="e">
        <f t="shared" si="44"/>
        <v>#N/A</v>
      </c>
      <c r="O154" s="295" t="s">
        <v>115</v>
      </c>
      <c r="P154" s="293">
        <f>Q154/Q$109</f>
        <v>0.247721486661417</v>
      </c>
      <c r="Q154" s="294">
        <f>+SUM(Q137:Q153)</f>
        <v>145252.44</v>
      </c>
      <c r="R154" s="297"/>
      <c r="S154" s="294">
        <f t="shared" si="45"/>
        <v>3493.1300000000047</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1.7475621145151918</v>
      </c>
      <c r="L156" s="294">
        <f>L123+L136+L154</f>
        <v>758304.1100000001</v>
      </c>
      <c r="M156" s="296"/>
      <c r="N156" s="294" t="e">
        <f t="shared" ref="N156:N163" si="48">L156-F156</f>
        <v>#N/A</v>
      </c>
      <c r="O156" s="295" t="s">
        <v>115</v>
      </c>
      <c r="P156" s="293">
        <f>Q156/Q$109</f>
        <v>1.2618784849052482</v>
      </c>
      <c r="Q156" s="294">
        <f>Q123+Q136+Q154</f>
        <v>739907.27</v>
      </c>
      <c r="R156" s="297"/>
      <c r="S156" s="294">
        <f t="shared" si="45"/>
        <v>18396.840000000084</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0.68522632124352334</v>
      </c>
      <c r="K160" s="307">
        <f>L160/J97</f>
        <v>342.61316062176166</v>
      </c>
      <c r="L160" s="266">
        <f>-SUMIFS(BV_Data_An_Cour!$AN:$AN,BV_Data_An_Cour!$AP:$AP,$B160,BV_Data_An_Cour!$AQ:$AQ,$C160,BV_Data_An_Cour!$AR:$AR,L$2)</f>
        <v>66124.34</v>
      </c>
      <c r="M160" s="243"/>
      <c r="N160" s="266" t="e">
        <f t="shared" si="48"/>
        <v>#N/A</v>
      </c>
      <c r="O160" s="744"/>
      <c r="P160" s="307"/>
      <c r="Q160" s="266">
        <f>-SUMIFS(BV_Data_An_Prec!$AN:$AN,BV_Data_An_Prec!$AP:$AP,$B160,BV_Data_An_Prec!$AQ:$AQ,$C160,BV_Data_An_Prec!$AR:$AR,Q$2)</f>
        <v>0</v>
      </c>
      <c r="R160" s="243"/>
      <c r="S160" s="266">
        <f t="shared" si="45"/>
        <v>66124.34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66124.34</v>
      </c>
      <c r="M164" s="296"/>
      <c r="N164" s="294" t="e">
        <f>SUM(N157:N160)</f>
        <v>#N/A</v>
      </c>
      <c r="O164" s="295"/>
      <c r="P164" s="293"/>
      <c r="Q164" s="294">
        <f>+SUM(Q157:Q163)</f>
        <v>0</v>
      </c>
      <c r="R164" s="297"/>
      <c r="S164" s="294">
        <f t="shared" si="45"/>
        <v>66124.34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-258258.65000000023</v>
      </c>
      <c r="M166" s="958"/>
      <c r="N166" s="956" t="e">
        <f>L166-F166</f>
        <v>#N/A</v>
      </c>
      <c r="O166" s="957"/>
      <c r="P166" s="955"/>
      <c r="Q166" s="956">
        <f>Q109-Q156+Q164</f>
        <v>-153553.45000000368</v>
      </c>
      <c r="R166" s="959"/>
      <c r="S166" s="956">
        <f t="shared" si="45"/>
        <v>-104705.19999999655</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Septembre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60671994.799999997</v>
      </c>
      <c r="M173" s="320"/>
      <c r="N173" s="321"/>
      <c r="O173" s="238"/>
      <c r="P173" s="284"/>
      <c r="Q173" s="286">
        <f>-SUMIFS(BV_Data_An_Prec!$AN:$AN,BV_Data_An_Prec!$AS:$AS,"Oui",BV_Data_An_Prec!$AP:$AP,$B173)</f>
        <v>50348969.490000002</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530</v>
      </c>
      <c r="K175" s="281">
        <f t="shared" ref="K175:K179" si="51">IF(J175=0,0,L175/J175)</f>
        <v>536.26132075471696</v>
      </c>
      <c r="L175" s="266">
        <f>-SUMIFS(BV_Data_An_Cour!$AN:$AN,BV_Data_An_Cour!$AP:$AP,$B175,BV_Data_An_Cour!$AQ:$AQ,$C175,BV_Data_An_Cour!$AR:$AR,$L2)</f>
        <v>284218.5</v>
      </c>
      <c r="M175" s="245" t="e">
        <f>J175-D175</f>
        <v>#N/A</v>
      </c>
      <c r="N175" s="246" t="e">
        <f>L175-F175</f>
        <v>#N/A</v>
      </c>
      <c r="O175" s="245">
        <f>SUMIFS(BV_Data_An_Prec!$AX:$AX,BV_Data_An_Prec!$AP:$AP,$B175,BV_Data_An_Prec!$AQ:$AQ,$C175,BV_Data_An_Prec!$AY:$AY,O$2)</f>
        <v>518</v>
      </c>
      <c r="P175" s="281">
        <f t="shared" ref="P175:P179" si="52">IF(O175=0,0,Q175/O175)</f>
        <v>1273.9954440154452</v>
      </c>
      <c r="Q175" s="266">
        <f>-SUMIFS(BV_Data_An_Prec!$AN:$AN,BV_Data_An_Prec!$AP:$AP,$B175,BV_Data_An_Prec!$AQ:$AQ,$C175,BV_Data_An_Prec!$AR:$AR,$L2)</f>
        <v>659929.6400000006</v>
      </c>
      <c r="R175" s="245">
        <f t="shared" ref="R175:R177" si="53">J175-O175</f>
        <v>12</v>
      </c>
      <c r="S175" s="266">
        <f t="shared" ref="S175:S179" si="54">L175-Q175</f>
        <v>-375711.1400000006</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2.3166023166023165E-2</v>
      </c>
      <c r="S176" s="986">
        <f>IF(Q175=0,0,(S175/Q175))</f>
        <v>-0.56931999599230043</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328</v>
      </c>
      <c r="K177" s="281">
        <f t="shared" si="51"/>
        <v>1037.0775914634123</v>
      </c>
      <c r="L177" s="266">
        <f>-SUMIFS(BV_Data_An_Cour!$AN:$AN,BV_Data_An_Cour!$AP:$AP,$B177,BV_Data_An_Cour!$AQ:$AQ,$C177,BV_Data_An_Cour!$AR:$AR,$L2)</f>
        <v>340161.44999999925</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328</v>
      </c>
      <c r="S177" s="266">
        <f t="shared" si="54"/>
        <v>340161.44999999925</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202</v>
      </c>
      <c r="K179" s="281">
        <f t="shared" si="51"/>
        <v>2369.7359900990186</v>
      </c>
      <c r="L179" s="266">
        <f>-SUMIFS(BV_Data_An_Cour!$AN:$AN,BV_Data_An_Cour!$AP:$AP,$B179,BV_Data_An_Cour!$AQ:$AQ,$C179,BV_Data_An_Cour!$AR:$AR,$L2)</f>
        <v>478686.67000000179</v>
      </c>
      <c r="M179" s="245" t="e">
        <f>J179-D179</f>
        <v>#N/A</v>
      </c>
      <c r="N179" s="246" t="e">
        <f>L179-F179</f>
        <v>#N/A</v>
      </c>
      <c r="O179" s="245">
        <f>SUMIFS(BV_Data_An_Prec!$AX:$AX,BV_Data_An_Prec!$AP:$AP,$B179,BV_Data_An_Prec!$AQ:$AQ,$C179,BV_Data_An_Prec!$AY:$AY,O$2)</f>
        <v>175</v>
      </c>
      <c r="P179" s="281">
        <f t="shared" si="52"/>
        <v>3110.8533142857041</v>
      </c>
      <c r="Q179" s="266">
        <f>-SUMIFS(BV_Data_An_Prec!$AN:$AN,BV_Data_An_Prec!$AP:$AP,$B179,BV_Data_An_Prec!$AQ:$AQ,$C179,BV_Data_An_Prec!$AR:$AR,$L2)</f>
        <v>544399.32999999821</v>
      </c>
      <c r="R179" s="245">
        <f>J179-O179</f>
        <v>27</v>
      </c>
      <c r="S179" s="266">
        <f t="shared" si="54"/>
        <v>-65712.659999996424</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0.15428571428571428</v>
      </c>
      <c r="S180" s="332">
        <f>IF(Q179=0,0,(S179/Q179))</f>
        <v>-0.12070672460231838</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1060</v>
      </c>
      <c r="K182" s="269">
        <f>IF(J182&lt;=0,0,L182/J182)</f>
        <v>1040.6288867924538</v>
      </c>
      <c r="L182" s="271">
        <f>L175+L179+L177</f>
        <v>1103066.620000001</v>
      </c>
      <c r="M182" s="272" t="e">
        <f>J182-D182</f>
        <v>#N/A</v>
      </c>
      <c r="N182" s="271" t="e">
        <f>#REF!+#REF!+#REF!+#REF!</f>
        <v>#REF!</v>
      </c>
      <c r="O182" s="272">
        <f>O175+O177+O179</f>
        <v>693</v>
      </c>
      <c r="P182" s="269">
        <f>IF(O182&lt;=0,0,Q182/O182)</f>
        <v>1737.8484415584398</v>
      </c>
      <c r="Q182" s="271">
        <f>Q175+Q179+Q177</f>
        <v>1204328.9699999988</v>
      </c>
      <c r="R182" s="272">
        <f>J182-O182</f>
        <v>367</v>
      </c>
      <c r="S182" s="271">
        <f>S175+S179+S177</f>
        <v>-101262.34999999776</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1.888283378746594</v>
      </c>
      <c r="S183" s="326">
        <f>IF(Q182=0,0,(S182/Q182))</f>
        <v>-8.4081968068905513E-2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0.21009651257509704</v>
      </c>
      <c r="K186" s="281">
        <f>IF($J$97=0,0,L186/(J$94+J$95+J182))</f>
        <v>184.95646448523544</v>
      </c>
      <c r="L186" s="266">
        <f>SUMIFS(BV_Data_An_Cour!$AN:$AN,BV_Data_An_Cour!$AP:$AP,$B186,BV_Data_An_Cour!$AQ:$AQ,$C186,BV_Data_An_Cour!$AR:$AR,$L$2)</f>
        <v>231750.45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231750.45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9.4566640063846776</v>
      </c>
      <c r="L188" s="303">
        <f>SUMIFS(BV_Data_An_Cour!$AN:$AN,BV_Data_An_Cour!$AP:$AP,$B188,BV_Data_An_Cour!$AQ:$AQ,$C188,BV_Data_An_Cour!$AR:$AR,$L$2)</f>
        <v>11849.2</v>
      </c>
      <c r="M188" s="243"/>
      <c r="N188" s="266" t="e">
        <f t="shared" si="56"/>
        <v>#N/A</v>
      </c>
      <c r="O188" s="243"/>
      <c r="P188" s="281">
        <f>IF($J$97=0,0,Q188/(O$94+O$95+O182))</f>
        <v>10.7447293814433</v>
      </c>
      <c r="Q188" s="303">
        <f>SUMIFS(BV_Data_An_Prec!$AN:$AN,BV_Data_An_Prec!$AP:$AP,$B188,BV_Data_An_Prec!$AQ:$AQ,$C188,BV_Data_An_Prec!$AR:$AR,$L$2)</f>
        <v>8337.91</v>
      </c>
      <c r="R188" s="243"/>
      <c r="S188" s="266">
        <f t="shared" si="57"/>
        <v>3511.2900000000009</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2.7932960893854747E-2</v>
      </c>
      <c r="L190" s="286">
        <f>SUMIFS(BV_Data_An_Cour!$AN:$AN,BV_Data_An_Cour!$AP:$AP,$B190,BV_Data_An_Cour!$AQ:$AQ,$C190,BV_Data_An_Cour!$AR:$AR,$L$2)</f>
        <v>35</v>
      </c>
      <c r="M190" s="238"/>
      <c r="N190" s="286" t="e">
        <f t="shared" si="56"/>
        <v>#N/A</v>
      </c>
      <c r="O190" s="238"/>
      <c r="P190" s="284">
        <f>IF($J$97=0,0,Q190/(O$94+O$95+O182))</f>
        <v>0</v>
      </c>
      <c r="Q190" s="286">
        <f>SUMIFS(BV_Data_An_Prec!$AN:$AN,BV_Data_An_Prec!$AP:$AP,$B190,BV_Data_An_Prec!$AQ:$AQ,$C190,BV_Data_An_Prec!$AR:$AR,$L$2)</f>
        <v>0</v>
      </c>
      <c r="R190" s="238"/>
      <c r="S190" s="286">
        <f t="shared" si="57"/>
        <v>35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141.04382282521948</v>
      </c>
      <c r="L192" s="658">
        <f>SUMIFS(BV_Data_An_Cour!$AN:$AN,BV_Data_An_Cour!$AP:$AP,$B192,BV_Data_An_Cour!$AQ:$AQ,$C192,BV_Data_An_Cour!$AR:$AR,$L$2)</f>
        <v>176727.91</v>
      </c>
      <c r="M192" s="243"/>
      <c r="N192" s="658" t="e">
        <f t="shared" si="56"/>
        <v>#N/A</v>
      </c>
      <c r="O192" s="243"/>
      <c r="P192" s="281">
        <f>IF($J$97=0,0,Q192/(O$94+O$95+O182))</f>
        <v>203.74302835051546</v>
      </c>
      <c r="Q192" s="658">
        <f>SUMIFS(BV_Data_An_Prec!$AN:$AN,BV_Data_An_Prec!$AP:$AP,$B192,BV_Data_An_Prec!$AQ:$AQ,$C192,BV_Data_An_Prec!$AR:$AR,$L$2)</f>
        <v>158104.59</v>
      </c>
      <c r="R192" s="243"/>
      <c r="S192" s="266">
        <f t="shared" si="57"/>
        <v>18623.320000000007</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0</v>
      </c>
      <c r="L194" s="266">
        <f>SUMIFS(BV_Data_An_Cour!$AN:$AN,BV_Data_An_Cour!$AP:$AP,$B194,BV_Data_An_Cour!$AQ:$AQ,$C194,BV_Data_An_Cour!$AR:$AR,$L$2)</f>
        <v>0</v>
      </c>
      <c r="M194" s="243"/>
      <c r="N194" s="266" t="e">
        <f t="shared" si="56"/>
        <v>#N/A</v>
      </c>
      <c r="O194" s="243"/>
      <c r="P194" s="281">
        <f t="shared" si="60"/>
        <v>0</v>
      </c>
      <c r="Q194" s="246">
        <f>SUMIFS(BV_Data_An_Prec!$AN:$AN,BV_Data_An_Prec!$AP:$AP,$B194,BV_Data_An_Prec!$AQ:$AQ,$C194,BV_Data_An_Prec!$AR:$AR,$L$2)</f>
        <v>0</v>
      </c>
      <c r="R194" s="243"/>
      <c r="S194" s="266">
        <f t="shared" si="57"/>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0.96875339923532688</v>
      </c>
      <c r="L196" s="294">
        <f>SUM(L186:L195)</f>
        <v>420362.56000000006</v>
      </c>
      <c r="M196" s="296"/>
      <c r="N196" s="294" t="e">
        <f t="shared" si="56"/>
        <v>#N/A</v>
      </c>
      <c r="O196" s="295" t="s">
        <v>115</v>
      </c>
      <c r="P196" s="293">
        <f>Q196/Q$109</f>
        <v>0.28386017848404405</v>
      </c>
      <c r="Q196" s="294">
        <f>SUM(Q186:Q195)</f>
        <v>166442.5</v>
      </c>
      <c r="R196" s="297"/>
      <c r="S196" s="294">
        <f t="shared" si="57"/>
        <v>253920.06000000006</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70395.070000000007</v>
      </c>
      <c r="M197" s="243"/>
      <c r="N197" s="266" t="e">
        <f t="shared" si="56"/>
        <v>#N/A</v>
      </c>
      <c r="O197" s="243"/>
      <c r="P197" s="38"/>
      <c r="Q197" s="266">
        <f>SUMIFS(BV_Data_An_Prec!$AN:$AN,BV_Data_An_Prec!$AP:$AP,$B197,BV_Data_An_Prec!$AQ:$AQ,$C197,BV_Data_An_Prec!$AR:$AR,$L$2)</f>
        <v>331828.59000000003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37988</v>
      </c>
      <c r="M198" s="243"/>
      <c r="N198" s="266" t="e">
        <f t="shared" si="56"/>
        <v>#N/A</v>
      </c>
      <c r="O198" s="243"/>
      <c r="P198" s="38"/>
      <c r="Q198" s="266">
        <f>SUMIFS(BV_Data_An_Prec!$AN:$AN,BV_Data_An_Prec!$AP:$AP,$B198,BV_Data_An_Prec!$AQ:$AQ,$C198,BV_Data_An_Prec!$AR:$AR,$L$2)</f>
        <v>94477.06</v>
      </c>
      <c r="R198" s="243"/>
      <c r="S198" s="266">
        <f t="shared" ref="S198:S227" si="61">L198-Q198</f>
        <v>-56489.06</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356557.49</v>
      </c>
      <c r="R199" s="233"/>
      <c r="S199" s="303">
        <f t="shared" si="61"/>
        <v>-356557.49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17476.61</v>
      </c>
      <c r="M204" s="243"/>
      <c r="N204" s="266" t="e">
        <f t="shared" si="56"/>
        <v>#N/A</v>
      </c>
      <c r="O204" s="243"/>
      <c r="P204" s="38"/>
      <c r="Q204" s="266">
        <f>SUMIFS(BV_Data_An_Prec!$AN:$AN,BV_Data_An_Prec!$AP:$AP,$B204,BV_Data_An_Prec!$AQ:$AQ,$C204,BV_Data_An_Prec!$AR:$AR,$L$2)</f>
        <v>23357.18</v>
      </c>
      <c r="R204" s="243"/>
      <c r="S204" s="266">
        <f t="shared" si="61"/>
        <v>-5880.57</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48094.83</v>
      </c>
      <c r="M205" s="233"/>
      <c r="N205" s="303" t="e">
        <f t="shared" si="56"/>
        <v>#N/A</v>
      </c>
      <c r="O205" s="233"/>
      <c r="P205" s="301"/>
      <c r="Q205" s="303">
        <f>SUMIFS(BV_Data_An_Prec!$AN:$AN,BV_Data_An_Prec!$AP:$AP,$B205,BV_Data_An_Prec!$AQ:$AQ,$C205,BV_Data_An_Prec!$AR:$AR,$L$2)</f>
        <v>34124.550000000003</v>
      </c>
      <c r="R205" s="233"/>
      <c r="S205" s="303">
        <f t="shared" si="61"/>
        <v>13970.279999999999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8725.83</v>
      </c>
      <c r="M206" s="243"/>
      <c r="N206" s="266" t="e">
        <f t="shared" si="56"/>
        <v>#N/A</v>
      </c>
      <c r="O206" s="243"/>
      <c r="P206" s="38"/>
      <c r="Q206" s="266">
        <f>SUMIFS(BV_Data_An_Prec!$AN:$AN,BV_Data_An_Prec!$AP:$AP,$B206,BV_Data_An_Prec!$AQ:$AQ,$C206,BV_Data_An_Prec!$AR:$AR,$L$2)</f>
        <v>15841.94</v>
      </c>
      <c r="R206" s="243"/>
      <c r="S206" s="266">
        <f t="shared" si="61"/>
        <v>-7116.1100000000006</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1270.28</v>
      </c>
      <c r="M207" s="243"/>
      <c r="N207" s="266" t="e">
        <f t="shared" si="56"/>
        <v>#N/A</v>
      </c>
      <c r="O207" s="243"/>
      <c r="P207" s="38"/>
      <c r="Q207" s="266">
        <f>SUMIFS(BV_Data_An_Prec!$AN:$AN,BV_Data_An_Prec!$AP:$AP,$B207,BV_Data_An_Prec!$AQ:$AQ,$C207,BV_Data_An_Prec!$AR:$AR,$L$2)</f>
        <v>0</v>
      </c>
      <c r="R207" s="243"/>
      <c r="S207" s="266">
        <f t="shared" si="61"/>
        <v>1270.28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0.42392640395102238</v>
      </c>
      <c r="L209" s="294">
        <f>SUM(L197:L208)</f>
        <v>183950.62</v>
      </c>
      <c r="M209" s="296"/>
      <c r="N209" s="294" t="e">
        <f t="shared" si="56"/>
        <v>#N/A</v>
      </c>
      <c r="O209" s="295" t="s">
        <v>115</v>
      </c>
      <c r="P209" s="293">
        <f>Q209/Q$109</f>
        <v>1.4601879970697649</v>
      </c>
      <c r="Q209" s="294">
        <f>SUM(Q197:Q208)</f>
        <v>856186.81</v>
      </c>
      <c r="R209" s="297"/>
      <c r="S209" s="294">
        <f t="shared" si="61"/>
        <v>-672236.19000000006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4601.07</v>
      </c>
      <c r="M220" s="243"/>
      <c r="N220" s="266" t="e">
        <f t="shared" si="56"/>
        <v>#N/A</v>
      </c>
      <c r="O220" s="243"/>
      <c r="P220" s="38"/>
      <c r="Q220" s="266">
        <f>SUMIFS(BV_Data_An_Prec!$AN:$AN,BV_Data_An_Prec!$AP:$AP,$B220,BV_Data_An_Prec!$AQ:$AQ,$C220,BV_Data_An_Prec!$AR:$AR,$L$2)</f>
        <v>5801.95</v>
      </c>
      <c r="R220" s="243"/>
      <c r="S220" s="266">
        <f t="shared" si="61"/>
        <v>-1200.8800000000001</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3.1291655036288633E-2</v>
      </c>
      <c r="L227" s="294">
        <f>+SUM(L210:L226)</f>
        <v>13578.11</v>
      </c>
      <c r="M227" s="296"/>
      <c r="N227" s="294" t="e">
        <f t="shared" si="56"/>
        <v>#N/A</v>
      </c>
      <c r="O227" s="295" t="s">
        <v>115</v>
      </c>
      <c r="P227" s="293">
        <f>Q227/Q$109</f>
        <v>1.8096104498816202E-2</v>
      </c>
      <c r="Q227" s="294">
        <f>+SUM(Q210:Q226)</f>
        <v>10610.72</v>
      </c>
      <c r="R227" s="297"/>
      <c r="S227" s="294">
        <f t="shared" si="61"/>
        <v>2967.3900000000012</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1.4239714582226377</v>
      </c>
      <c r="L229" s="294">
        <f>L196+L209+L227</f>
        <v>617891.29</v>
      </c>
      <c r="M229" s="296"/>
      <c r="N229" s="294" t="e">
        <f t="shared" ref="N229:N236" si="62">L229-F229</f>
        <v>#N/A</v>
      </c>
      <c r="O229" s="295" t="s">
        <v>115</v>
      </c>
      <c r="P229" s="293">
        <f>Q229/Q$109</f>
        <v>1.762144280052625</v>
      </c>
      <c r="Q229" s="294">
        <f>Q196+Q209+Q227</f>
        <v>1033240.03</v>
      </c>
      <c r="R229" s="297"/>
      <c r="S229" s="294">
        <f t="shared" ref="S229:S236" si="63">L229-Q229</f>
        <v>-415348.74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485175.33000000101</v>
      </c>
      <c r="M239" s="958"/>
      <c r="N239" s="956" t="e">
        <f>L239-F239</f>
        <v>#REF!</v>
      </c>
      <c r="O239" s="957"/>
      <c r="P239" s="955"/>
      <c r="Q239" s="956">
        <f>Q182-Q229+Q237</f>
        <v>171088.93999999878</v>
      </c>
      <c r="R239" s="959"/>
      <c r="S239" s="956">
        <f>L239-Q239</f>
        <v>314086.39000000223</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Septembre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4" t="s">
        <v>339</v>
      </c>
      <c r="E244" s="1279"/>
      <c r="F244" s="1280"/>
      <c r="G244" s="1281"/>
      <c r="H244" s="1279"/>
      <c r="I244" s="1280"/>
      <c r="J244" s="1281" t="s">
        <v>340</v>
      </c>
      <c r="K244" s="1279"/>
      <c r="L244" s="1280"/>
      <c r="M244" s="1281" t="s">
        <v>668</v>
      </c>
      <c r="N244" s="1280"/>
      <c r="O244" s="1274" t="s">
        <v>341</v>
      </c>
      <c r="P244" s="1279"/>
      <c r="Q244" s="1280"/>
      <c r="R244" s="1273" t="s">
        <v>670</v>
      </c>
      <c r="S244" s="1282"/>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2056</v>
      </c>
      <c r="K246" s="281">
        <f>-SUMIFS(BV_Data_An_Cour!$AN:$AN,BV_Data_An_Cour!$AS:$AS,"Oui",BV_Data_An_Cour!$AP:$AP,$B246,BV_Data_An_Cour!$AQ:$AQ,$C246)</f>
        <v>538851.51</v>
      </c>
      <c r="L246" s="266">
        <f>-SUMIFS(BV_Data_An_Cour!$AN:$AN,BV_Data_An_Cour!$AP:$AP,$B246,BV_Data_An_Cour!$AQ:$AQ,$C246,BV_Data_An_Cour!$AR:$AR,$L$2)</f>
        <v>394366.54000000004</v>
      </c>
      <c r="M246" s="282" t="e">
        <f>(K246-E246)/E246</f>
        <v>#N/A</v>
      </c>
      <c r="N246" s="266" t="e">
        <f>L246-F246</f>
        <v>#N/A</v>
      </c>
      <c r="O246" s="245">
        <f>SUMIFS(BV_Data_An_Prec!$AX:$AX,BV_Data_An_Prec!$AP:$AP,$B246,BV_Data_An_Prec!$AQ:$AQ,$C246,BV_Data_An_Prec!$AY:$AY,O$2)</f>
        <v>2090</v>
      </c>
      <c r="P246" s="281">
        <f>-SUMIFS(BV_Data_An_Prec!$AN:$AN,BV_Data_An_Prec!$AS:$AS,"Oui",BV_Data_An_Prec!$AP:$AP,$B246,BV_Data_An_Prec!$AQ:$AQ,$C246)</f>
        <v>749323.63</v>
      </c>
      <c r="Q246" s="266">
        <f>-SUMIFS(BV_Data_An_Prec!$AN:$AN,BV_Data_An_Prec!$AP:$AP,$B246,BV_Data_An_Prec!$AQ:$AQ,$C246,BV_Data_An_Prec!$AR:$AR,$L$2)</f>
        <v>584156.5</v>
      </c>
      <c r="R246" s="282">
        <f>IF(O246=0,0,J246/O246)</f>
        <v>0.9837320574162679</v>
      </c>
      <c r="S246" s="266">
        <f>L246-Q246</f>
        <v>-189789.95999999996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0.7318649622045228</v>
      </c>
      <c r="M247" s="282"/>
      <c r="N247" s="266"/>
      <c r="O247" s="267"/>
      <c r="P247" s="38"/>
      <c r="Q247" s="332">
        <f>IF(Q246=0,0,Q246/P246)</f>
        <v>0.77957837790328322</v>
      </c>
      <c r="R247" s="267"/>
      <c r="S247" s="332">
        <f>IF(Q246=0,0,(S246/Q246))</f>
        <v>-0.32489574283603789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262.08731031128406</v>
      </c>
      <c r="L248" s="334"/>
      <c r="M248" s="285"/>
      <c r="N248" s="286"/>
      <c r="O248" s="335"/>
      <c r="P248" s="333">
        <f>IFERROR(P246/O246,0)</f>
        <v>358.52805263157893</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2639</v>
      </c>
      <c r="K249" s="336">
        <f>-SUMIFS(BV_Data_An_Cour!$AN:$AN,BV_Data_An_Cour!$AS:$AS,"Oui",BV_Data_An_Cour!$AP:$AP,$B249,BV_Data_An_Cour!$AQ:$AQ,$C249)</f>
        <v>447973.74</v>
      </c>
      <c r="L249" s="266">
        <f>-SUMIFS(BV_Data_An_Cour!$AN:$AN,BV_Data_An_Cour!$AP:$AP,$B249,BV_Data_An_Cour!$AQ:$AQ,$C249,BV_Data_An_Cour!$AR:$AR,$L$2)</f>
        <v>294272.25</v>
      </c>
      <c r="M249" s="282" t="e">
        <f>(K249-E249)/E249</f>
        <v>#N/A</v>
      </c>
      <c r="N249" s="303" t="e">
        <f>L249-F249</f>
        <v>#N/A</v>
      </c>
      <c r="O249" s="245">
        <f>SUMIFS(BV_Data_An_Prec!$AX:$AX,BV_Data_An_Prec!$AP:$AP,$B249,BV_Data_An_Prec!$AQ:$AQ,$C249,BV_Data_An_Prec!$AY:$AY,O$2)</f>
        <v>2946</v>
      </c>
      <c r="P249" s="336">
        <f>-SUMIFS(BV_Data_An_Prec!$AN:$AN,BV_Data_An_Prec!$AS:$AS,"Oui",BV_Data_An_Prec!$AP:$AP,$B249,BV_Data_An_Prec!$AQ:$AQ,$C249)</f>
        <v>463669.26</v>
      </c>
      <c r="Q249" s="266">
        <f>-SUMIFS(BV_Data_An_Prec!$AN:$AN,BV_Data_An_Prec!$AP:$AP,$B249,BV_Data_An_Prec!$AQ:$AQ,$C249,BV_Data_An_Prec!$AR:$AR,$L$2)</f>
        <v>316004.55000000005</v>
      </c>
      <c r="R249" s="282">
        <f>IF(O249=0,0,J249/O249)</f>
        <v>0.89579090291921248</v>
      </c>
      <c r="S249" s="266">
        <f>L249-Q249</f>
        <v>-21732.300000000047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0.65689620556776385</v>
      </c>
      <c r="M250" s="282"/>
      <c r="N250" s="332"/>
      <c r="O250" s="243"/>
      <c r="P250" s="38"/>
      <c r="Q250" s="332">
        <f>IF(Q249=0,0,Q249/P249)</f>
        <v>0.68153008461246722</v>
      </c>
      <c r="R250" s="282"/>
      <c r="S250" s="332">
        <f>IF(Q249=0,0,(S249/Q249))</f>
        <v>-6.8772111034477335E-2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169.7513224706328</v>
      </c>
      <c r="L251" s="334"/>
      <c r="M251" s="285"/>
      <c r="N251" s="286"/>
      <c r="O251" s="335"/>
      <c r="P251" s="333">
        <f>IFERROR(P249/O249,0)</f>
        <v>157.38942973523422</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4278</v>
      </c>
      <c r="K252" s="336">
        <f>-SUMIFS(BV_Data_An_Cour!$AN:$AN,BV_Data_An_Cour!$AS:$AS,"Oui",BV_Data_An_Cour!$AP:$AP,$B252,BV_Data_An_Cour!$AQ:$AQ,$C252)</f>
        <v>658533.67999999993</v>
      </c>
      <c r="L252" s="266">
        <f>-SUMIFS(BV_Data_An_Cour!$AN:$AN,BV_Data_An_Cour!$AP:$AP,$B252,BV_Data_An_Cour!$AQ:$AQ,$C252,BV_Data_An_Cour!$AR:$AR,$L$2)</f>
        <v>482444.72999999992</v>
      </c>
      <c r="M252" s="282" t="e">
        <f>(K252-E252)/E252</f>
        <v>#N/A</v>
      </c>
      <c r="N252" s="266" t="e">
        <f>L252-F252</f>
        <v>#N/A</v>
      </c>
      <c r="O252" s="245">
        <f>SUMIFS(BV_Data_An_Prec!$AX:$AX,BV_Data_An_Prec!$AP:$AP,$B252,BV_Data_An_Prec!$AQ:$AQ,$C252,BV_Data_An_Prec!$AY:$AY,O$2)</f>
        <v>4841</v>
      </c>
      <c r="P252" s="336">
        <f>-SUMIFS(BV_Data_An_Prec!$AN:$AN,BV_Data_An_Prec!$AS:$AS,"Oui",BV_Data_An_Prec!$AP:$AP,$B252,BV_Data_An_Prec!$AQ:$AQ,$C252)</f>
        <v>646797.90999999992</v>
      </c>
      <c r="Q252" s="266">
        <f>-SUMIFS(BV_Data_An_Prec!$AN:$AN,BV_Data_An_Prec!$AP:$AP,$B252,BV_Data_An_Prec!$AQ:$AQ,$C252,BV_Data_An_Prec!$AR:$AR,$L$2)</f>
        <v>471264.41999999993</v>
      </c>
      <c r="R252" s="282">
        <f>IF(O252=0,0,J252/O252)</f>
        <v>0.88370171452179302</v>
      </c>
      <c r="S252" s="266">
        <f>L252-Q252</f>
        <v>11180.309999999998</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0.7326044888091372</v>
      </c>
      <c r="M253" s="282"/>
      <c r="N253" s="266" t="e">
        <f>L253-F253</f>
        <v>#N/A</v>
      </c>
      <c r="O253" s="267"/>
      <c r="P253" s="325"/>
      <c r="Q253" s="332">
        <f>IF(Q252=0,0,Q252/P252)</f>
        <v>0.72861153803047995</v>
      </c>
      <c r="R253" s="267"/>
      <c r="S253" s="332">
        <f>IF(Q252=0,0,(S252/Q252))</f>
        <v>2.3724069812017634E-2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153.9349415614773</v>
      </c>
      <c r="L254" s="334"/>
      <c r="M254" s="285"/>
      <c r="N254" s="286"/>
      <c r="O254" s="335"/>
      <c r="P254" s="333">
        <f>IFERROR(P252/O252,0)</f>
        <v>133.60832679198512</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24960.49</v>
      </c>
      <c r="R258" s="345"/>
      <c r="S258" s="266">
        <f t="shared" ref="S258:S259" si="65">L258-Q258</f>
        <v>-39847.53</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8973</v>
      </c>
      <c r="K259" s="974">
        <f t="shared" si="68"/>
        <v>1645358.93</v>
      </c>
      <c r="L259" s="975">
        <f t="shared" si="68"/>
        <v>1156196.48</v>
      </c>
      <c r="M259" s="976" t="e">
        <f>(K259-E259)/E259</f>
        <v>#N/A</v>
      </c>
      <c r="N259" s="975" t="e">
        <f>L259-F259</f>
        <v>#N/A</v>
      </c>
      <c r="O259" s="973">
        <f t="shared" ref="O259:Q259" si="69">O246+O249+O252+O255+O258</f>
        <v>9877</v>
      </c>
      <c r="P259" s="974">
        <f t="shared" si="69"/>
        <v>1859790.8</v>
      </c>
      <c r="Q259" s="975">
        <f t="shared" si="69"/>
        <v>1396385.96</v>
      </c>
      <c r="R259" s="254">
        <f>IF(O259=0,0,J259/O259)</f>
        <v>0.9084742330667207</v>
      </c>
      <c r="S259" s="348">
        <f t="shared" si="65"/>
        <v>-240189.47999999998</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183.36776217541512</v>
      </c>
      <c r="L260" s="255">
        <f>IF(L259=0,0,L259/K259)</f>
        <v>0.7027016773780782</v>
      </c>
      <c r="M260" s="977"/>
      <c r="N260" s="979" t="e">
        <f>N259/F259</f>
        <v>#N/A</v>
      </c>
      <c r="O260" s="977"/>
      <c r="P260" s="978">
        <f>IF(O259=0,0,P259/O259)</f>
        <v>188.2951098511694</v>
      </c>
      <c r="Q260" s="255">
        <f>IF(Q259=0,0,Q259/P259)</f>
        <v>0.75082958792999721</v>
      </c>
      <c r="R260" s="354"/>
      <c r="S260" s="255">
        <f>S259/Q259</f>
        <v>-0.17200794542505998</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2873</v>
      </c>
      <c r="K262" s="281">
        <f>-SUMIFS(BV_Data_An_Cour!$AN:$AN,BV_Data_An_Cour!$AS:$AS,"Oui",BV_Data_An_Cour!$AP:$AP,$B262,BV_Data_An_Cour!$AQ:$AQ,$C262)</f>
        <v>140868.91999999998</v>
      </c>
      <c r="L262" s="266">
        <f>-SUMIFS(BV_Data_An_Cour!$AN:$AN,BV_Data_An_Cour!$AP:$AP,$B262,BV_Data_An_Cour!$AQ:$AQ,$C262,BV_Data_An_Cour!$AR:$AR,$L$2)</f>
        <v>37156.419999999976</v>
      </c>
      <c r="M262" s="282" t="e">
        <f>IF(E262=0,0,(K262-E262)/E262)</f>
        <v>#N/A</v>
      </c>
      <c r="N262" s="266" t="e">
        <f>L262-F262</f>
        <v>#N/A</v>
      </c>
      <c r="O262" s="245">
        <f>SUMIFS(BV_Data_An_Prec!$AX:$AX,BV_Data_An_Prec!$AP:$AP,$B262,BV_Data_An_Prec!$AQ:$AQ,$C262,BV_Data_An_Prec!$AY:$AY,O$2)</f>
        <v>2765</v>
      </c>
      <c r="P262" s="281">
        <f>-SUMIFS(BV_Data_An_Prec!$AN:$AN,BV_Data_An_Prec!$AS:$AS,"Oui",BV_Data_An_Prec!$AP:$AP,$B262,BV_Data_An_Prec!$AQ:$AQ,$C262)</f>
        <v>211286.47999999998</v>
      </c>
      <c r="Q262" s="266">
        <f>-SUMIFS(BV_Data_An_Prec!$AN:$AN,BV_Data_An_Prec!$AP:$AP,$B262,BV_Data_An_Prec!$AQ:$AQ,$C262,BV_Data_An_Prec!$AR:$AR,$L$2)</f>
        <v>44521.449999999968</v>
      </c>
      <c r="R262" s="282">
        <f>IF(O262=0,0,J262/O262)</f>
        <v>1.0390596745027125</v>
      </c>
      <c r="S262" s="266">
        <f>L262-Q262</f>
        <v>-7365.0299999999916</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0.26376591798957483</v>
      </c>
      <c r="M263" s="267"/>
      <c r="N263" s="266"/>
      <c r="O263" s="267"/>
      <c r="P263" s="325"/>
      <c r="Q263" s="332">
        <f>IF(Q262=0,0,Q262/P262)</f>
        <v>0.21071603824343124</v>
      </c>
      <c r="R263" s="267"/>
      <c r="S263" s="332">
        <f>IF(Q262=0,0,(S262/Q262))</f>
        <v>-0.16542655281892205</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1786227.8499999999</v>
      </c>
      <c r="L268" s="271">
        <f t="shared" si="71"/>
        <v>1193352.8999999999</v>
      </c>
      <c r="M268" s="272" t="e">
        <f>L269-F269</f>
        <v>#N/A</v>
      </c>
      <c r="N268" s="271" t="e">
        <f>L268-F268</f>
        <v>#N/A</v>
      </c>
      <c r="O268" s="272"/>
      <c r="P268" s="269">
        <f t="shared" ref="P268" si="72">P259+P262+P265</f>
        <v>2071077.28</v>
      </c>
      <c r="Q268" s="271">
        <f>Q259+Q262+Q265</f>
        <v>1440907.41</v>
      </c>
      <c r="R268" s="272">
        <f>L269-Q269</f>
        <v>-2.7642976376424322E-2</v>
      </c>
      <c r="S268" s="271">
        <f>L268-Q268</f>
        <v>-247554.51</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0.66808548528677347</v>
      </c>
      <c r="M269" s="276"/>
      <c r="N269" s="277" t="e">
        <f>N268/F268</f>
        <v>#N/A</v>
      </c>
      <c r="O269" s="273"/>
      <c r="P269" s="945"/>
      <c r="Q269" s="326">
        <f>Q268/P268</f>
        <v>0.69572846166319779</v>
      </c>
      <c r="R269" s="276"/>
      <c r="S269" s="326">
        <f>L268/S268</f>
        <v>-4.8205661856049398</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85732.44</v>
      </c>
      <c r="M272" s="243"/>
      <c r="N272" s="266" t="e">
        <f t="shared" ref="N272:N303" si="73">L272-F272</f>
        <v>#N/A</v>
      </c>
      <c r="O272" s="243"/>
      <c r="P272" s="38"/>
      <c r="Q272" s="266">
        <f>SUMIFS(BV_Data_An_Prec!$AN:$AN,BV_Data_An_Prec!$AP:$AP,$B272,BV_Data_An_Prec!$AQ:$AQ,$C272,BV_Data_An_Prec!$AR:$AR,$L$2)</f>
        <v>89444.98</v>
      </c>
      <c r="R272" s="243"/>
      <c r="S272" s="266">
        <f t="shared" ref="S272:S303" si="74">L272-Q272</f>
        <v>-3712.5399999999936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178807.16</v>
      </c>
      <c r="M273" s="243"/>
      <c r="N273" s="266" t="e">
        <f t="shared" si="73"/>
        <v>#N/A</v>
      </c>
      <c r="O273" s="243"/>
      <c r="P273" s="38"/>
      <c r="Q273" s="266">
        <f>SUMIFS(BV_Data_An_Prec!$AN:$AN,BV_Data_An_Prec!$AP:$AP,$B273,BV_Data_An_Prec!$AQ:$AQ,$C273,BV_Data_An_Prec!$AR:$AR,$L$2)</f>
        <v>230406.04</v>
      </c>
      <c r="R273" s="243"/>
      <c r="S273" s="266">
        <f t="shared" si="74"/>
        <v>-51598.880000000005</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101026.78</v>
      </c>
      <c r="M274" s="233"/>
      <c r="N274" s="303" t="e">
        <f t="shared" si="73"/>
        <v>#N/A</v>
      </c>
      <c r="O274" s="233"/>
      <c r="P274" s="301"/>
      <c r="Q274" s="303">
        <f>SUMIFS(BV_Data_An_Prec!$AN:$AN,BV_Data_An_Prec!$AP:$AP,$B274,BV_Data_An_Prec!$AQ:$AQ,$C274,BV_Data_An_Prec!$AR:$AR,$L$2)</f>
        <v>243634.88</v>
      </c>
      <c r="R274" s="233"/>
      <c r="S274" s="303">
        <f t="shared" si="74"/>
        <v>-142608.1</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46862.14</v>
      </c>
      <c r="M275" s="243"/>
      <c r="N275" s="266" t="e">
        <f t="shared" si="73"/>
        <v>#N/A</v>
      </c>
      <c r="O275" s="243"/>
      <c r="P275" s="745"/>
      <c r="Q275" s="266">
        <f>SUMIFS(BV_Data_An_Prec!$AN:$AN,BV_Data_An_Prec!$AP:$AP,$B275,BV_Data_An_Prec!$AQ:$AQ,$C275,BV_Data_An_Prec!$AR:$AR,$L$2)</f>
        <v>0</v>
      </c>
      <c r="R275" s="243"/>
      <c r="S275" s="266">
        <f t="shared" si="74"/>
        <v>46862.14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114962.26</v>
      </c>
      <c r="M279" s="243"/>
      <c r="N279" s="266" t="e">
        <f t="shared" si="73"/>
        <v>#N/A</v>
      </c>
      <c r="O279" s="243"/>
      <c r="P279" s="38"/>
      <c r="Q279" s="266">
        <f>SUMIFS(BV_Data_An_Prec!$AN:$AN,BV_Data_An_Prec!$AP:$AP,$B279,BV_Data_An_Prec!$AQ:$AQ,$C279,BV_Data_An_Prec!$AR:$AR,$L$2)</f>
        <v>143902.31</v>
      </c>
      <c r="R279" s="243"/>
      <c r="S279" s="266">
        <f t="shared" si="74"/>
        <v>-28940.050000000003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149824.85</v>
      </c>
      <c r="M280" s="233"/>
      <c r="N280" s="303" t="e">
        <f t="shared" si="73"/>
        <v>#N/A</v>
      </c>
      <c r="O280" s="233"/>
      <c r="P280" s="301"/>
      <c r="Q280" s="303">
        <f>SUMIFS(BV_Data_An_Prec!$AN:$AN,BV_Data_An_Prec!$AP:$AP,$B280,BV_Data_An_Prec!$AQ:$AQ,$C280,BV_Data_An_Prec!$AR:$AR,$L$2)</f>
        <v>157880.81</v>
      </c>
      <c r="R280" s="233"/>
      <c r="S280" s="303">
        <f t="shared" si="74"/>
        <v>-8055.9599999999919</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57409.67</v>
      </c>
      <c r="M281" s="243"/>
      <c r="N281" s="266" t="e">
        <f t="shared" si="73"/>
        <v>#N/A</v>
      </c>
      <c r="O281" s="243"/>
      <c r="P281" s="38"/>
      <c r="Q281" s="266">
        <f>SUMIFS(BV_Data_An_Prec!$AN:$AN,BV_Data_An_Prec!$AP:$AP,$B281,BV_Data_An_Prec!$AQ:$AQ,$C281,BV_Data_An_Prec!$AR:$AR,$L$2)</f>
        <v>94032.66</v>
      </c>
      <c r="R281" s="243"/>
      <c r="S281" s="266">
        <f t="shared" si="74"/>
        <v>-36622.990000000005</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30998.89</v>
      </c>
      <c r="M282" s="243"/>
      <c r="N282" s="266" t="e">
        <f t="shared" si="73"/>
        <v>#N/A</v>
      </c>
      <c r="O282" s="243"/>
      <c r="P282" s="38"/>
      <c r="Q282" s="266">
        <f>SUMIFS(BV_Data_An_Prec!$AN:$AN,BV_Data_An_Prec!$AP:$AP,$B282,BV_Data_An_Prec!$AQ:$AQ,$C282,BV_Data_An_Prec!$AR:$AR,$L$2)</f>
        <v>9111.8799999999992</v>
      </c>
      <c r="R282" s="243"/>
      <c r="S282" s="266">
        <f t="shared" si="74"/>
        <v>21887.010000000002</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0.64157399709675167</v>
      </c>
      <c r="L284" s="294">
        <f>+SUM(L272:L283)</f>
        <v>765624.19000000006</v>
      </c>
      <c r="M284" s="296"/>
      <c r="N284" s="294" t="e">
        <f t="shared" si="73"/>
        <v>#N/A</v>
      </c>
      <c r="O284" s="295" t="s">
        <v>171</v>
      </c>
      <c r="P284" s="293">
        <f>Q284/Q$268</f>
        <v>0.67208590453428241</v>
      </c>
      <c r="Q284" s="294">
        <f>+SUM(Q272:Q283)</f>
        <v>968413.56</v>
      </c>
      <c r="R284" s="297"/>
      <c r="S284" s="294">
        <f t="shared" si="74"/>
        <v>-202789.37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21637.64</v>
      </c>
      <c r="M285" s="243"/>
      <c r="N285" s="266" t="e">
        <f t="shared" si="73"/>
        <v>#N/A</v>
      </c>
      <c r="O285" s="243"/>
      <c r="P285" s="38"/>
      <c r="Q285" s="266">
        <f>SUMIFS(BV_Data_An_Prec!$AN:$AN,BV_Data_An_Prec!$AP:$AP,$B285,BV_Data_An_Prec!$AQ:$AQ,$C285,BV_Data_An_Prec!$AR:$AR,$L$2)</f>
        <v>18255.86</v>
      </c>
      <c r="R285" s="243"/>
      <c r="S285" s="266">
        <f t="shared" si="74"/>
        <v>3381.7799999999988</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29175.77</v>
      </c>
      <c r="M286" s="243"/>
      <c r="N286" s="266" t="e">
        <f t="shared" si="73"/>
        <v>#N/A</v>
      </c>
      <c r="O286" s="243"/>
      <c r="P286" s="38"/>
      <c r="Q286" s="266">
        <f>SUMIFS(BV_Data_An_Prec!$AN:$AN,BV_Data_An_Prec!$AP:$AP,$B286,BV_Data_An_Prec!$AQ:$AQ,$C286,BV_Data_An_Prec!$AR:$AR,$L$2)</f>
        <v>18992.88</v>
      </c>
      <c r="R286" s="243"/>
      <c r="S286" s="266">
        <f t="shared" si="74"/>
        <v>10182.89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50910.42</v>
      </c>
      <c r="M287" s="238"/>
      <c r="N287" s="286" t="e">
        <f t="shared" si="73"/>
        <v>#N/A</v>
      </c>
      <c r="O287" s="238"/>
      <c r="P287" s="304"/>
      <c r="Q287" s="266">
        <f>SUMIFS(BV_Data_An_Prec!$AN:$AN,BV_Data_An_Prec!$AP:$AP,$B287,BV_Data_An_Prec!$AQ:$AQ,$C287,BV_Data_An_Prec!$AR:$AR,$L$2)</f>
        <v>-58192.310000000005</v>
      </c>
      <c r="R287" s="238"/>
      <c r="S287" s="286">
        <f t="shared" si="74"/>
        <v>109102.73000000001</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26728.22</v>
      </c>
      <c r="M288" s="243"/>
      <c r="N288" s="266" t="e">
        <f t="shared" si="73"/>
        <v>#N/A</v>
      </c>
      <c r="O288" s="243"/>
      <c r="P288" s="38"/>
      <c r="Q288" s="303">
        <f>SUMIFS(BV_Data_An_Prec!$AN:$AN,BV_Data_An_Prec!$AP:$AP,$B288,BV_Data_An_Prec!$AQ:$AQ,$C288,BV_Data_An_Prec!$AR:$AR,$L$2)</f>
        <v>23840.51</v>
      </c>
      <c r="R288" s="243"/>
      <c r="S288" s="266">
        <f t="shared" si="74"/>
        <v>2887.7100000000028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21450.21</v>
      </c>
      <c r="M289" s="243"/>
      <c r="N289" s="266" t="e">
        <f t="shared" si="73"/>
        <v>#N/A</v>
      </c>
      <c r="O289" s="243"/>
      <c r="P289" s="38"/>
      <c r="Q289" s="266">
        <f>SUMIFS(BV_Data_An_Prec!$AN:$AN,BV_Data_An_Prec!$AP:$AP,$B289,BV_Data_An_Prec!$AQ:$AQ,$C289,BV_Data_An_Prec!$AR:$AR,$L$2)</f>
        <v>32478.89</v>
      </c>
      <c r="R289" s="243"/>
      <c r="S289" s="266">
        <f t="shared" si="74"/>
        <v>-11028.68</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110126.47</v>
      </c>
      <c r="M290" s="238"/>
      <c r="N290" s="286" t="e">
        <f t="shared" si="73"/>
        <v>#N/A</v>
      </c>
      <c r="O290" s="238"/>
      <c r="P290" s="304"/>
      <c r="Q290" s="266">
        <f>SUMIFS(BV_Data_An_Prec!$AN:$AN,BV_Data_An_Prec!$AP:$AP,$B290,BV_Data_An_Prec!$AQ:$AQ,$C290,BV_Data_An_Prec!$AR:$AR,$L$2)</f>
        <v>112428.12</v>
      </c>
      <c r="R290" s="238"/>
      <c r="S290" s="286">
        <f t="shared" si="74"/>
        <v>-2301.6499999999942</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46080.480000000003</v>
      </c>
      <c r="M292" s="243"/>
      <c r="N292" s="266" t="e">
        <f t="shared" si="73"/>
        <v>#N/A</v>
      </c>
      <c r="O292" s="243"/>
      <c r="P292" s="38"/>
      <c r="Q292" s="266">
        <f>SUMIFS(BV_Data_An_Prec!$AN:$AN,BV_Data_An_Prec!$AP:$AP,$B292,BV_Data_An_Prec!$AQ:$AQ,$C292,BV_Data_An_Prec!$AR:$AR,$L$2)</f>
        <v>38536.49</v>
      </c>
      <c r="R292" s="243"/>
      <c r="S292" s="266">
        <f t="shared" si="74"/>
        <v>7543.9900000000052</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3040.34</v>
      </c>
      <c r="M293" s="243"/>
      <c r="N293" s="266" t="e">
        <f t="shared" si="73"/>
        <v>#N/A</v>
      </c>
      <c r="O293" s="243"/>
      <c r="P293" s="38"/>
      <c r="Q293" s="266">
        <f>SUMIFS(BV_Data_An_Prec!$AN:$AN,BV_Data_An_Prec!$AP:$AP,$B293,BV_Data_An_Prec!$AQ:$AQ,$C293,BV_Data_An_Prec!$AR:$AR,$L$2)</f>
        <v>0</v>
      </c>
      <c r="R293" s="243"/>
      <c r="S293" s="266">
        <f t="shared" si="74"/>
        <v>3040.34</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11351.24</v>
      </c>
      <c r="M294" s="243"/>
      <c r="N294" s="266" t="e">
        <f t="shared" si="73"/>
        <v>#N/A</v>
      </c>
      <c r="O294" s="243"/>
      <c r="P294" s="281"/>
      <c r="Q294" s="266">
        <f>SUMIFS(BV_Data_An_Prec!$AN:$AN,BV_Data_An_Prec!$AP:$AP,$B294,BV_Data_An_Prec!$AQ:$AQ,$C294,BV_Data_An_Prec!$AR:$AR,$L$2)</f>
        <v>12536.21</v>
      </c>
      <c r="R294" s="243"/>
      <c r="S294" s="266">
        <f t="shared" si="74"/>
        <v>-1184.9699999999993</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5002.87</v>
      </c>
      <c r="M295" s="243"/>
      <c r="N295" s="266" t="e">
        <f t="shared" si="73"/>
        <v>#N/A</v>
      </c>
      <c r="O295" s="243"/>
      <c r="P295" s="38"/>
      <c r="Q295" s="266">
        <f>SUMIFS(BV_Data_An_Prec!$AN:$AN,BV_Data_An_Prec!$AP:$AP,$B295,BV_Data_An_Prec!$AQ:$AQ,$C295,BV_Data_An_Prec!$AR:$AR,$L$2)</f>
        <v>9353.5400000000009</v>
      </c>
      <c r="R295" s="243"/>
      <c r="S295" s="266">
        <f t="shared" si="74"/>
        <v>-4350.670000000001</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9718.14</v>
      </c>
      <c r="M296" s="243"/>
      <c r="N296" s="266" t="e">
        <f t="shared" si="73"/>
        <v>#N/A</v>
      </c>
      <c r="O296" s="243"/>
      <c r="P296" s="38"/>
      <c r="Q296" s="266">
        <f>SUMIFS(BV_Data_An_Prec!$AN:$AN,BV_Data_An_Prec!$AP:$AP,$B296,BV_Data_An_Prec!$AQ:$AQ,$C296,BV_Data_An_Prec!$AR:$AR,$L$2)</f>
        <v>6122</v>
      </c>
      <c r="R296" s="243"/>
      <c r="S296" s="266">
        <f t="shared" si="74"/>
        <v>3596.1399999999994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10079.23</v>
      </c>
      <c r="M297" s="243"/>
      <c r="N297" s="266" t="e">
        <f t="shared" si="73"/>
        <v>#N/A</v>
      </c>
      <c r="O297" s="243"/>
      <c r="P297" s="38"/>
      <c r="Q297" s="266">
        <f>SUMIFS(BV_Data_An_Prec!$AN:$AN,BV_Data_An_Prec!$AP:$AP,$B297,BV_Data_An_Prec!$AQ:$AQ,$C297,BV_Data_An_Prec!$AR:$AR,$L$2)</f>
        <v>10541.630000000001</v>
      </c>
      <c r="R297" s="243"/>
      <c r="S297" s="266">
        <f t="shared" si="74"/>
        <v>-462.40000000000146</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18447.439999999999</v>
      </c>
      <c r="M298" s="243"/>
      <c r="N298" s="266" t="e">
        <f t="shared" si="73"/>
        <v>#N/A</v>
      </c>
      <c r="O298" s="243"/>
      <c r="P298" s="38"/>
      <c r="Q298" s="266">
        <f>SUMIFS(BV_Data_An_Prec!$AN:$AN,BV_Data_An_Prec!$AP:$AP,$B298,BV_Data_An_Prec!$AQ:$AQ,$C298,BV_Data_An_Prec!$AR:$AR,$L$2)</f>
        <v>21332.080000000002</v>
      </c>
      <c r="R298" s="243"/>
      <c r="S298" s="266">
        <f t="shared" si="74"/>
        <v>-2884.6400000000031</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13778.31</v>
      </c>
      <c r="M299" s="243"/>
      <c r="N299" s="266" t="e">
        <f t="shared" si="73"/>
        <v>#N/A</v>
      </c>
      <c r="O299" s="243"/>
      <c r="P299" s="38"/>
      <c r="Q299" s="266">
        <f>SUMIFS(BV_Data_An_Prec!$AN:$AN,BV_Data_An_Prec!$AP:$AP,$B299,BV_Data_An_Prec!$AQ:$AQ,$C299,BV_Data_An_Prec!$AR:$AR,Q$2)</f>
        <v>3203.64</v>
      </c>
      <c r="R299" s="243"/>
      <c r="S299" s="266">
        <f t="shared" si="74"/>
        <v>10574.67</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0.31635803625231068</v>
      </c>
      <c r="L303" s="294">
        <f>+SUM(L285:L302)</f>
        <v>377526.78</v>
      </c>
      <c r="M303" s="296"/>
      <c r="N303" s="294" t="e">
        <f t="shared" si="73"/>
        <v>#N/A</v>
      </c>
      <c r="O303" s="295" t="s">
        <v>171</v>
      </c>
      <c r="P303" s="293">
        <f>Q303/Q$268</f>
        <v>0.17310587638660282</v>
      </c>
      <c r="Q303" s="294">
        <f>+SUM(Q285:Q302)</f>
        <v>249429.54000000004</v>
      </c>
      <c r="R303" s="297"/>
      <c r="S303" s="294">
        <f t="shared" si="74"/>
        <v>128097.23999999999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0.95793203334906241</v>
      </c>
      <c r="L305" s="294">
        <f>L284+L303</f>
        <v>1143150.9700000002</v>
      </c>
      <c r="M305" s="296"/>
      <c r="N305" s="294" t="e">
        <f>L305-F305</f>
        <v>#N/A</v>
      </c>
      <c r="O305" s="295" t="s">
        <v>115</v>
      </c>
      <c r="P305" s="293">
        <f>Q305/Q$268</f>
        <v>0.84519178092088521</v>
      </c>
      <c r="Q305" s="294">
        <f>Q284+Q303</f>
        <v>1217843.1000000001</v>
      </c>
      <c r="R305" s="297"/>
      <c r="S305" s="294">
        <f>L305-Q305</f>
        <v>-74692.129999999888</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50201.929999999702</v>
      </c>
      <c r="M307" s="958"/>
      <c r="N307" s="956" t="e">
        <f>L307-F307</f>
        <v>#N/A</v>
      </c>
      <c r="O307" s="957"/>
      <c r="P307" s="955"/>
      <c r="Q307" s="956">
        <f>Q268-Q305</f>
        <v>223064.30999999982</v>
      </c>
      <c r="R307" s="959"/>
      <c r="S307" s="956">
        <f>L307-Q307</f>
        <v>-172862.38000000012</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Septembre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4" t="s">
        <v>339</v>
      </c>
      <c r="E312" s="1279"/>
      <c r="F312" s="1280"/>
      <c r="G312" s="1281"/>
      <c r="H312" s="1279"/>
      <c r="I312" s="1280"/>
      <c r="J312" s="1281" t="s">
        <v>340</v>
      </c>
      <c r="K312" s="1279"/>
      <c r="L312" s="1280"/>
      <c r="M312" s="1281" t="s">
        <v>668</v>
      </c>
      <c r="N312" s="1280"/>
      <c r="O312" s="1274" t="s">
        <v>341</v>
      </c>
      <c r="P312" s="1279"/>
      <c r="Q312" s="1280"/>
      <c r="R312" s="1273" t="s">
        <v>670</v>
      </c>
      <c r="S312" s="1282"/>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1221561.8900000001</v>
      </c>
      <c r="L315" s="266">
        <f>-SUMIFS(BV_Data_An_Cour!$AN:$AN,BV_Data_An_Cour!$AP:$AP,$B315,BV_Data_An_Cour!$AQ:$AQ,$C315,BV_Data_An_Cour!$AR:$AR,$L$2)</f>
        <v>511937.85000000027</v>
      </c>
      <c r="M315" s="282">
        <f>IFERROR((K315-E315)/E315,0)</f>
        <v>0</v>
      </c>
      <c r="N315" s="266" t="e">
        <f>L315-F315</f>
        <v>#N/A</v>
      </c>
      <c r="O315" s="267"/>
      <c r="P315" s="281">
        <f>-SUMIFS(BV_Data_An_Prec!$AN:$AN,BV_Data_An_Prec!$AS:$AS,"Oui",BV_Data_An_Prec!$AP:$AP,$B315,BV_Data_An_Prec!$AQ:$AQ,$C315)</f>
        <v>1370942.3499999999</v>
      </c>
      <c r="Q315" s="266">
        <f>-SUMIFS(BV_Data_An_Prec!$AN:$AN,BV_Data_An_Prec!$AP:$AP,$B315,BV_Data_An_Prec!$AQ:$AQ,$C315,BV_Data_An_Prec!$AR:$AR,$L$2)</f>
        <v>554103.71999999974</v>
      </c>
      <c r="R315" s="282">
        <f>IF(O315=0,0,J315/O315)</f>
        <v>0</v>
      </c>
      <c r="S315" s="266">
        <f>L315-Q315</f>
        <v>-42165.869999999471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0.4190846605406135</v>
      </c>
      <c r="M316" s="282"/>
      <c r="N316" s="266">
        <f>IFERROR(N315/M315,0)</f>
        <v>0</v>
      </c>
      <c r="O316" s="267"/>
      <c r="P316" s="38"/>
      <c r="Q316" s="332">
        <f>IFERROR(Q315/P315,0)</f>
        <v>0.40417725807361615</v>
      </c>
      <c r="R316" s="267"/>
      <c r="S316" s="332">
        <f>IF(Q315=0,0,(S315/Q315))</f>
        <v>-7.6097431722709774E-2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59103.040000000001</v>
      </c>
      <c r="L318" s="303">
        <f>-SUMIFS(BV_Data_An_Cour!$AN:$AN,BV_Data_An_Cour!$AP:$AP,$B318,BV_Data_An_Cour!$AQ:$AQ,$C318,BV_Data_An_Cour!$AR:$AR,$L$2)</f>
        <v>27092.530000000006</v>
      </c>
      <c r="M318" s="340">
        <f>IFERROR((K318-E318)/E318,0)</f>
        <v>0</v>
      </c>
      <c r="N318" s="303" t="e">
        <f>L318-F318</f>
        <v>#N/A</v>
      </c>
      <c r="O318" s="337"/>
      <c r="P318" s="336">
        <f>-SUMIFS(BV_Data_An_Prec!$AN:$AN,BV_Data_An_Prec!$AS:$AS,"Oui",BV_Data_An_Prec!$AP:$AP,$B318,BV_Data_An_Prec!$AQ:$AQ,$C318)</f>
        <v>42171.16</v>
      </c>
      <c r="Q318" s="303">
        <f>-SUMIFS(BV_Data_An_Prec!$AN:$AN,BV_Data_An_Prec!$AP:$AP,$B318,BV_Data_An_Prec!$AQ:$AQ,$C318,BV_Data_An_Prec!$AR:$AR,$L$2)</f>
        <v>32152.620000000003</v>
      </c>
      <c r="R318" s="282">
        <f>IF(O318=0,0,J318/O318)</f>
        <v>0</v>
      </c>
      <c r="S318" s="266">
        <f>L318-Q318</f>
        <v>-5060.0899999999965</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0.45839486429124465</v>
      </c>
      <c r="M319" s="282"/>
      <c r="N319" s="266">
        <f>IFERROR(N318/F318,0)</f>
        <v>0</v>
      </c>
      <c r="O319" s="267"/>
      <c r="P319" s="38"/>
      <c r="Q319" s="332">
        <f>IFERROR(Q318/P318,0)</f>
        <v>0.76243148160970675</v>
      </c>
      <c r="R319" s="267"/>
      <c r="S319" s="332">
        <f>IF(Q318=0,0,(S318/Q318))</f>
        <v>-0.15737722151414088</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196805.37000000002</v>
      </c>
      <c r="L321" s="266">
        <f>-SUMIFS(BV_Data_An_Cour!$AN:$AN,BV_Data_An_Cour!$AP:$AP,$B321,BV_Data_An_Cour!$AQ:$AQ,$C321,BV_Data_An_Cour!$AR:$AR,$L$2)</f>
        <v>118208.39000000004</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118208.39000000004</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0.60063599890592434</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7326.93</v>
      </c>
      <c r="R324" s="282">
        <f>IF(O324=0,0,J324/O324)</f>
        <v>0</v>
      </c>
      <c r="S324" s="266">
        <f>L324-Q324</f>
        <v>-24505.439999999999</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1477470.3000000003</v>
      </c>
      <c r="L326" s="271">
        <f>L318+L321+L315+L324</f>
        <v>640060.26000000024</v>
      </c>
      <c r="M326" s="272" t="e">
        <f>L327-F327</f>
        <v>#N/A</v>
      </c>
      <c r="N326" s="271" t="e">
        <f>L326-F326</f>
        <v>#N/A</v>
      </c>
      <c r="O326" s="272"/>
      <c r="P326" s="269">
        <f t="shared" ref="P326" si="78">P318+P321+P315</f>
        <v>1413113.5099999998</v>
      </c>
      <c r="Q326" s="271">
        <f>Q318+Q321+Q315+Q324</f>
        <v>593583.26999999979</v>
      </c>
      <c r="R326" s="272"/>
      <c r="S326" s="271">
        <f>L326-Q326</f>
        <v>46476.990000000456</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0.4332136219591014</v>
      </c>
      <c r="M327" s="276"/>
      <c r="N327" s="277" t="e">
        <f>N326/F326</f>
        <v>#N/A</v>
      </c>
      <c r="O327" s="273"/>
      <c r="P327" s="945"/>
      <c r="Q327" s="326">
        <f>Q326/P326</f>
        <v>0.42005349591484686</v>
      </c>
      <c r="R327" s="276"/>
      <c r="S327" s="326">
        <f>S326/Q326</f>
        <v>7.8299022814440969E-2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83708.22</v>
      </c>
      <c r="M330" s="243"/>
      <c r="N330" s="266" t="e">
        <f t="shared" ref="N330:N360" si="79">L330-F330</f>
        <v>#N/A</v>
      </c>
      <c r="O330" s="243"/>
      <c r="P330" s="38"/>
      <c r="Q330" s="266">
        <f>SUMIFS(BV_Data_An_Prec!$AN:$AN,BV_Data_An_Prec!$AP:$AP,$B330,BV_Data_An_Prec!$AQ:$AQ,$C330,BV_Data_An_Prec!$AR:$AR,$L$2)</f>
        <v>94248.07</v>
      </c>
      <c r="R330" s="243"/>
      <c r="S330" s="266">
        <f t="shared" ref="S330:S361" si="80">L330-Q330</f>
        <v>-10539.850000000006</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55270.34</v>
      </c>
      <c r="M331" s="243"/>
      <c r="N331" s="266" t="e">
        <f t="shared" si="79"/>
        <v>#N/A</v>
      </c>
      <c r="O331" s="243"/>
      <c r="P331" s="38"/>
      <c r="Q331" s="266">
        <f>SUMIFS(BV_Data_An_Prec!$AN:$AN,BV_Data_An_Prec!$AP:$AP,$B331,BV_Data_An_Prec!$AQ:$AQ,$C331,BV_Data_An_Prec!$AR:$AR,$L$2)</f>
        <v>65265.05</v>
      </c>
      <c r="R331" s="243"/>
      <c r="S331" s="266">
        <f t="shared" si="80"/>
        <v>-9994.7100000000064</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6376.05</v>
      </c>
      <c r="M332" s="233"/>
      <c r="N332" s="303" t="e">
        <f t="shared" si="79"/>
        <v>#N/A</v>
      </c>
      <c r="O332" s="233"/>
      <c r="P332" s="301"/>
      <c r="Q332" s="303">
        <f>SUMIFS(BV_Data_An_Prec!$AN:$AN,BV_Data_An_Prec!$AP:$AP,$B332,BV_Data_An_Prec!$AQ:$AQ,$C332,BV_Data_An_Prec!$AR:$AR,$L$2)</f>
        <v>76</v>
      </c>
      <c r="R332" s="233"/>
      <c r="S332" s="303">
        <f t="shared" si="80"/>
        <v>6300.05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f>SUMIFS(BV_Data_An_Prec!$AN:$AN,BV_Data_An_Prec!$AP:$AP,$B333,BV_Data_An_Prec!$AQ:$AQ,$C333,BV_Data_An_Prec!$AR:$AR,$L$2)</f>
        <v>0</v>
      </c>
      <c r="R333" s="243"/>
      <c r="S333" s="266">
        <f t="shared" si="80"/>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f>SUMIFS(BV_Data_An_Prec!$AN:$AN,BV_Data_An_Prec!$AP:$AP,$B334,BV_Data_An_Prec!$AQ:$AQ,$C334,BV_Data_An_Prec!$AR:$AR,$L$2)</f>
        <v>0</v>
      </c>
      <c r="R334" s="243"/>
      <c r="S334" s="266">
        <f t="shared" si="80"/>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f>SUMIFS(BV_Data_An_Prec!$AN:$AN,BV_Data_An_Prec!$AP:$AP,$B335,BV_Data_An_Prec!$AQ:$AQ,$C335,BV_Data_An_Prec!$AR:$AR,$L$2)</f>
        <v>0</v>
      </c>
      <c r="R335" s="243"/>
      <c r="S335" s="266">
        <f t="shared" si="80"/>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f>SUMIFS(BV_Data_An_Prec!$AN:$AN,BV_Data_An_Prec!$AP:$AP,$B336,BV_Data_An_Prec!$AQ:$AQ,$C336,BV_Data_An_Prec!$AR:$AR,$L$2)</f>
        <v>0</v>
      </c>
      <c r="R336" s="243"/>
      <c r="S336" s="266">
        <f t="shared" si="80"/>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38227.11</v>
      </c>
      <c r="M337" s="243"/>
      <c r="N337" s="266" t="e">
        <f t="shared" si="79"/>
        <v>#N/A</v>
      </c>
      <c r="O337" s="243"/>
      <c r="P337" s="38"/>
      <c r="Q337" s="266">
        <f>SUMIFS(BV_Data_An_Prec!$AN:$AN,BV_Data_An_Prec!$AP:$AP,$B337,BV_Data_An_Prec!$AQ:$AQ,$C337,BV_Data_An_Prec!$AR:$AR,$L$2)</f>
        <v>30921.54</v>
      </c>
      <c r="R337" s="243"/>
      <c r="S337" s="266">
        <f t="shared" si="80"/>
        <v>7305.57</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48999.38</v>
      </c>
      <c r="M338" s="233"/>
      <c r="N338" s="303" t="e">
        <f t="shared" si="79"/>
        <v>#N/A</v>
      </c>
      <c r="O338" s="233"/>
      <c r="P338" s="301"/>
      <c r="Q338" s="303">
        <f>SUMIFS(BV_Data_An_Prec!$AN:$AN,BV_Data_An_Prec!$AP:$AP,$B338,BV_Data_An_Prec!$AQ:$AQ,$C338,BV_Data_An_Prec!$AR:$AR,$L$2)</f>
        <v>39203.980000000003</v>
      </c>
      <c r="R338" s="233"/>
      <c r="S338" s="303">
        <f t="shared" si="80"/>
        <v>9795.3999999999942</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14498.23</v>
      </c>
      <c r="M339" s="243"/>
      <c r="N339" s="266" t="e">
        <f t="shared" si="79"/>
        <v>#N/A</v>
      </c>
      <c r="O339" s="243"/>
      <c r="P339" s="38"/>
      <c r="Q339" s="266">
        <f>SUMIFS(BV_Data_An_Prec!$AN:$AN,BV_Data_An_Prec!$AP:$AP,$B339,BV_Data_An_Prec!$AQ:$AQ,$C339,BV_Data_An_Prec!$AR:$AR,$L$2)</f>
        <v>23810.55</v>
      </c>
      <c r="R339" s="243"/>
      <c r="S339" s="266">
        <f t="shared" si="80"/>
        <v>-9312.32</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9412.4500000000007</v>
      </c>
      <c r="M340" s="243"/>
      <c r="N340" s="266" t="e">
        <f t="shared" si="79"/>
        <v>#N/A</v>
      </c>
      <c r="O340" s="243"/>
      <c r="P340" s="38"/>
      <c r="Q340" s="266">
        <f>SUMIFS(BV_Data_An_Prec!$AN:$AN,BV_Data_An_Prec!$AP:$AP,$B340,BV_Data_An_Prec!$AQ:$AQ,$C340,BV_Data_An_Prec!$AR:$AR,$L$2)</f>
        <v>340.94</v>
      </c>
      <c r="R340" s="243"/>
      <c r="S340" s="266">
        <f t="shared" si="80"/>
        <v>9071.51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f t="array" ref="F341">+INDEX('Budget original'!$A$2:$AO$501,MATCH($A341,'Budget original'!$A$2:$A$501,0),MATCH(F$2,'Budget original'!$A$2:$AO$2,0))</f>
        <v>0</v>
      </c>
      <c r="G341" s="290"/>
      <c r="H341" s="304"/>
      <c r="I341" s="244"/>
      <c r="J341" s="238"/>
      <c r="K341" s="304"/>
      <c r="L341" s="266">
        <f>SUMIFS(BV_Data_An_Cour!$AN:$AN,BV_Data_An_Cour!$AP:$AP,$B341,BV_Data_An_Cour!$AQ:$AQ,$C341,BV_Data_An_Cour!$AR:$AR,$L$2)</f>
        <v>0</v>
      </c>
      <c r="M341" s="238"/>
      <c r="N341" s="286">
        <f t="shared" si="79"/>
        <v>0</v>
      </c>
      <c r="O341" s="238"/>
      <c r="P341" s="304"/>
      <c r="Q341" s="266">
        <f>SUMIFS(BV_Data_An_Prec!$AN:$AN,BV_Data_An_Prec!$AP:$AP,$B341,BV_Data_An_Prec!$AQ:$AQ,$C341,BV_Data_An_Prec!$AR:$AR,$L$2)</f>
        <v>0</v>
      </c>
      <c r="R341" s="238"/>
      <c r="S341" s="286">
        <f t="shared" si="80"/>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9.4672509359590986</v>
      </c>
      <c r="L342" s="294">
        <f>+SUM(L330:L341)</f>
        <v>256491.78</v>
      </c>
      <c r="M342" s="296"/>
      <c r="N342" s="294" t="e">
        <f t="shared" si="79"/>
        <v>#N/A</v>
      </c>
      <c r="O342" s="295" t="s">
        <v>115</v>
      </c>
      <c r="P342" s="293">
        <f>Q342/Q$318</f>
        <v>7.8956592028892194</v>
      </c>
      <c r="Q342" s="294">
        <f>+SUM(Q330:Q341)</f>
        <v>253866.13</v>
      </c>
      <c r="R342" s="297"/>
      <c r="S342" s="294">
        <f t="shared" si="80"/>
        <v>2625.6499999999942</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10806.28</v>
      </c>
      <c r="M343" s="243"/>
      <c r="N343" s="266" t="e">
        <f t="shared" si="79"/>
        <v>#N/A</v>
      </c>
      <c r="O343" s="243"/>
      <c r="P343" s="38"/>
      <c r="Q343" s="266">
        <f>SUMIFS(BV_Data_An_Prec!$AN:$AN,BV_Data_An_Prec!$AP:$AP,$B343,BV_Data_An_Prec!$AQ:$AQ,$C343,BV_Data_An_Prec!$AR:$AR,$L$2)</f>
        <v>3885.65</v>
      </c>
      <c r="R343" s="243"/>
      <c r="S343" s="266">
        <f t="shared" si="80"/>
        <v>6920.630000000001</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13197.57</v>
      </c>
      <c r="M344" s="243"/>
      <c r="N344" s="266" t="e">
        <f t="shared" si="79"/>
        <v>#N/A</v>
      </c>
      <c r="O344" s="243"/>
      <c r="P344" s="38"/>
      <c r="Q344" s="266">
        <f>SUMIFS(BV_Data_An_Prec!$AN:$AN,BV_Data_An_Prec!$AP:$AP,$B344,BV_Data_An_Prec!$AQ:$AQ,$C344,BV_Data_An_Prec!$AR:$AR,$L$2)</f>
        <v>13124.4</v>
      </c>
      <c r="R344" s="243"/>
      <c r="S344" s="266">
        <f t="shared" si="80"/>
        <v>73.170000000000073</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11853.109999999999</v>
      </c>
      <c r="M345" s="238"/>
      <c r="N345" s="286" t="e">
        <f t="shared" si="79"/>
        <v>#N/A</v>
      </c>
      <c r="O345" s="238"/>
      <c r="P345" s="304"/>
      <c r="Q345" s="266">
        <f>SUMIFS(BV_Data_An_Prec!$AN:$AN,BV_Data_An_Prec!$AP:$AP,$B345,BV_Data_An_Prec!$AQ:$AQ,$C345,BV_Data_An_Prec!$AR:$AR,$L$2)</f>
        <v>-2326.7200000000012</v>
      </c>
      <c r="R345" s="238"/>
      <c r="S345" s="286">
        <f t="shared" si="80"/>
        <v>14179.83</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20100.72</v>
      </c>
      <c r="M346" s="243"/>
      <c r="N346" s="266" t="e">
        <f t="shared" si="79"/>
        <v>#N/A</v>
      </c>
      <c r="O346" s="243"/>
      <c r="P346" s="38"/>
      <c r="Q346" s="303">
        <f>SUMIFS(BV_Data_An_Prec!$AN:$AN,BV_Data_An_Prec!$AP:$AP,$B346,BV_Data_An_Prec!$AQ:$AQ,$C346,BV_Data_An_Prec!$AR:$AR,$L$2)</f>
        <v>15209.96</v>
      </c>
      <c r="R346" s="243"/>
      <c r="S346" s="266">
        <f t="shared" si="80"/>
        <v>4890.760000000002</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7031.62</v>
      </c>
      <c r="M347" s="243"/>
      <c r="N347" s="266" t="e">
        <f t="shared" si="79"/>
        <v>#N/A</v>
      </c>
      <c r="O347" s="243"/>
      <c r="P347" s="38"/>
      <c r="Q347" s="266">
        <f>SUMIFS(BV_Data_An_Prec!$AN:$AN,BV_Data_An_Prec!$AP:$AP,$B347,BV_Data_An_Prec!$AQ:$AQ,$C347,BV_Data_An_Prec!$AR:$AR,$L$2)</f>
        <v>10478.15</v>
      </c>
      <c r="R347" s="243"/>
      <c r="S347" s="266">
        <f t="shared" si="80"/>
        <v>-3446.5299999999997</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28482.5</v>
      </c>
      <c r="M348" s="238"/>
      <c r="N348" s="286" t="e">
        <f t="shared" si="79"/>
        <v>#N/A</v>
      </c>
      <c r="O348" s="238"/>
      <c r="P348" s="304"/>
      <c r="Q348" s="266">
        <f>SUMIFS(BV_Data_An_Prec!$AN:$AN,BV_Data_An_Prec!$AP:$AP,$B348,BV_Data_An_Prec!$AQ:$AQ,$C348,BV_Data_An_Prec!$AR:$AR,$L$2)</f>
        <v>41712.04</v>
      </c>
      <c r="R348" s="238"/>
      <c r="S348" s="286">
        <f t="shared" si="80"/>
        <v>-13229.54</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f>SUMIFS(BV_Data_An_Prec!$AN:$AN,BV_Data_An_Prec!$AP:$AP,$B349,BV_Data_An_Prec!$AQ:$AQ,$C349,BV_Data_An_Prec!$AR:$AR,$L$2)</f>
        <v>0</v>
      </c>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90481.03</v>
      </c>
      <c r="M350" s="243"/>
      <c r="N350" s="266" t="e">
        <f t="shared" si="79"/>
        <v>#N/A</v>
      </c>
      <c r="O350" s="243"/>
      <c r="P350" s="38"/>
      <c r="Q350" s="266">
        <f>SUMIFS(BV_Data_An_Prec!$AN:$AN,BV_Data_An_Prec!$AP:$AP,$B350,BV_Data_An_Prec!$AQ:$AQ,$C350,BV_Data_An_Prec!$AR:$AR,$L$2)</f>
        <v>32506.39</v>
      </c>
      <c r="R350" s="243"/>
      <c r="S350" s="266">
        <f t="shared" si="80"/>
        <v>57974.64</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849.36</v>
      </c>
      <c r="M351" s="243"/>
      <c r="N351" s="266" t="e">
        <f t="shared" si="79"/>
        <v>#N/A</v>
      </c>
      <c r="O351" s="243"/>
      <c r="P351" s="38"/>
      <c r="Q351" s="266">
        <f>SUMIFS(BV_Data_An_Prec!$AN:$AN,BV_Data_An_Prec!$AP:$AP,$B351,BV_Data_An_Prec!$AQ:$AQ,$C351,BV_Data_An_Prec!$AR:$AR,$L$2)</f>
        <v>0</v>
      </c>
      <c r="R351" s="243"/>
      <c r="S351" s="266">
        <f t="shared" si="80"/>
        <v>849.36</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3349.93</v>
      </c>
      <c r="M352" s="243"/>
      <c r="N352" s="266" t="e">
        <f t="shared" si="79"/>
        <v>#N/A</v>
      </c>
      <c r="O352" s="243"/>
      <c r="P352" s="38"/>
      <c r="Q352" s="266">
        <f>SUMIFS(BV_Data_An_Prec!$AN:$AN,BV_Data_An_Prec!$AP:$AP,$B352,BV_Data_An_Prec!$AQ:$AQ,$C352,BV_Data_An_Prec!$AR:$AR,$L$2)</f>
        <v>4913.13</v>
      </c>
      <c r="R352" s="243"/>
      <c r="S352" s="266">
        <f t="shared" si="80"/>
        <v>-1563.2000000000003</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1889.02</v>
      </c>
      <c r="M353" s="243"/>
      <c r="N353" s="266" t="e">
        <f t="shared" si="79"/>
        <v>#N/A</v>
      </c>
      <c r="O353" s="243"/>
      <c r="P353" s="38"/>
      <c r="Q353" s="266">
        <f>SUMIFS(BV_Data_An_Prec!$AN:$AN,BV_Data_An_Prec!$AP:$AP,$B353,BV_Data_An_Prec!$AQ:$AQ,$C353,BV_Data_An_Prec!$AR:$AR,$L$2)</f>
        <v>2777.89</v>
      </c>
      <c r="R353" s="243"/>
      <c r="S353" s="266">
        <f t="shared" si="80"/>
        <v>-888.86999999999989</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3221.77</v>
      </c>
      <c r="M354" s="243"/>
      <c r="N354" s="266" t="e">
        <f t="shared" si="79"/>
        <v>#N/A</v>
      </c>
      <c r="O354" s="243"/>
      <c r="P354" s="38"/>
      <c r="Q354" s="266">
        <f>SUMIFS(BV_Data_An_Prec!$AN:$AN,BV_Data_An_Prec!$AP:$AP,$B354,BV_Data_An_Prec!$AQ:$AQ,$C354,BV_Data_An_Prec!$AR:$AR,$L$2)</f>
        <v>2261.5300000000002</v>
      </c>
      <c r="R354" s="243"/>
      <c r="S354" s="266">
        <f t="shared" si="80"/>
        <v>960.23999999999978</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15789.750000000002</v>
      </c>
      <c r="M355" s="243"/>
      <c r="N355" s="266" t="e">
        <f t="shared" si="79"/>
        <v>#N/A</v>
      </c>
      <c r="O355" s="243"/>
      <c r="P355" s="38"/>
      <c r="Q355" s="266">
        <f>SUMIFS(BV_Data_An_Prec!$AN:$AN,BV_Data_An_Prec!$AP:$AP,$B355,BV_Data_An_Prec!$AQ:$AQ,$C355,BV_Data_An_Prec!$AR:$AR,$L$2)</f>
        <v>17175.04</v>
      </c>
      <c r="R355" s="243"/>
      <c r="S355" s="266">
        <f t="shared" si="80"/>
        <v>-1385.2899999999991</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f>SUMIFS(BV_Data_An_Prec!$AN:$AN,BV_Data_An_Prec!$AP:$AP,$B356,BV_Data_An_Prec!$AQ:$AQ,$C356,BV_Data_An_Prec!$AR:$AR,$L$2)</f>
        <v>3002.4</v>
      </c>
      <c r="R356" s="243"/>
      <c r="S356" s="266">
        <f t="shared" si="80"/>
        <v>-1585.19</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4532.6400000000003</v>
      </c>
      <c r="M357" s="243"/>
      <c r="N357" s="266" t="e">
        <f t="shared" si="79"/>
        <v>#N/A</v>
      </c>
      <c r="O357" s="243"/>
      <c r="P357" s="38"/>
      <c r="Q357" s="266">
        <f>SUMIFS(BV_Data_An_Prec!$AN:$AN,BV_Data_An_Prec!$AP:$AP,$B357,BV_Data_An_Prec!$AQ:$AQ,$C357,BV_Data_An_Prec!$AR:$AR,$L$2)</f>
        <v>1007.87</v>
      </c>
      <c r="R357" s="243"/>
      <c r="S357" s="266">
        <f t="shared" si="80"/>
        <v>3524.7700000000004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14149.36</v>
      </c>
      <c r="M358" s="243"/>
      <c r="N358" s="266" t="e">
        <f t="shared" si="79"/>
        <v>#N/A</v>
      </c>
      <c r="O358" s="243"/>
      <c r="P358" s="38"/>
      <c r="Q358" s="266">
        <f>SUMIFS(BV_Data_An_Prec!$AN:$AN,BV_Data_An_Prec!$AP:$AP,$B358,BV_Data_An_Prec!$AQ:$AQ,$C358,BV_Data_An_Prec!$AR:$AR,$L$2)</f>
        <v>0</v>
      </c>
      <c r="R358" s="243"/>
      <c r="S358" s="266">
        <f t="shared" si="80"/>
        <v>14149.36</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f>SUMIFS(BV_Data_An_Prec!$AN:$AN,BV_Data_An_Prec!$AP:$AP,$B359,BV_Data_An_Prec!$AQ:$AQ,$C359,BV_Data_An_Prec!$AR:$AR,$L$2)</f>
        <v>0</v>
      </c>
      <c r="R359" s="243"/>
      <c r="S359" s="266">
        <f t="shared" si="80"/>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f>SUMIFS(BV_Data_An_Prec!$AN:$AN,BV_Data_An_Prec!$AP:$AP,$B360,BV_Data_An_Prec!$AQ:$AQ,$C360,BV_Data_An_Prec!$AR:$AR,$L$2)</f>
        <v>0</v>
      </c>
      <c r="R360" s="243"/>
      <c r="S360" s="266">
        <f t="shared" si="80"/>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0.44370985657731671</v>
      </c>
      <c r="L361" s="294">
        <f>+SUM(L343:L360)</f>
        <v>227151.87</v>
      </c>
      <c r="M361" s="296"/>
      <c r="N361" s="294" t="e">
        <f>+SUM(N343:N360)</f>
        <v>#N/A</v>
      </c>
      <c r="O361" s="295" t="s">
        <v>115</v>
      </c>
      <c r="P361" s="293">
        <f>IF(Q326=0,0,Q361/Q$326)</f>
        <v>0.24550511674629918</v>
      </c>
      <c r="Q361" s="294">
        <f>+SUM(Q343:Q360)</f>
        <v>145727.72999999998</v>
      </c>
      <c r="R361" s="297"/>
      <c r="S361" s="294">
        <f t="shared" si="80"/>
        <v>81424.140000000014</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17.8515498552553</v>
      </c>
      <c r="L363" s="294">
        <f>L342+L361</f>
        <v>483643.65</v>
      </c>
      <c r="M363" s="296"/>
      <c r="N363" s="294" t="e">
        <f>L363-F363</f>
        <v>#N/A</v>
      </c>
      <c r="O363" s="295" t="s">
        <v>115</v>
      </c>
      <c r="P363" s="293">
        <f>Q363/Q$326</f>
        <v>0.67318922246578838</v>
      </c>
      <c r="Q363" s="294">
        <f>Q342+Q361</f>
        <v>399593.86</v>
      </c>
      <c r="R363" s="297"/>
      <c r="S363" s="294">
        <f>L363-Q363</f>
        <v>84049.790000000037</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156416.61000000022</v>
      </c>
      <c r="M365" s="958"/>
      <c r="N365" s="956" t="e">
        <f>L365-F365</f>
        <v>#N/A</v>
      </c>
      <c r="O365" s="957"/>
      <c r="P365" s="955"/>
      <c r="Q365" s="956">
        <f>Q326-Q363</f>
        <v>193989.4099999998</v>
      </c>
      <c r="R365" s="959"/>
      <c r="S365" s="956">
        <f>L365-Q365</f>
        <v>-37572.799999999581</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Septembre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4" t="s">
        <v>339</v>
      </c>
      <c r="E369" s="1279"/>
      <c r="F369" s="1280"/>
      <c r="G369" s="1281"/>
      <c r="H369" s="1279"/>
      <c r="I369" s="1280"/>
      <c r="J369" s="1281" t="s">
        <v>340</v>
      </c>
      <c r="K369" s="1279"/>
      <c r="L369" s="1280"/>
      <c r="M369" s="1281" t="s">
        <v>668</v>
      </c>
      <c r="N369" s="1280"/>
      <c r="O369" s="1274" t="s">
        <v>341</v>
      </c>
      <c r="P369" s="1279"/>
      <c r="Q369" s="1280"/>
      <c r="R369" s="1273" t="s">
        <v>670</v>
      </c>
      <c r="S369" s="1282"/>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443132.08</v>
      </c>
      <c r="K371" s="327">
        <f t="shared" ref="K371:K380" si="83">IF(J371&lt;=0,0,L371/J371)</f>
        <v>0.31504500870259716</v>
      </c>
      <c r="L371" s="266">
        <f>-SUMIFS(BV_Data_An_Cour!$AN:$AN,BV_Data_An_Cour!$AP:$AP,$B371,BV_Data_An_Cour!$AQ:$AQ,$C371,BV_Data_An_Cour!$AR:$AR,$L$2)</f>
        <v>139606.54999999999</v>
      </c>
      <c r="M371" s="282" t="e">
        <f t="shared" ref="M371:M377" si="84">(+J371-D371)/D371</f>
        <v>#N/A</v>
      </c>
      <c r="N371" s="266" t="e">
        <f t="shared" ref="N371:N380" si="85">L371-F371</f>
        <v>#N/A</v>
      </c>
      <c r="O371" s="281">
        <f>-SUMIFS(BV_Data_An_Prec!$AN:$AN,BV_Data_An_Prec!$AS:$AS,"Oui",BV_Data_An_Prec!$AP:$AP,$B371,BV_Data_An_Prec!$AQ:$AQ,$C371)</f>
        <v>517441.14</v>
      </c>
      <c r="P371" s="327">
        <f t="shared" ref="P371:P380" si="86">IF(O371&lt;=0,0,Q371/O371)</f>
        <v>0.37400698367354407</v>
      </c>
      <c r="Q371" s="266">
        <f>-SUMIFS(BV_Data_An_Prec!$AN:$AN,BV_Data_An_Prec!$AP:$AP,$B371,BV_Data_An_Prec!$AQ:$AQ,$C371,BV_Data_An_Prec!$AR:$AR,$L$2)</f>
        <v>193526.60000000003</v>
      </c>
      <c r="R371" s="282">
        <f t="shared" ref="R371:R380" si="87">IF(O371=0,0,(J371-O371)/O371)</f>
        <v>-0.14360872040441158</v>
      </c>
      <c r="S371" s="266">
        <f t="shared" ref="S371:S380" si="88">L371-Q371</f>
        <v>-53920.050000000047</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542749.89</v>
      </c>
      <c r="K373" s="327">
        <f t="shared" si="83"/>
        <v>0.28761199748930394</v>
      </c>
      <c r="L373" s="266">
        <f>-SUMIFS(BV_Data_An_Cour!$AN:$AN,BV_Data_An_Cour!$AP:$AP,$B373,BV_Data_An_Cour!$AQ:$AQ,$C373,BV_Data_An_Cour!$AR:$AR,$L$2)</f>
        <v>156101.38</v>
      </c>
      <c r="M373" s="282" t="e">
        <f t="shared" si="84"/>
        <v>#N/A</v>
      </c>
      <c r="N373" s="266" t="e">
        <f t="shared" si="85"/>
        <v>#N/A</v>
      </c>
      <c r="O373" s="281">
        <f>-SUMIFS(BV_Data_An_Prec!$AN:$AN,BV_Data_An_Prec!$AS:$AS,"Oui",BV_Data_An_Prec!$AP:$AP,$B373,BV_Data_An_Prec!$AQ:$AQ,$C373)</f>
        <v>503144.04</v>
      </c>
      <c r="P373" s="327">
        <f t="shared" si="86"/>
        <v>0.27726543277746063</v>
      </c>
      <c r="Q373" s="266">
        <f>-SUMIFS(BV_Data_An_Prec!$AN:$AN,BV_Data_An_Prec!$AP:$AP,$B373,BV_Data_An_Prec!$AQ:$AQ,$C373,BV_Data_An_Prec!$AR:$AR,$L$2)</f>
        <v>139504.44999999995</v>
      </c>
      <c r="R373" s="282">
        <f t="shared" si="87"/>
        <v>7.8716722948760434E-2</v>
      </c>
      <c r="S373" s="266">
        <f t="shared" si="88"/>
        <v>16596.930000000051</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442767.28</v>
      </c>
      <c r="K374" s="327">
        <f t="shared" si="83"/>
        <v>0.31347894541800836</v>
      </c>
      <c r="L374" s="266">
        <f>-SUMIFS(BV_Data_An_Cour!$AN:$AN,BV_Data_An_Cour!$AP:$AP,$B374,BV_Data_An_Cour!$AQ:$AQ,$C374,BV_Data_An_Cour!$AR:$AR,$L$2)</f>
        <v>138798.22000000003</v>
      </c>
      <c r="M374" s="282" t="e">
        <f t="shared" si="84"/>
        <v>#N/A</v>
      </c>
      <c r="N374" s="266" t="e">
        <f t="shared" si="85"/>
        <v>#N/A</v>
      </c>
      <c r="O374" s="281">
        <f>-SUMIFS(BV_Data_An_Prec!$AN:$AN,BV_Data_An_Prec!$AS:$AS,"Oui",BV_Data_An_Prec!$AP:$AP,$B374,BV_Data_An_Prec!$AQ:$AQ,$C374)</f>
        <v>554121.39</v>
      </c>
      <c r="P374" s="327">
        <f t="shared" si="86"/>
        <v>0.29005189639042811</v>
      </c>
      <c r="Q374" s="266">
        <f>-SUMIFS(BV_Data_An_Prec!$AN:$AN,BV_Data_An_Prec!$AP:$AP,$B374,BV_Data_An_Prec!$AQ:$AQ,$C374,BV_Data_An_Prec!$AR:$AR,$L$2)</f>
        <v>160723.96000000002</v>
      </c>
      <c r="R374" s="282">
        <f t="shared" si="87"/>
        <v>-0.20095616594046295</v>
      </c>
      <c r="S374" s="266">
        <f t="shared" si="88"/>
        <v>-21925.739999999991</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336117.52</v>
      </c>
      <c r="K375" s="327">
        <f t="shared" si="83"/>
        <v>0.21908004081429616</v>
      </c>
      <c r="L375" s="266">
        <f>-SUMIFS(BV_Data_An_Cour!$AN:$AN,BV_Data_An_Cour!$AP:$AP,$B375,BV_Data_An_Cour!$AQ:$AQ,$C375,BV_Data_An_Cour!$AR:$AR,$L$2)</f>
        <v>73636.640000000014</v>
      </c>
      <c r="M375" s="282" t="e">
        <f t="shared" si="84"/>
        <v>#N/A</v>
      </c>
      <c r="N375" s="266" t="e">
        <f t="shared" si="85"/>
        <v>#N/A</v>
      </c>
      <c r="O375" s="281">
        <f>-SUMIFS(BV_Data_An_Prec!$AN:$AN,BV_Data_An_Prec!$AS:$AS,"Oui",BV_Data_An_Prec!$AP:$AP,$B375,BV_Data_An_Prec!$AQ:$AQ,$C375)</f>
        <v>273759.69</v>
      </c>
      <c r="P375" s="327">
        <f t="shared" si="86"/>
        <v>0.21404327276963242</v>
      </c>
      <c r="Q375" s="266">
        <f>-SUMIFS(BV_Data_An_Prec!$AN:$AN,BV_Data_An_Prec!$AP:$AP,$B375,BV_Data_An_Prec!$AQ:$AQ,$C375,BV_Data_An_Prec!$AR:$AR,$L$2)</f>
        <v>58596.420000000013</v>
      </c>
      <c r="R375" s="282">
        <f t="shared" si="87"/>
        <v>0.22778309691978396</v>
      </c>
      <c r="S375" s="266">
        <f t="shared" si="88"/>
        <v>15040.220000000001</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1196434.3</v>
      </c>
      <c r="K376" s="327">
        <f t="shared" si="83"/>
        <v>0.17748836689152095</v>
      </c>
      <c r="L376" s="266">
        <f>-SUMIFS(BV_Data_An_Cour!$AN:$AN,BV_Data_An_Cour!$AP:$AP,$B376,BV_Data_An_Cour!$AQ:$AQ,$C376,BV_Data_An_Cour!$AR:$AR,$L$2)</f>
        <v>212353.17000000004</v>
      </c>
      <c r="M376" s="282" t="e">
        <f t="shared" si="84"/>
        <v>#N/A</v>
      </c>
      <c r="N376" s="266" t="e">
        <f t="shared" si="85"/>
        <v>#N/A</v>
      </c>
      <c r="O376" s="281">
        <f>-SUMIFS(BV_Data_An_Prec!$AN:$AN,BV_Data_An_Prec!$AS:$AS,"Oui",BV_Data_An_Prec!$AP:$AP,$B376,BV_Data_An_Prec!$AQ:$AQ,$C376)</f>
        <v>1337705.26</v>
      </c>
      <c r="P376" s="327">
        <f t="shared" si="86"/>
        <v>0.16297453296999065</v>
      </c>
      <c r="Q376" s="266">
        <f>-SUMIFS(BV_Data_An_Prec!$AN:$AN,BV_Data_An_Prec!$AP:$AP,$B376,BV_Data_An_Prec!$AQ:$AQ,$C376,BV_Data_An_Prec!$AR:$AR,$L$2)</f>
        <v>218011.8899999999</v>
      </c>
      <c r="R376" s="282">
        <f t="shared" si="87"/>
        <v>-0.10560694064999039</v>
      </c>
      <c r="S376" s="266">
        <f t="shared" si="88"/>
        <v>-5658.7199999998556</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88557.63</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64362.8</v>
      </c>
      <c r="R378" s="282">
        <f t="shared" si="87"/>
        <v>0</v>
      </c>
      <c r="S378" s="266">
        <f t="shared" si="88"/>
        <v>24194.83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12957.8</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24313.48</v>
      </c>
      <c r="R379" s="282">
        <f t="shared" si="87"/>
        <v>0</v>
      </c>
      <c r="S379" s="266">
        <f t="shared" si="88"/>
        <v>-11355.68</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2961301.71</v>
      </c>
      <c r="K380" s="370">
        <f t="shared" si="83"/>
        <v>0.27760190635894377</v>
      </c>
      <c r="L380" s="356">
        <f>SUM(L371:L379)</f>
        <v>822063.00000000012</v>
      </c>
      <c r="M380" s="371" t="e">
        <f>(+J380-D380)/D380</f>
        <v>#N/A</v>
      </c>
      <c r="N380" s="356" t="e">
        <f t="shared" si="85"/>
        <v>#N/A</v>
      </c>
      <c r="O380" s="355">
        <f t="shared" ref="O380" si="91">SUM(O371:O379)</f>
        <v>3186189.87</v>
      </c>
      <c r="P380" s="370">
        <f t="shared" si="86"/>
        <v>0.2696154796324175</v>
      </c>
      <c r="Q380" s="356">
        <f>SUM(Q371:Q379)</f>
        <v>859046.11</v>
      </c>
      <c r="R380" s="371">
        <f t="shared" si="87"/>
        <v>-7.0582158997323077E-2</v>
      </c>
      <c r="S380" s="356">
        <f t="shared" si="88"/>
        <v>-36983.10999999987</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-4.3051367754869257E-2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217979.29</v>
      </c>
      <c r="K383" s="327">
        <f t="shared" ref="K383:K385" si="93">IF(J383&lt;=0,0,L383/J383)</f>
        <v>0.13646828558804833</v>
      </c>
      <c r="L383" s="303">
        <f>-SUMIFS(BV_Data_An_Cour!$AN:$AN,BV_Data_An_Cour!$AP:$AP,$B383,BV_Data_An_Cour!$AQ:$AQ,$C383,BV_Data_An_Cour!$AR:$AR,$L$2)</f>
        <v>29747.260000000009</v>
      </c>
      <c r="M383" s="282" t="e">
        <f>(+J383-D383)/D383</f>
        <v>#N/A</v>
      </c>
      <c r="N383" s="266" t="e">
        <f>L383-F383</f>
        <v>#N/A</v>
      </c>
      <c r="O383" s="281">
        <f>-SUMIFS(BV_Data_An_Prec!$AN:$AN,BV_Data_An_Prec!$AS:$AS,"Oui",BV_Data_An_Prec!$AP:$AP,$B383,BV_Data_An_Prec!$AQ:$AQ,$C383)</f>
        <v>106518.46</v>
      </c>
      <c r="P383" s="327">
        <f t="shared" ref="P383:P385" si="94">IF(O383&lt;=0,0,Q383/O383)</f>
        <v>0.17264735145438645</v>
      </c>
      <c r="Q383" s="303">
        <f>-SUMIFS(BV_Data_An_Prec!$AN:$AN,BV_Data_An_Prec!$AP:$AP,$B383,BV_Data_An_Prec!$AQ:$AQ,$C383,BV_Data_An_Prec!$AR:$AR,$L$2)</f>
        <v>18390.130000000005</v>
      </c>
      <c r="R383" s="282">
        <f t="shared" ref="R383:R385" si="95">IF(O383=0,0,(J383-O383)/O383)</f>
        <v>1.0463991875211114</v>
      </c>
      <c r="S383" s="266">
        <f t="shared" ref="S383:S385" si="96">L383-Q383</f>
        <v>11357.130000000005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110623.71</v>
      </c>
      <c r="K384" s="327">
        <f t="shared" si="93"/>
        <v>0.27331265603006805</v>
      </c>
      <c r="L384" s="286">
        <f>-SUMIFS(BV_Data_An_Cour!$AN:$AN,BV_Data_An_Cour!$AP:$AP,$B384,BV_Data_An_Cour!$AQ:$AQ,$C384,BV_Data_An_Cour!$AR:$AR,$L$2)</f>
        <v>30234.86</v>
      </c>
      <c r="M384" s="282" t="e">
        <f>(+J384-D384)/D384</f>
        <v>#N/A</v>
      </c>
      <c r="N384" s="266" t="e">
        <f>L384-F384</f>
        <v>#N/A</v>
      </c>
      <c r="O384" s="281">
        <f>-SUMIFS(BV_Data_An_Prec!$AN:$AN,BV_Data_An_Prec!$AS:$AS,"Oui",BV_Data_An_Prec!$AP:$AP,$B384,BV_Data_An_Prec!$AQ:$AQ,$C384)</f>
        <v>69069.7</v>
      </c>
      <c r="P384" s="327">
        <f t="shared" si="94"/>
        <v>0.21793898047913915</v>
      </c>
      <c r="Q384" s="286">
        <f>-SUMIFS(BV_Data_An_Prec!$AN:$AN,BV_Data_An_Prec!$AP:$AP,$B384,BV_Data_An_Prec!$AQ:$AQ,$C384,BV_Data_An_Prec!$AR:$AR,$L$2)</f>
        <v>15052.979999999996</v>
      </c>
      <c r="R384" s="282">
        <f t="shared" si="95"/>
        <v>0.60162430124931787</v>
      </c>
      <c r="S384" s="266">
        <f t="shared" si="96"/>
        <v>15181.880000000005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3289904.71</v>
      </c>
      <c r="K385" s="370">
        <f t="shared" si="93"/>
        <v>0.26810658598072284</v>
      </c>
      <c r="L385" s="356">
        <f>L380+L383+L384</f>
        <v>882045.12000000011</v>
      </c>
      <c r="M385" s="371" t="e">
        <f>(+J385-D385)/D385</f>
        <v>#N/A</v>
      </c>
      <c r="N385" s="356" t="e">
        <f>L385-F385</f>
        <v>#N/A</v>
      </c>
      <c r="O385" s="357">
        <f t="shared" ref="O385" si="99">O380+O383+O384</f>
        <v>3361778.0300000003</v>
      </c>
      <c r="P385" s="370">
        <f t="shared" si="94"/>
        <v>0.26548130543883647</v>
      </c>
      <c r="Q385" s="356">
        <f>Q380+Q383+Q384</f>
        <v>892489.22</v>
      </c>
      <c r="R385" s="371">
        <f t="shared" si="95"/>
        <v>-2.1379555508606943E-2</v>
      </c>
      <c r="S385" s="356">
        <f t="shared" si="96"/>
        <v>-10444.09999999986</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-1.1702214173522298E-2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3289904.71</v>
      </c>
      <c r="K390" s="373">
        <f>IF(J390&lt;=0,0,L390/J390)</f>
        <v>0.26810658598072284</v>
      </c>
      <c r="L390" s="271">
        <f>L385+L388</f>
        <v>882045.12000000011</v>
      </c>
      <c r="M390" s="272" t="e">
        <f>(+J390-D390)/D390</f>
        <v>#N/A</v>
      </c>
      <c r="N390" s="271" t="e">
        <f>L390-F390</f>
        <v>#N/A</v>
      </c>
      <c r="O390" s="272">
        <f t="shared" ref="O390" si="102">O385+O388</f>
        <v>3361778.0300000003</v>
      </c>
      <c r="P390" s="373">
        <f>IF(O390&lt;=0,0,Q390/O390)</f>
        <v>0.26548130543883647</v>
      </c>
      <c r="Q390" s="271">
        <f>Q385+Q388</f>
        <v>892489.22</v>
      </c>
      <c r="R390" s="363">
        <f>IF(O390=0,0,(J390-O390)/O390)</f>
        <v>-2.1379555508606943E-2</v>
      </c>
      <c r="S390" s="271">
        <f>L390-Q390</f>
        <v>-10444.09999999986</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-1.1702214173522298E-2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28465.8</v>
      </c>
      <c r="M394" s="243"/>
      <c r="N394" s="246" t="e">
        <f t="shared" ref="N394:N424" si="103">L394-F394</f>
        <v>#N/A</v>
      </c>
      <c r="O394" s="243"/>
      <c r="P394" s="38"/>
      <c r="Q394" s="266">
        <f>SUMIFS(BV_Data_An_Prec!$AN:$AN,BV_Data_An_Prec!$AP:$AP,$B394,BV_Data_An_Prec!$AQ:$AQ,$C394,BV_Data_An_Prec!$AR:$AR,$L$2)</f>
        <v>24008.25</v>
      </c>
      <c r="R394" s="243"/>
      <c r="S394" s="266">
        <f t="shared" ref="S394:S424" si="104">L394-Q394</f>
        <v>4457.5499999999993</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23015.33</v>
      </c>
      <c r="M395" s="243"/>
      <c r="N395" s="246" t="e">
        <f t="shared" si="103"/>
        <v>#N/A</v>
      </c>
      <c r="O395" s="243"/>
      <c r="P395" s="38"/>
      <c r="Q395" s="266">
        <f>SUMIFS(BV_Data_An_Prec!$AN:$AN,BV_Data_An_Prec!$AP:$AP,$B395,BV_Data_An_Prec!$AQ:$AQ,$C395,BV_Data_An_Prec!$AR:$AR,$L$2)</f>
        <v>22358.87</v>
      </c>
      <c r="R395" s="243"/>
      <c r="S395" s="266">
        <f t="shared" si="104"/>
        <v>656.46000000000276</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154579.95000000001</v>
      </c>
      <c r="M396" s="233"/>
      <c r="N396" s="262" t="e">
        <f t="shared" si="103"/>
        <v>#N/A</v>
      </c>
      <c r="O396" s="233"/>
      <c r="P396" s="301"/>
      <c r="Q396" s="303">
        <f>SUMIFS(BV_Data_An_Prec!$AN:$AN,BV_Data_An_Prec!$AP:$AP,$B396,BV_Data_An_Prec!$AQ:$AQ,$C396,BV_Data_An_Prec!$AR:$AR,$L$2)</f>
        <v>154728.47</v>
      </c>
      <c r="R396" s="233"/>
      <c r="S396" s="303">
        <f t="shared" si="104"/>
        <v>-148.51999999998952</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22354.65</v>
      </c>
      <c r="M401" s="243"/>
      <c r="N401" s="246" t="e">
        <f t="shared" si="103"/>
        <v>#N/A</v>
      </c>
      <c r="O401" s="243"/>
      <c r="P401" s="38"/>
      <c r="Q401" s="266">
        <f>SUMIFS(BV_Data_An_Prec!$AN:$AN,BV_Data_An_Prec!$AP:$AP,$B401,BV_Data_An_Prec!$AQ:$AQ,$C401,BV_Data_An_Prec!$AR:$AR,$L$2)</f>
        <v>20423.5</v>
      </c>
      <c r="R401" s="243"/>
      <c r="S401" s="266">
        <f t="shared" si="104"/>
        <v>1931.1500000000015</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28244.62</v>
      </c>
      <c r="M402" s="233"/>
      <c r="N402" s="262" t="e">
        <f t="shared" si="103"/>
        <v>#N/A</v>
      </c>
      <c r="O402" s="233"/>
      <c r="P402" s="301"/>
      <c r="Q402" s="303">
        <f>SUMIFS(BV_Data_An_Prec!$AN:$AN,BV_Data_An_Prec!$AP:$AP,$B402,BV_Data_An_Prec!$AQ:$AQ,$C402,BV_Data_An_Prec!$AR:$AR,$L$2)</f>
        <v>27638.27</v>
      </c>
      <c r="R402" s="233"/>
      <c r="S402" s="303">
        <f t="shared" si="104"/>
        <v>606.34999999999854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8117.04</v>
      </c>
      <c r="M403" s="243"/>
      <c r="N403" s="246" t="e">
        <f t="shared" si="103"/>
        <v>#N/A</v>
      </c>
      <c r="O403" s="243"/>
      <c r="P403" s="38"/>
      <c r="Q403" s="266">
        <f>SUMIFS(BV_Data_An_Prec!$AN:$AN,BV_Data_An_Prec!$AP:$AP,$B403,BV_Data_An_Prec!$AQ:$AQ,$C403,BV_Data_An_Prec!$AR:$AR,$L$2)</f>
        <v>13255.36</v>
      </c>
      <c r="R403" s="243"/>
      <c r="S403" s="266">
        <f t="shared" si="104"/>
        <v>-5138.3200000000006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8708.33</v>
      </c>
      <c r="M404" s="243"/>
      <c r="N404" s="246" t="e">
        <f t="shared" si="103"/>
        <v>#N/A</v>
      </c>
      <c r="O404" s="243"/>
      <c r="P404" s="38"/>
      <c r="Q404" s="266">
        <f>SUMIFS(BV_Data_An_Prec!$AN:$AN,BV_Data_An_Prec!$AP:$AP,$B404,BV_Data_An_Prec!$AQ:$AQ,$C404,BV_Data_An_Prec!$AR:$AR,$L$2)</f>
        <v>1849.29</v>
      </c>
      <c r="R404" s="243"/>
      <c r="S404" s="266">
        <f t="shared" si="104"/>
        <v>6859.04</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0.31005865096787794</v>
      </c>
      <c r="L406" s="294">
        <f>+SUM(L394:L405)</f>
        <v>273485.72000000003</v>
      </c>
      <c r="M406" s="296"/>
      <c r="N406" s="294" t="e">
        <f t="shared" si="103"/>
        <v>#N/A</v>
      </c>
      <c r="O406" s="295" t="s">
        <v>115</v>
      </c>
      <c r="P406" s="293">
        <f>Q406/Q$390</f>
        <v>0.29609546432392758</v>
      </c>
      <c r="Q406" s="294">
        <f>+SUM(Q394:Q405)</f>
        <v>264262.00999999995</v>
      </c>
      <c r="R406" s="297"/>
      <c r="S406" s="294">
        <f t="shared" si="104"/>
        <v>9223.7100000000792</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8418.83</v>
      </c>
      <c r="M407" s="243"/>
      <c r="N407" s="266" t="e">
        <f t="shared" si="103"/>
        <v>#N/A</v>
      </c>
      <c r="O407" s="243"/>
      <c r="P407" s="38"/>
      <c r="Q407" s="266">
        <f>SUMIFS(BV_Data_An_Prec!$AN:$AN,BV_Data_An_Prec!$AP:$AP,$B407,BV_Data_An_Prec!$AQ:$AQ,$C407,BV_Data_An_Prec!$AR:$AR,$L$2)</f>
        <v>11148.58</v>
      </c>
      <c r="R407" s="243"/>
      <c r="S407" s="266">
        <f t="shared" si="104"/>
        <v>-2729.75</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2123.5300000000002</v>
      </c>
      <c r="R408" s="243"/>
      <c r="S408" s="266">
        <f t="shared" si="104"/>
        <v>-2070.0600000000004</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18741.34</v>
      </c>
      <c r="M409" s="238"/>
      <c r="N409" s="286" t="e">
        <f t="shared" si="103"/>
        <v>#N/A</v>
      </c>
      <c r="O409" s="238"/>
      <c r="P409" s="304"/>
      <c r="Q409" s="286">
        <f>SUMIFS(BV_Data_An_Prec!$AN:$AN,BV_Data_An_Prec!$AP:$AP,$B409,BV_Data_An_Prec!$AQ:$AQ,$C409,BV_Data_An_Prec!$AR:$AR,$L$2)</f>
        <v>24811.64</v>
      </c>
      <c r="R409" s="238"/>
      <c r="S409" s="286">
        <f t="shared" si="104"/>
        <v>-6070.2999999999993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17920.29</v>
      </c>
      <c r="M410" s="243"/>
      <c r="N410" s="266" t="e">
        <f t="shared" si="103"/>
        <v>#N/A</v>
      </c>
      <c r="O410" s="243"/>
      <c r="P410" s="38"/>
      <c r="Q410" s="266">
        <f>SUMIFS(BV_Data_An_Prec!$AN:$AN,BV_Data_An_Prec!$AP:$AP,$B410,BV_Data_An_Prec!$AQ:$AQ,$C410,BV_Data_An_Prec!$AR:$AR,$L$2)</f>
        <v>15292.21</v>
      </c>
      <c r="R410" s="243"/>
      <c r="S410" s="266">
        <f t="shared" si="104"/>
        <v>2628.0800000000017</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7156.3399999999992</v>
      </c>
      <c r="M411" s="243"/>
      <c r="N411" s="266" t="e">
        <f t="shared" si="103"/>
        <v>#N/A</v>
      </c>
      <c r="O411" s="243"/>
      <c r="P411" s="38"/>
      <c r="Q411" s="266">
        <f>SUMIFS(BV_Data_An_Prec!$AN:$AN,BV_Data_An_Prec!$AP:$AP,$B411,BV_Data_An_Prec!$AQ:$AQ,$C411,BV_Data_An_Prec!$AR:$AR,$L$2)</f>
        <v>11555.93</v>
      </c>
      <c r="R411" s="243"/>
      <c r="S411" s="266">
        <f t="shared" si="104"/>
        <v>-4399.5900000000011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20715.82</v>
      </c>
      <c r="M412" s="238"/>
      <c r="N412" s="286" t="e">
        <f t="shared" si="103"/>
        <v>#N/A</v>
      </c>
      <c r="O412" s="238"/>
      <c r="P412" s="304"/>
      <c r="Q412" s="286">
        <f>SUMIFS(BV_Data_An_Prec!$AN:$AN,BV_Data_An_Prec!$AP:$AP,$B412,BV_Data_An_Prec!$AQ:$AQ,$C412,BV_Data_An_Prec!$AR:$AR,$L$2)</f>
        <v>21916.51</v>
      </c>
      <c r="R412" s="238"/>
      <c r="S412" s="286">
        <f t="shared" si="104"/>
        <v>-1200.6899999999987</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1709.55</v>
      </c>
      <c r="M414" s="243"/>
      <c r="N414" s="266" t="e">
        <f t="shared" si="103"/>
        <v>#N/A</v>
      </c>
      <c r="O414" s="243"/>
      <c r="P414" s="38"/>
      <c r="Q414" s="266">
        <f>SUMIFS(BV_Data_An_Prec!$AN:$AN,BV_Data_An_Prec!$AP:$AP,$B414,BV_Data_An_Prec!$AQ:$AQ,$C414,BV_Data_An_Prec!$AR:$AR,$L$2)</f>
        <v>1055.05</v>
      </c>
      <c r="R414" s="243"/>
      <c r="S414" s="266">
        <f t="shared" si="104"/>
        <v>654.5</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3584.18</v>
      </c>
      <c r="M416" s="243"/>
      <c r="N416" s="266" t="e">
        <f t="shared" si="103"/>
        <v>#N/A</v>
      </c>
      <c r="O416" s="243"/>
      <c r="P416" s="38"/>
      <c r="Q416" s="266">
        <f>SUMIFS(BV_Data_An_Prec!$AN:$AN,BV_Data_An_Prec!$AP:$AP,$B416,BV_Data_An_Prec!$AQ:$AQ,$C416,BV_Data_An_Prec!$AR:$AR,$L$2)</f>
        <v>4283.1899999999996</v>
      </c>
      <c r="R416" s="243"/>
      <c r="S416" s="266">
        <f t="shared" si="104"/>
        <v>-699.00999999999976</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1530.92</v>
      </c>
      <c r="M417" s="243"/>
      <c r="N417" s="266" t="e">
        <f t="shared" si="103"/>
        <v>#N/A</v>
      </c>
      <c r="O417" s="243"/>
      <c r="P417" s="38"/>
      <c r="Q417" s="266">
        <f>SUMIFS(BV_Data_An_Prec!$AN:$AN,BV_Data_An_Prec!$AP:$AP,$B417,BV_Data_An_Prec!$AQ:$AQ,$C417,BV_Data_An_Prec!$AR:$AR,$L$2)</f>
        <v>2847.81</v>
      </c>
      <c r="R417" s="243"/>
      <c r="S417" s="266">
        <f t="shared" si="104"/>
        <v>-1316.8899999999999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9439.5</v>
      </c>
      <c r="M418" s="243"/>
      <c r="N418" s="266" t="e">
        <f t="shared" si="103"/>
        <v>#N/A</v>
      </c>
      <c r="O418" s="243"/>
      <c r="P418" s="38"/>
      <c r="Q418" s="266">
        <f>SUMIFS(BV_Data_An_Prec!$AN:$AN,BV_Data_An_Prec!$AP:$AP,$B418,BV_Data_An_Prec!$AQ:$AQ,$C418,BV_Data_An_Prec!$AR:$AR,$L$2)</f>
        <v>6105.21</v>
      </c>
      <c r="R418" s="243"/>
      <c r="S418" s="266">
        <f t="shared" si="104"/>
        <v>3334.29</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15467.74</v>
      </c>
      <c r="M419" s="243"/>
      <c r="N419" s="266" t="e">
        <f t="shared" si="103"/>
        <v>#N/A</v>
      </c>
      <c r="O419" s="243"/>
      <c r="P419" s="38"/>
      <c r="Q419" s="266">
        <f>SUMIFS(BV_Data_An_Prec!$AN:$AN,BV_Data_An_Prec!$AP:$AP,$B419,BV_Data_An_Prec!$AQ:$AQ,$C419,BV_Data_An_Prec!$AR:$AR,$L$2)</f>
        <v>12112.119999999999</v>
      </c>
      <c r="R419" s="243"/>
      <c r="S419" s="266">
        <f t="shared" si="104"/>
        <v>3355.6200000000008</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7350</v>
      </c>
      <c r="R420" s="243"/>
      <c r="S420" s="266">
        <f t="shared" si="104"/>
        <v>-6585.67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4532.53</v>
      </c>
      <c r="M421" s="243"/>
      <c r="N421" s="266" t="e">
        <f t="shared" si="103"/>
        <v>#N/A</v>
      </c>
      <c r="O421" s="243"/>
      <c r="P421" s="38"/>
      <c r="Q421" s="266">
        <f>SUMIFS(BV_Data_An_Prec!$AN:$AN,BV_Data_An_Prec!$AP:$AP,$B421,BV_Data_An_Prec!$AQ:$AQ,$C421,BV_Data_An_Prec!$AR:$AR,Q$2)</f>
        <v>1007.85</v>
      </c>
      <c r="R421" s="243"/>
      <c r="S421" s="266">
        <f t="shared" si="104"/>
        <v>3524.68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0.12474967266980626</v>
      </c>
      <c r="L425" s="294">
        <f>+SUM(L407:L424)</f>
        <v>110034.84</v>
      </c>
      <c r="M425" s="296"/>
      <c r="N425" s="294" t="e">
        <f>+SUM(N407:N424)</f>
        <v>#N/A</v>
      </c>
      <c r="O425" s="295" t="s">
        <v>115</v>
      </c>
      <c r="P425" s="293">
        <f>Q425/Q$390</f>
        <v>0.13625893430959313</v>
      </c>
      <c r="Q425" s="294">
        <f>+SUM(Q407:Q424)</f>
        <v>121609.63</v>
      </c>
      <c r="R425" s="297"/>
      <c r="S425" s="294">
        <f>+SUM(S407:S424)</f>
        <v>-11574.789999999997</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0.43480832363768424</v>
      </c>
      <c r="L427" s="294">
        <f>L406+L425</f>
        <v>383520.56000000006</v>
      </c>
      <c r="M427" s="296"/>
      <c r="N427" s="294" t="e">
        <f>L427-F427</f>
        <v>#N/A</v>
      </c>
      <c r="O427" s="295" t="s">
        <v>115</v>
      </c>
      <c r="P427" s="293">
        <f>Q427/Q$390</f>
        <v>0.43235439863352071</v>
      </c>
      <c r="Q427" s="294">
        <f>Q406+Q425</f>
        <v>385871.63999999996</v>
      </c>
      <c r="R427" s="297"/>
      <c r="S427" s="294">
        <f>L427-Q427</f>
        <v>-2351.0799999998999</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498524.56000000006</v>
      </c>
      <c r="M429" s="958"/>
      <c r="N429" s="956" t="e">
        <f>L429-F429</f>
        <v>#N/A</v>
      </c>
      <c r="O429" s="957"/>
      <c r="P429" s="955"/>
      <c r="Q429" s="956">
        <f>Q390-Q427</f>
        <v>506617.58</v>
      </c>
      <c r="R429" s="959"/>
      <c r="S429" s="956">
        <f>L429-Q429</f>
        <v>-8093.0199999999604</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4" t="s">
        <v>339</v>
      </c>
      <c r="E434" s="1279"/>
      <c r="F434" s="1280"/>
      <c r="G434" s="1281"/>
      <c r="H434" s="1279"/>
      <c r="I434" s="1280"/>
      <c r="J434" s="1281" t="s">
        <v>340</v>
      </c>
      <c r="K434" s="1279"/>
      <c r="L434" s="1280"/>
      <c r="M434" s="1281"/>
      <c r="N434" s="1280"/>
      <c r="O434" s="1274" t="s">
        <v>341</v>
      </c>
      <c r="P434" s="1279"/>
      <c r="Q434" s="1280"/>
      <c r="R434" s="128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288285</v>
      </c>
      <c r="L437" s="658">
        <f>-SUMIFS(BV_Data_An_Cour!$AN:$AN,BV_Data_An_Cour!$AP:$AP,$B437,BV_Data_An_Cour!$AQ:$AQ,$C437,BV_Data_An_Cour!$AR:$AR,$L$2)</f>
        <v>215086.56</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215086.56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0.74609001508923456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533640.42000000004</v>
      </c>
      <c r="L440" s="303">
        <f>-SUMIFS(BV_Data_An_Cour!$AN:$AN,BV_Data_An_Cour!$AP:$AP,$B440,BV_Data_An_Cour!$AQ:$AQ,$C440,BV_Data_An_Cour!$AR:$AR,$L$2)</f>
        <v>402013.68000000005</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744770.88</v>
      </c>
      <c r="Q440" s="303">
        <f>-SUMIFS(BV_Data_An_Prec!$AN:$AN,BV_Data_An_Prec!$AP:$AP,$B440,BV_Data_An_Prec!$AQ:$AQ,$C440,BV_Data_An_Prec!$AR:$AR,$L$2)</f>
        <v>559345.85</v>
      </c>
      <c r="R440" s="282" t="e">
        <f>IF(O440=0,0,J440/O440)</f>
        <v>#N/A</v>
      </c>
      <c r="S440" s="266">
        <f>L440-Q440</f>
        <v>-157332.16999999993</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0.7533418851592989</v>
      </c>
      <c r="M441" s="282"/>
      <c r="N441" s="266">
        <f>IFERROR(N440/M440,0)</f>
        <v>0</v>
      </c>
      <c r="O441" s="267"/>
      <c r="P441" s="38"/>
      <c r="Q441" s="332">
        <f>IFERROR(Q440/P440,0)</f>
        <v>0.75103077338362101</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9155</v>
      </c>
      <c r="Q443" s="266">
        <f>-SUMIFS(BV_Data_An_Prec!$AN:$AN,BV_Data_An_Prec!$AP:$AP,$B443,BV_Data_An_Prec!$AQ:$AQ,$C443,BV_Data_An_Prec!$AR:$AR,$L$2)</f>
        <v>6635.45</v>
      </c>
      <c r="R443" s="282" t="e">
        <f>IF(O443=0,0,J443/O443)</f>
        <v>#N/A</v>
      </c>
      <c r="S443" s="266">
        <f>L443-Q443</f>
        <v>-3385.74</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0.72478973238667388</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826395.92</v>
      </c>
      <c r="L448" s="271">
        <f>L437+L440+L443+L446</f>
        <v>616909.24</v>
      </c>
      <c r="M448" s="272"/>
      <c r="N448" s="271"/>
      <c r="O448" s="272"/>
      <c r="P448" s="269">
        <f>P437+P440+P443</f>
        <v>753925.88</v>
      </c>
      <c r="Q448" s="271">
        <f>Q437+Q440+Q443+Q446</f>
        <v>565981.29999999993</v>
      </c>
      <c r="R448" s="272">
        <f>IF(O448=0,0,(J448-O448)/O448)</f>
        <v>0</v>
      </c>
      <c r="S448" s="271">
        <f>S437+S440+S443+S446</f>
        <v>50927.940000000075</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0.74650567006671564</v>
      </c>
      <c r="M449" s="276"/>
      <c r="N449" s="277"/>
      <c r="O449" s="273"/>
      <c r="P449" s="945"/>
      <c r="Q449" s="326">
        <f>Q448/P448</f>
        <v>0.75071212570657464</v>
      </c>
      <c r="R449" s="276"/>
      <c r="S449" s="326">
        <f>IF(Q448=0,0,S448/Q448)</f>
        <v>8.9981665471986591E-2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f>SUMIFS(BV_Data_An_Prec!$AN:$AN,BV_Data_An_Prec!$AP:$AP,$B452,BV_Data_An_Prec!$AQ:$AQ,$C452,BV_Data_An_Prec!$AR:$AR,$L$2)</f>
        <v>0</v>
      </c>
      <c r="R452" s="243"/>
      <c r="S452" s="266">
        <f t="shared" ref="S452:S481" si="106">L452-Q452</f>
        <v>2100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34012.559999999998</v>
      </c>
      <c r="M453" s="243"/>
      <c r="N453" s="266"/>
      <c r="O453" s="243"/>
      <c r="P453" s="38"/>
      <c r="Q453" s="286">
        <f>SUMIFS(BV_Data_An_Prec!$AN:$AN,BV_Data_An_Prec!$AP:$AP,$B453,BV_Data_An_Prec!$AQ:$AQ,$C453,BV_Data_An_Prec!$AR:$AR,$L$2)</f>
        <v>0</v>
      </c>
      <c r="R453" s="243"/>
      <c r="S453" s="266">
        <f t="shared" si="106"/>
        <v>34012.559999999998</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3446.34</v>
      </c>
      <c r="M454" s="233"/>
      <c r="N454" s="303"/>
      <c r="O454" s="233"/>
      <c r="P454" s="301"/>
      <c r="Q454" s="266">
        <f>SUMIFS(BV_Data_An_Prec!$AN:$AN,BV_Data_An_Prec!$AP:$AP,$B454,BV_Data_An_Prec!$AQ:$AQ,$C454,BV_Data_An_Prec!$AR:$AR,$L$2)</f>
        <v>0</v>
      </c>
      <c r="R454" s="233"/>
      <c r="S454" s="303">
        <f t="shared" si="106"/>
        <v>3446.34</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f>SUMIFS(BV_Data_An_Prec!$AN:$AN,BV_Data_An_Prec!$AP:$AP,$B455,BV_Data_An_Prec!$AQ:$AQ,$C455,BV_Data_An_Prec!$AR:$AR,$L$2)</f>
        <v>0</v>
      </c>
      <c r="R455" s="243"/>
      <c r="S455" s="266">
        <f t="shared" si="106"/>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f>SUMIFS(BV_Data_An_Prec!$AN:$AN,BV_Data_An_Prec!$AP:$AP,$B456,BV_Data_An_Prec!$AQ:$AQ,$C456,BV_Data_An_Prec!$AR:$AR,$L$2)</f>
        <v>0</v>
      </c>
      <c r="R456" s="243"/>
      <c r="S456" s="266">
        <f t="shared" si="106"/>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f>SUMIFS(BV_Data_An_Prec!$AN:$AN,BV_Data_An_Prec!$AP:$AP,$B457,BV_Data_An_Prec!$AQ:$AQ,$C457,BV_Data_An_Prec!$AR:$AR,$L$2)</f>
        <v>0</v>
      </c>
      <c r="R457" s="243"/>
      <c r="S457" s="266">
        <f t="shared" si="106"/>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f>SUMIFS(BV_Data_An_Prec!$AN:$AN,BV_Data_An_Prec!$AP:$AP,$B458,BV_Data_An_Prec!$AQ:$AQ,$C458,BV_Data_An_Prec!$AR:$AR,$L$2)</f>
        <v>0</v>
      </c>
      <c r="R458" s="243"/>
      <c r="S458" s="266">
        <f t="shared" si="106"/>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18001.919999999998</v>
      </c>
      <c r="M459" s="243"/>
      <c r="N459" s="266"/>
      <c r="O459" s="243"/>
      <c r="P459" s="38"/>
      <c r="Q459" s="286">
        <f>SUMIFS(BV_Data_An_Prec!$AN:$AN,BV_Data_An_Prec!$AP:$AP,$B459,BV_Data_An_Prec!$AQ:$AQ,$C459,BV_Data_An_Prec!$AR:$AR,$L$2)</f>
        <v>0</v>
      </c>
      <c r="R459" s="243"/>
      <c r="S459" s="266">
        <f t="shared" si="106"/>
        <v>18001.919999999998</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18544.22</v>
      </c>
      <c r="M460" s="233"/>
      <c r="N460" s="303"/>
      <c r="O460" s="233"/>
      <c r="P460" s="301"/>
      <c r="Q460" s="266">
        <f>SUMIFS(BV_Data_An_Prec!$AN:$AN,BV_Data_An_Prec!$AP:$AP,$B460,BV_Data_An_Prec!$AQ:$AQ,$C460,BV_Data_An_Prec!$AR:$AR,$L$2)</f>
        <v>0</v>
      </c>
      <c r="R460" s="233"/>
      <c r="S460" s="303">
        <f t="shared" si="106"/>
        <v>18544.22</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4108.37</v>
      </c>
      <c r="M461" s="243"/>
      <c r="N461" s="266"/>
      <c r="O461" s="243"/>
      <c r="P461" s="38"/>
      <c r="Q461" s="266">
        <f>SUMIFS(BV_Data_An_Prec!$AN:$AN,BV_Data_An_Prec!$AP:$AP,$B461,BV_Data_An_Prec!$AQ:$AQ,$C461,BV_Data_An_Prec!$AR:$AR,$L$2)</f>
        <v>0</v>
      </c>
      <c r="R461" s="243"/>
      <c r="S461" s="266">
        <f t="shared" si="106"/>
        <v>4108.37</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2453.37</v>
      </c>
      <c r="M462" s="243"/>
      <c r="N462" s="266"/>
      <c r="O462" s="243"/>
      <c r="P462" s="38"/>
      <c r="Q462" s="266">
        <f>SUMIFS(BV_Data_An_Prec!$AN:$AN,BV_Data_An_Prec!$AP:$AP,$B462,BV_Data_An_Prec!$AQ:$AQ,$C462,BV_Data_An_Prec!$AR:$AR,$L$2)</f>
        <v>0</v>
      </c>
      <c r="R462" s="243"/>
      <c r="S462" s="266">
        <f t="shared" si="106"/>
        <v>2453.37</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f>SUMIFS(BV_Data_An_Prec!$AN:$AN,BV_Data_An_Prec!$AP:$AP,$B463,BV_Data_An_Prec!$AQ:$AQ,$C463,BV_Data_An_Prec!$AR:$AR,$L$2)</f>
        <v>0</v>
      </c>
      <c r="R463" s="238"/>
      <c r="S463" s="286">
        <f t="shared" si="106"/>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0.1340015267075591</v>
      </c>
      <c r="L464" s="294">
        <f>+SUM(L452:L463)</f>
        <v>82666.779999999984</v>
      </c>
      <c r="M464" s="296"/>
      <c r="N464" s="294"/>
      <c r="O464" s="295" t="s">
        <v>115</v>
      </c>
      <c r="P464" s="293">
        <f>IFERROR(Q464/Q$448,0)</f>
        <v>0</v>
      </c>
      <c r="Q464" s="294">
        <f>+SUM(Q452:Q463)</f>
        <v>0</v>
      </c>
      <c r="R464" s="297"/>
      <c r="S464" s="294">
        <f t="shared" si="106"/>
        <v>82666.779999999984</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f>SUMIFS(BV_Data_An_Prec!$AN:$AN,BV_Data_An_Prec!$AP:$AP,$B465,BV_Data_An_Prec!$AQ:$AQ,$C465,BV_Data_An_Prec!$AR:$AR,$L$2)</f>
        <v>0</v>
      </c>
      <c r="R465" s="243"/>
      <c r="S465" s="266">
        <f t="shared" si="106"/>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f>SUMIFS(BV_Data_An_Prec!$AN:$AN,BV_Data_An_Prec!$AP:$AP,$B466,BV_Data_An_Prec!$AQ:$AQ,$C466,BV_Data_An_Prec!$AR:$AR,$L$2)</f>
        <v>0</v>
      </c>
      <c r="R466" s="243"/>
      <c r="S466" s="266">
        <f t="shared" si="106"/>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f>SUMIFS(BV_Data_An_Prec!$AN:$AN,BV_Data_An_Prec!$AP:$AP,$B467,BV_Data_An_Prec!$AQ:$AQ,$C467,BV_Data_An_Prec!$AR:$AR,$L$2)</f>
        <v>0</v>
      </c>
      <c r="R467" s="238"/>
      <c r="S467" s="286">
        <f t="shared" si="106"/>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f>SUMIFS(BV_Data_An_Prec!$AN:$AN,BV_Data_An_Prec!$AP:$AP,$B468,BV_Data_An_Prec!$AQ:$AQ,$C468,BV_Data_An_Prec!$AR:$AR,$L$2)</f>
        <v>0</v>
      </c>
      <c r="R468" s="243"/>
      <c r="S468" s="266">
        <f t="shared" si="106"/>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f>SUMIFS(BV_Data_An_Prec!$AN:$AN,BV_Data_An_Prec!$AP:$AP,$B469,BV_Data_An_Prec!$AQ:$AQ,$C469,BV_Data_An_Prec!$AR:$AR,$L$2)</f>
        <v>0</v>
      </c>
      <c r="R469" s="243"/>
      <c r="S469" s="266">
        <f t="shared" si="106"/>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567.63</v>
      </c>
      <c r="M470" s="238"/>
      <c r="N470" s="286"/>
      <c r="O470" s="238"/>
      <c r="P470" s="304"/>
      <c r="Q470" s="286">
        <f>SUMIFS(BV_Data_An_Prec!$AN:$AN,BV_Data_An_Prec!$AP:$AP,$B470,BV_Data_An_Prec!$AQ:$AQ,$C470,BV_Data_An_Prec!$AR:$AR,$L$2)</f>
        <v>0</v>
      </c>
      <c r="R470" s="238"/>
      <c r="S470" s="286">
        <f t="shared" si="106"/>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f>SUMIFS(BV_Data_An_Prec!$AN:$AN,BV_Data_An_Prec!$AP:$AP,$B471,BV_Data_An_Prec!$AQ:$AQ,$C471,BV_Data_An_Prec!$AR:$AR,$L$2)</f>
        <v>0</v>
      </c>
      <c r="R471" s="243"/>
      <c r="S471" s="266">
        <f t="shared" si="106"/>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980.04</v>
      </c>
      <c r="M472" s="243"/>
      <c r="N472" s="266"/>
      <c r="O472" s="243"/>
      <c r="P472" s="38"/>
      <c r="Q472" s="266">
        <f>SUMIFS(BV_Data_An_Prec!$AN:$AN,BV_Data_An_Prec!$AP:$AP,$B472,BV_Data_An_Prec!$AQ:$AQ,$C472,BV_Data_An_Prec!$AR:$AR,$L$2)</f>
        <v>0</v>
      </c>
      <c r="R472" s="243"/>
      <c r="S472" s="266">
        <f t="shared" si="106"/>
        <v>980.04</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f>SUMIFS(BV_Data_An_Prec!$AN:$AN,BV_Data_An_Prec!$AP:$AP,$B473,BV_Data_An_Prec!$AQ:$AQ,$C473,BV_Data_An_Prec!$AR:$AR,$L$2)</f>
        <v>0</v>
      </c>
      <c r="R473" s="243"/>
      <c r="S473" s="266">
        <f t="shared" si="106"/>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f>SUMIFS(BV_Data_An_Prec!$AN:$AN,BV_Data_An_Prec!$AP:$AP,$B474,BV_Data_An_Prec!$AQ:$AQ,$C474,BV_Data_An_Prec!$AR:$AR,$L$2)</f>
        <v>0</v>
      </c>
      <c r="R474" s="243"/>
      <c r="S474" s="266">
        <f t="shared" si="106"/>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f>SUMIFS(BV_Data_An_Prec!$AN:$AN,BV_Data_An_Prec!$AP:$AP,$B475,BV_Data_An_Prec!$AQ:$AQ,$C475,BV_Data_An_Prec!$AR:$AR,$L$2)</f>
        <v>0</v>
      </c>
      <c r="R475" s="243"/>
      <c r="S475" s="266">
        <f t="shared" si="106"/>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75</v>
      </c>
      <c r="M476" s="243"/>
      <c r="N476" s="266"/>
      <c r="O476" s="243"/>
      <c r="P476" s="38"/>
      <c r="Q476" s="266">
        <f>SUMIFS(BV_Data_An_Prec!$AN:$AN,BV_Data_An_Prec!$AP:$AP,$B476,BV_Data_An_Prec!$AQ:$AQ,$C476,BV_Data_An_Prec!$AR:$AR,$L$2)</f>
        <v>0</v>
      </c>
      <c r="R476" s="243"/>
      <c r="S476" s="266">
        <f t="shared" si="106"/>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3833.52</v>
      </c>
      <c r="M477" s="243"/>
      <c r="N477" s="266"/>
      <c r="O477" s="243"/>
      <c r="P477" s="38"/>
      <c r="Q477" s="266">
        <f>SUMIFS(BV_Data_An_Prec!$AN:$AN,BV_Data_An_Prec!$AP:$AP,$B477,BV_Data_An_Prec!$AQ:$AQ,$C477,BV_Data_An_Prec!$AR:$AR,$L$2)</f>
        <v>0</v>
      </c>
      <c r="R477" s="243"/>
      <c r="S477" s="266">
        <f t="shared" si="106"/>
        <v>3833.52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f>SUMIFS(BV_Data_An_Prec!$AN:$AN,BV_Data_An_Prec!$AP:$AP,$B478,BV_Data_An_Prec!$AQ:$AQ,$C478,BV_Data_An_Prec!$AR:$AR,$L$2)</f>
        <v>0</v>
      </c>
      <c r="R478" s="243"/>
      <c r="S478" s="266">
        <f t="shared" si="106"/>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f>SUMIFS(BV_Data_An_Prec!$AN:$AN,BV_Data_An_Prec!$AP:$AP,$B479,BV_Data_An_Prec!$AQ:$AQ,$C479,BV_Data_An_Prec!$AR:$AR,$L$2)</f>
        <v>0</v>
      </c>
      <c r="R479" s="243"/>
      <c r="S479" s="266">
        <f t="shared" si="106"/>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f>SUMIFS(BV_Data_An_Prec!$AN:$AN,BV_Data_An_Prec!$AP:$AP,$B480,BV_Data_An_Prec!$AQ:$AQ,$C480,BV_Data_An_Prec!$AR:$AR,$L$2)</f>
        <v>0</v>
      </c>
      <c r="R480" s="243"/>
      <c r="S480" s="266">
        <f t="shared" si="106"/>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f>SUMIFS(BV_Data_An_Prec!$AN:$AN,BV_Data_An_Prec!$AP:$AP,$B481,BV_Data_An_Prec!$AQ:$AQ,$C481,BV_Data_An_Prec!$AR:$AR,$L$2)</f>
        <v>0</v>
      </c>
      <c r="R481" s="238"/>
      <c r="S481" s="286">
        <f t="shared" si="106"/>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8.9748534160389633E-3</v>
      </c>
      <c r="L482" s="294">
        <f>+SUM(L465:L481)</f>
        <v>5536.67</v>
      </c>
      <c r="M482" s="296"/>
      <c r="N482" s="294"/>
      <c r="O482" s="295" t="s">
        <v>115</v>
      </c>
      <c r="P482" s="293">
        <f>IFERROR(Q482/Q$448,0)</f>
        <v>0</v>
      </c>
      <c r="Q482" s="294">
        <f>+SUM(Q465:Q481)</f>
        <v>0</v>
      </c>
      <c r="R482" s="297"/>
      <c r="S482" s="294">
        <f>+SUM(S465:S481)</f>
        <v>5536.67</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0.14297638012359806</v>
      </c>
      <c r="L484" s="294">
        <f>L464+L482</f>
        <v>88203.449999999983</v>
      </c>
      <c r="M484" s="296"/>
      <c r="N484" s="294"/>
      <c r="O484" s="295" t="s">
        <v>115</v>
      </c>
      <c r="P484" s="293">
        <f>IFERROR(Q484/Q$448,0)</f>
        <v>0</v>
      </c>
      <c r="Q484" s="294">
        <f>Q464+Q482</f>
        <v>0</v>
      </c>
      <c r="R484" s="297"/>
      <c r="S484" s="294">
        <f>L484-Q484</f>
        <v>88203.449999999983</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528705.79</v>
      </c>
      <c r="M486" s="958"/>
      <c r="N486" s="956"/>
      <c r="O486" s="957"/>
      <c r="P486" s="955"/>
      <c r="Q486" s="956">
        <f>Q448-Q484</f>
        <v>565981.29999999993</v>
      </c>
      <c r="R486" s="959"/>
      <c r="S486" s="956">
        <f>L486-Q486</f>
        <v>-37275.509999999893</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77"/>
      <c r="Z491" s="1284"/>
      <c r="AA491" s="1276"/>
      <c r="AB491" s="1277"/>
      <c r="AC491" s="1284"/>
      <c r="AD491" s="1276" t="s">
        <v>340</v>
      </c>
      <c r="AE491" s="1277"/>
      <c r="AF491" s="1284"/>
      <c r="AG491" s="1276" t="s">
        <v>668</v>
      </c>
      <c r="AH491" s="1277"/>
      <c r="AI491" s="1284"/>
      <c r="AJ491" s="1276" t="s">
        <v>593</v>
      </c>
      <c r="AK491" s="1277"/>
      <c r="AL491" s="1277"/>
      <c r="AM491" s="1276" t="s">
        <v>594</v>
      </c>
      <c r="AN491" s="1277"/>
      <c r="AO491" s="127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176571694.06</v>
      </c>
      <c r="AG493" s="384"/>
      <c r="AH493" s="385"/>
      <c r="AI493" s="386"/>
      <c r="AJ493" s="384"/>
      <c r="AK493" s="385"/>
      <c r="AL493" s="383">
        <f>Q5+Q93+Q173+P268+P326+O390+P448</f>
        <v>193759376.34</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3.7953846938359029E-2</v>
      </c>
      <c r="AE494" s="393"/>
      <c r="AF494" s="391">
        <f>L27+L109+L182+L268+L326+L390+L448</f>
        <v>6701575.049999998</v>
      </c>
      <c r="AG494" s="392"/>
      <c r="AH494" s="393" t="e">
        <f>AF494-Z494</f>
        <v>#N/A</v>
      </c>
      <c r="AI494" s="394" t="e">
        <f>AH494/Z494</f>
        <v>#N/A</v>
      </c>
      <c r="AJ494" s="754">
        <f>+AL494/AL493</f>
        <v>4.1509410186616247E-2</v>
      </c>
      <c r="AK494" s="393"/>
      <c r="AL494" s="391">
        <f>Q27+Q109+Q182+Q268+Q326+Q390+Q448</f>
        <v>8042837.4300000072</v>
      </c>
      <c r="AM494" s="395"/>
      <c r="AN494" s="393">
        <f>AF494-AL494</f>
        <v>-1341262.3800000092</v>
      </c>
      <c r="AO494" s="396">
        <f>IF(AL494=0,0,AN494/AL494)</f>
        <v>-0.16676482543300741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1082.4708626198083</v>
      </c>
      <c r="AF496" s="399">
        <f t="shared" ref="AF496:AF505" si="110">+SUMIF($C:$C,$V496,L:L)</f>
        <v>677626.76</v>
      </c>
      <c r="AG496" s="400" t="e">
        <f t="shared" ref="AG496:AG505" si="111">AE496-Y496</f>
        <v>#N/A</v>
      </c>
      <c r="AH496" s="401" t="e">
        <f t="shared" ref="AH496:AH505" si="112">AF496-Z496</f>
        <v>#N/A</v>
      </c>
      <c r="AI496" s="402" t="e">
        <f t="shared" ref="AI496:AI505" si="113">IF(Z496=0,0,AH496/Z496)</f>
        <v>#N/A</v>
      </c>
      <c r="AJ496" s="407"/>
      <c r="AK496" s="401">
        <f>IF(AL496=0,0,AL496/(O$13+O$97))</f>
        <v>924.9072767857142</v>
      </c>
      <c r="AL496" s="399">
        <f>SUMIFS(BV_Data_An_Prec!$AN:$AN,BV_Data_An_Prec!$AQ:$AQ,$V496)</f>
        <v>621537.68999999994</v>
      </c>
      <c r="AM496" s="403">
        <f>AE496-AK496</f>
        <v>157.56358583409406</v>
      </c>
      <c r="AN496" s="401">
        <f>AF496-AL496</f>
        <v>56089.070000000065</v>
      </c>
      <c r="AO496" s="408">
        <f>IF(AL496=0,0,AN496/AL496)</f>
        <v>9.0242427615290832E-2</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0</v>
      </c>
      <c r="AF497" s="383">
        <f t="shared" si="110"/>
        <v>0</v>
      </c>
      <c r="AG497" s="384" t="e">
        <f t="shared" si="111"/>
        <v>#N/A</v>
      </c>
      <c r="AH497" s="385" t="e">
        <f t="shared" si="112"/>
        <v>#N/A</v>
      </c>
      <c r="AI497" s="412" t="e">
        <f t="shared" si="113"/>
        <v>#N/A</v>
      </c>
      <c r="AJ497" s="411"/>
      <c r="AK497" s="385">
        <f t="shared" ref="AK497:AK504" si="115">IF(AL497=0,0,AL497/(O$13+O$97))</f>
        <v>215.27681547619051</v>
      </c>
      <c r="AL497" s="383">
        <f>SUMIFS(BV_Data_An_Prec!$AN:$AN,BV_Data_An_Prec!$AQ:$AQ,$V497)</f>
        <v>144666.02000000002</v>
      </c>
      <c r="AM497" s="991">
        <f t="shared" ref="AM497:AM504" si="116">AE497-AK497</f>
        <v>-215.27681547619051</v>
      </c>
      <c r="AN497" s="385">
        <f t="shared" ref="AN497:AN504" si="117">AF497-AL497</f>
        <v>-144666.02000000002</v>
      </c>
      <c r="AO497" s="388">
        <f t="shared" ref="AO497:AO504" si="118">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436.94110223642161</v>
      </c>
      <c r="AF498" s="399">
        <f t="shared" si="110"/>
        <v>273525.12999999995</v>
      </c>
      <c r="AG498" s="400" t="e">
        <f t="shared" si="111"/>
        <v>#N/A</v>
      </c>
      <c r="AH498" s="401" t="e">
        <f t="shared" si="112"/>
        <v>#N/A</v>
      </c>
      <c r="AI498" s="402" t="e">
        <f t="shared" si="113"/>
        <v>#N/A</v>
      </c>
      <c r="AJ498" s="407"/>
      <c r="AK498" s="401">
        <f t="shared" si="115"/>
        <v>-58.109955357142859</v>
      </c>
      <c r="AL498" s="399">
        <f>SUMIFS(BV_Data_An_Prec!$AN:$AN,BV_Data_An_Prec!$AQ:$AQ,$V498)</f>
        <v>-39049.89</v>
      </c>
      <c r="AM498" s="403">
        <f t="shared" si="116"/>
        <v>495.05105759356445</v>
      </c>
      <c r="AN498" s="401">
        <f t="shared" si="117"/>
        <v>312575.01999999996</v>
      </c>
      <c r="AO498" s="408">
        <f t="shared" si="118"/>
        <v>-8.0045044941227737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35.068897763578271</v>
      </c>
      <c r="AF499" s="399">
        <f t="shared" si="110"/>
        <v>21953.129999999997</v>
      </c>
      <c r="AG499" s="400" t="e">
        <f t="shared" si="111"/>
        <v>#N/A</v>
      </c>
      <c r="AH499" s="401" t="e">
        <f t="shared" si="112"/>
        <v>#N/A</v>
      </c>
      <c r="AI499" s="402" t="e">
        <f t="shared" si="113"/>
        <v>#N/A</v>
      </c>
      <c r="AJ499" s="407"/>
      <c r="AK499" s="401">
        <f t="shared" si="115"/>
        <v>7.8525</v>
      </c>
      <c r="AL499" s="399">
        <f>SUMIFS(BV_Data_An_Prec!$AN:$AN,BV_Data_An_Prec!$AQ:$AQ,$V499)</f>
        <v>5276.88</v>
      </c>
      <c r="AM499" s="403">
        <f t="shared" si="116"/>
        <v>27.216397763578271</v>
      </c>
      <c r="AN499" s="401">
        <f t="shared" si="117"/>
        <v>16676.249999999996</v>
      </c>
      <c r="AO499" s="408">
        <f t="shared" si="118"/>
        <v>3.1602481011506791</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22.090351437699681</v>
      </c>
      <c r="AF500" s="383">
        <f t="shared" si="110"/>
        <v>13828.56</v>
      </c>
      <c r="AG500" s="384" t="e">
        <f t="shared" si="111"/>
        <v>#N/A</v>
      </c>
      <c r="AH500" s="385" t="e">
        <f t="shared" si="112"/>
        <v>#N/A</v>
      </c>
      <c r="AI500" s="412" t="e">
        <f t="shared" si="113"/>
        <v>#N/A</v>
      </c>
      <c r="AJ500" s="411"/>
      <c r="AK500" s="385">
        <f t="shared" si="115"/>
        <v>0</v>
      </c>
      <c r="AL500" s="383">
        <f>SUMIFS(BV_Data_An_Prec!$AN:$AN,BV_Data_An_Prec!$AQ:$AQ,$V500)</f>
        <v>0</v>
      </c>
      <c r="AM500" s="991">
        <f t="shared" si="116"/>
        <v>22.090351437699681</v>
      </c>
      <c r="AN500" s="385">
        <f t="shared" si="117"/>
        <v>13828.56</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-91.414440894568713</v>
      </c>
      <c r="AF501" s="399">
        <f t="shared" si="110"/>
        <v>-57225.440000000017</v>
      </c>
      <c r="AG501" s="400" t="e">
        <f t="shared" si="111"/>
        <v>#N/A</v>
      </c>
      <c r="AH501" s="401" t="e">
        <f t="shared" si="112"/>
        <v>#N/A</v>
      </c>
      <c r="AI501" s="402" t="e">
        <f t="shared" si="113"/>
        <v>#N/A</v>
      </c>
      <c r="AJ501" s="407"/>
      <c r="AK501" s="401">
        <f t="shared" si="115"/>
        <v>-310.67235119047621</v>
      </c>
      <c r="AL501" s="399">
        <f>SUMIFS(BV_Data_An_Prec!$AN:$AN,BV_Data_An_Prec!$AQ:$AQ,$V501)</f>
        <v>-208771.82</v>
      </c>
      <c r="AM501" s="403">
        <f t="shared" si="116"/>
        <v>219.25791029590749</v>
      </c>
      <c r="AN501" s="401">
        <f t="shared" si="117"/>
        <v>151546.38</v>
      </c>
      <c r="AO501" s="408">
        <f t="shared" si="118"/>
        <v>-0.72589480706735232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1413.6935782747605</v>
      </c>
      <c r="AF502" s="399">
        <f t="shared" si="110"/>
        <v>884972.18</v>
      </c>
      <c r="AG502" s="704" t="e">
        <f t="shared" si="111"/>
        <v>#N/A</v>
      </c>
      <c r="AH502" s="659" t="e">
        <f t="shared" si="112"/>
        <v>#N/A</v>
      </c>
      <c r="AI502" s="402" t="e">
        <f t="shared" si="113"/>
        <v>#N/A</v>
      </c>
      <c r="AJ502" s="407"/>
      <c r="AK502" s="401">
        <f t="shared" si="115"/>
        <v>1729.7719791666666</v>
      </c>
      <c r="AL502" s="399">
        <f>SUMIFS(BV_Data_An_Prec!$AN:$AN,BV_Data_An_Prec!$AQ:$AQ,$V502)</f>
        <v>1162406.77</v>
      </c>
      <c r="AM502" s="403">
        <f t="shared" si="116"/>
        <v>-316.07840089190609</v>
      </c>
      <c r="AN502" s="401">
        <f t="shared" si="117"/>
        <v>-277434.58999999997</v>
      </c>
      <c r="AO502" s="408">
        <f t="shared" si="118"/>
        <v>-0.23867255177806643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-2569.0271884984027</v>
      </c>
      <c r="AF503" s="399">
        <f t="shared" si="110"/>
        <v>-1608211.02</v>
      </c>
      <c r="AG503" s="400" t="e">
        <f t="shared" si="111"/>
        <v>#N/A</v>
      </c>
      <c r="AH503" s="401" t="e">
        <f t="shared" si="112"/>
        <v>#N/A</v>
      </c>
      <c r="AI503" s="402" t="e">
        <f t="shared" si="113"/>
        <v>#N/A</v>
      </c>
      <c r="AJ503" s="407"/>
      <c r="AK503" s="401">
        <f t="shared" si="115"/>
        <v>-3330.3660714285716</v>
      </c>
      <c r="AL503" s="399">
        <f>SUMIFS(BV_Data_An_Prec!$AN:$AN,BV_Data_An_Prec!$AQ:$AQ,$V503)</f>
        <v>-2238006</v>
      </c>
      <c r="AM503" s="403">
        <f>AE503-AK503</f>
        <v>761.33888293016889</v>
      </c>
      <c r="AN503" s="401">
        <f t="shared" si="117"/>
        <v>629794.98</v>
      </c>
      <c r="AO503" s="408">
        <f t="shared" si="118"/>
        <v>-0.28140897745582449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0</v>
      </c>
      <c r="AF504" s="399">
        <f t="shared" si="110"/>
        <v>0</v>
      </c>
      <c r="AG504" s="400" t="e">
        <f t="shared" si="111"/>
        <v>#N/A</v>
      </c>
      <c r="AH504" s="401" t="e">
        <f t="shared" si="112"/>
        <v>#N/A</v>
      </c>
      <c r="AI504" s="402" t="e">
        <f t="shared" si="113"/>
        <v>#N/A</v>
      </c>
      <c r="AJ504" s="407"/>
      <c r="AK504" s="401">
        <f t="shared" si="115"/>
        <v>0</v>
      </c>
      <c r="AL504" s="399">
        <f>SUMIFS(BV_Data_An_Prec!$AN:$AN,BV_Data_An_Prec!$AQ:$AQ,$V504)</f>
        <v>0</v>
      </c>
      <c r="AM504" s="403">
        <f t="shared" si="116"/>
        <v>0</v>
      </c>
      <c r="AN504" s="401">
        <f t="shared" si="117"/>
        <v>0</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3.0809070772101533E-2</v>
      </c>
      <c r="AE506" s="419"/>
      <c r="AF506" s="416">
        <f>SUM(AF496:AF505)</f>
        <v>206469.29999999981</v>
      </c>
      <c r="AG506" s="418"/>
      <c r="AH506" s="419" t="e">
        <f t="shared" ref="AH506:AH538" si="124">AF506-Z506</f>
        <v>#N/A</v>
      </c>
      <c r="AI506" s="415" t="e">
        <f>AH506/Z506</f>
        <v>#N/A</v>
      </c>
      <c r="AJ506" s="417">
        <f>IF($AL$494=0,0,AL506/$AL$494)</f>
        <v>-6.8625078500436587E-2</v>
      </c>
      <c r="AK506" s="419"/>
      <c r="AL506" s="416">
        <f>SUM(AL496:AL505)</f>
        <v>-551940.35000000009</v>
      </c>
      <c r="AM506" s="423"/>
      <c r="AN506" s="419">
        <f t="shared" si="122"/>
        <v>758409.64999999991</v>
      </c>
      <c r="AO506" s="396">
        <f t="shared" si="123"/>
        <v>-1.3740790105307572</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110742.12</v>
      </c>
      <c r="AG507" s="400"/>
      <c r="AH507" s="401" t="e">
        <f t="shared" si="124"/>
        <v>#N/A</v>
      </c>
      <c r="AI507" s="402" t="e">
        <f t="shared" ref="AI507:AI519" si="125">IF(Z507=0,0,AH507/Z507)</f>
        <v>#N/A</v>
      </c>
      <c r="AJ507" s="407"/>
      <c r="AK507" s="406"/>
      <c r="AL507" s="399">
        <f>SUMIFS(BV_Data_An_Prec!$AN:$AN,BV_Data_An_Prec!$AQ:$AQ,$V507)</f>
        <v>296318.27</v>
      </c>
      <c r="AM507" s="403"/>
      <c r="AN507" s="401">
        <f t="shared" si="122"/>
        <v>-185576.15000000002</v>
      </c>
      <c r="AO507" s="408">
        <f t="shared" si="123"/>
        <v>-0.62627306105695069</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424826.42</v>
      </c>
      <c r="AG508" s="400"/>
      <c r="AH508" s="401" t="e">
        <f t="shared" si="124"/>
        <v>#N/A</v>
      </c>
      <c r="AI508" s="402" t="e">
        <f t="shared" si="125"/>
        <v>#N/A</v>
      </c>
      <c r="AJ508" s="407"/>
      <c r="AK508" s="406"/>
      <c r="AL508" s="399">
        <f>SUMIFS(BV_Data_An_Prec!$AN:$AN,BV_Data_An_Prec!$AQ:$AQ,$V508)</f>
        <v>779660.48</v>
      </c>
      <c r="AM508" s="403"/>
      <c r="AN508" s="401">
        <f t="shared" si="122"/>
        <v>-354834.06</v>
      </c>
      <c r="AO508" s="408">
        <f t="shared" si="123"/>
        <v>-0.45511356430429822</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531667.94999999995</v>
      </c>
      <c r="AG509" s="384"/>
      <c r="AH509" s="385" t="e">
        <f t="shared" si="124"/>
        <v>#N/A</v>
      </c>
      <c r="AI509" s="412" t="e">
        <f t="shared" si="125"/>
        <v>#N/A</v>
      </c>
      <c r="AJ509" s="411"/>
      <c r="AK509" s="410"/>
      <c r="AL509" s="383">
        <f>SUMIFS(BV_Data_An_Prec!$AN:$AN,BV_Data_An_Prec!$AQ:$AQ,$V509)</f>
        <v>696046.43</v>
      </c>
      <c r="AM509" s="387"/>
      <c r="AN509" s="385">
        <f t="shared" si="122"/>
        <v>-164378.4800000001</v>
      </c>
      <c r="AO509" s="388">
        <f t="shared" si="123"/>
        <v>-0.23616022281731994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322538.11000000004</v>
      </c>
      <c r="AG510" s="400"/>
      <c r="AH510" s="401" t="e">
        <f t="shared" si="124"/>
        <v>#N/A</v>
      </c>
      <c r="AI510" s="402" t="e">
        <f t="shared" si="125"/>
        <v>#N/A</v>
      </c>
      <c r="AJ510" s="407"/>
      <c r="AK510" s="406"/>
      <c r="AL510" s="399">
        <f>SUMIFS(BV_Data_An_Prec!$AN:$AN,BV_Data_An_Prec!$AQ:$AQ,$V510)</f>
        <v>802814.48</v>
      </c>
      <c r="AM510" s="403"/>
      <c r="AN510" s="401">
        <f t="shared" si="122"/>
        <v>-480276.36999999994</v>
      </c>
      <c r="AO510" s="408">
        <f t="shared" si="123"/>
        <v>-0.59824079157117338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46862.14</v>
      </c>
      <c r="AG511" s="400"/>
      <c r="AH511" s="401" t="e">
        <f t="shared" si="124"/>
        <v>#N/A</v>
      </c>
      <c r="AI511" s="402" t="e">
        <f t="shared" si="125"/>
        <v>#N/A</v>
      </c>
      <c r="AJ511" s="407"/>
      <c r="AK511" s="406"/>
      <c r="AL511" s="399">
        <f>SUMIFS(BV_Data_An_Prec!$AN:$AN,BV_Data_An_Prec!$AQ:$AQ,$V511)</f>
        <v>0</v>
      </c>
      <c r="AM511" s="403"/>
      <c r="AN511" s="401">
        <f t="shared" si="122"/>
        <v>46862.14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301208.74</v>
      </c>
      <c r="AG515" s="384"/>
      <c r="AH515" s="385" t="e">
        <f t="shared" si="124"/>
        <v>#N/A</v>
      </c>
      <c r="AI515" s="412" t="e">
        <f t="shared" si="125"/>
        <v>#N/A</v>
      </c>
      <c r="AJ515" s="411"/>
      <c r="AK515" s="410"/>
      <c r="AL515" s="383">
        <f>SUMIFS(BV_Data_An_Prec!$AN:$AN,BV_Data_An_Prec!$AQ:$AQ,$V515)</f>
        <v>339135.72</v>
      </c>
      <c r="AM515" s="387"/>
      <c r="AN515" s="385">
        <f t="shared" si="122"/>
        <v>-37926.979999999981</v>
      </c>
      <c r="AO515" s="388">
        <f t="shared" si="123"/>
        <v>-0.11183422377330228</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447887.42999999993</v>
      </c>
      <c r="AG516" s="400"/>
      <c r="AH516" s="401" t="e">
        <f t="shared" si="124"/>
        <v>#N/A</v>
      </c>
      <c r="AI516" s="402" t="e">
        <f t="shared" si="125"/>
        <v>#N/A</v>
      </c>
      <c r="AJ516" s="407"/>
      <c r="AK516" s="406"/>
      <c r="AL516" s="399">
        <f>SUMIFS(BV_Data_An_Prec!$AN:$AN,BV_Data_An_Prec!$AQ:$AQ,$V516)</f>
        <v>447220.73</v>
      </c>
      <c r="AM516" s="403"/>
      <c r="AN516" s="401">
        <f t="shared" si="122"/>
        <v>666.69999999995343</v>
      </c>
      <c r="AO516" s="408">
        <f t="shared" si="123"/>
        <v>1.4907627381225228E-3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139382.74</v>
      </c>
      <c r="AG517" s="400"/>
      <c r="AH517" s="401" t="e">
        <f t="shared" si="124"/>
        <v>#N/A</v>
      </c>
      <c r="AI517" s="402" t="e">
        <f t="shared" si="125"/>
        <v>#N/A</v>
      </c>
      <c r="AJ517" s="407"/>
      <c r="AK517" s="406"/>
      <c r="AL517" s="399">
        <f>SUMIFS(BV_Data_An_Prec!$AN:$AN,BV_Data_An_Prec!$AQ:$AQ,$V517)</f>
        <v>214406.84999999998</v>
      </c>
      <c r="AM517" s="403"/>
      <c r="AN517" s="401">
        <f t="shared" si="122"/>
        <v>-75024.109999999986</v>
      </c>
      <c r="AO517" s="408">
        <f t="shared" si="123"/>
        <v>-0.34991470654972073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92798.569999999992</v>
      </c>
      <c r="AG518" s="400"/>
      <c r="AH518" s="401" t="e">
        <f t="shared" si="124"/>
        <v>#N/A</v>
      </c>
      <c r="AI518" s="420" t="e">
        <f t="shared" si="125"/>
        <v>#N/A</v>
      </c>
      <c r="AJ518" s="407"/>
      <c r="AK518" s="406"/>
      <c r="AL518" s="399">
        <f>SUMIFS(BV_Data_An_Prec!$AN:$AN,BV_Data_An_Prec!$AQ:$AQ,$V518)</f>
        <v>12326.739999999998</v>
      </c>
      <c r="AM518" s="403"/>
      <c r="AN518" s="401">
        <f t="shared" si="122"/>
        <v>80471.829999999987</v>
      </c>
      <c r="AO518" s="408">
        <f t="shared" si="123"/>
        <v>6.5282329310101455</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0.36079790227821157</v>
      </c>
      <c r="AE520" s="421"/>
      <c r="AF520" s="416">
        <f>SUM(AF507:AF519)</f>
        <v>2417914.2200000002</v>
      </c>
      <c r="AG520" s="418"/>
      <c r="AH520" s="419" t="e">
        <f t="shared" si="124"/>
        <v>#N/A</v>
      </c>
      <c r="AI520" s="415" t="e">
        <f>AH520/Z520</f>
        <v>#N/A</v>
      </c>
      <c r="AJ520" s="417">
        <f>IF($AL$494=0,0,AL520/$AL$494)</f>
        <v>0.44610247704583988</v>
      </c>
      <c r="AK520" s="421"/>
      <c r="AL520" s="416">
        <f>SUM(AL507:AL519)</f>
        <v>3587929.7</v>
      </c>
      <c r="AM520" s="423"/>
      <c r="AN520" s="419">
        <f t="shared" si="122"/>
        <v>-1170015.48</v>
      </c>
      <c r="AO520" s="396">
        <f t="shared" si="123"/>
        <v>-0.32609766016318548</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40862.75</v>
      </c>
      <c r="AG521" s="427"/>
      <c r="AH521" s="429" t="e">
        <f t="shared" si="124"/>
        <v>#N/A</v>
      </c>
      <c r="AI521" s="430" t="e">
        <f t="shared" ref="AI521:AI538" si="129">IF(Z521=0,0,AH521/Z521)</f>
        <v>#N/A</v>
      </c>
      <c r="AJ521" s="427"/>
      <c r="AK521" s="428"/>
      <c r="AL521" s="426">
        <f>SUMIFS(BV_Data_An_Prec!$AN:$AN,BV_Data_An_Prec!$AQ:$AQ,$V521)</f>
        <v>33290.089999999997</v>
      </c>
      <c r="AM521" s="431"/>
      <c r="AN521" s="429">
        <f t="shared" si="122"/>
        <v>7572.6600000000035</v>
      </c>
      <c r="AO521" s="404">
        <f t="shared" si="123"/>
        <v>0.22747490319191099</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42507.29</v>
      </c>
      <c r="AG522" s="400"/>
      <c r="AH522" s="401" t="e">
        <f t="shared" si="124"/>
        <v>#N/A</v>
      </c>
      <c r="AI522" s="402" t="e">
        <f t="shared" si="129"/>
        <v>#N/A</v>
      </c>
      <c r="AJ522" s="407"/>
      <c r="AK522" s="406"/>
      <c r="AL522" s="399">
        <f>SUMIFS(BV_Data_An_Prec!$AN:$AN,BV_Data_An_Prec!$AQ:$AQ,$V522)</f>
        <v>34240.81</v>
      </c>
      <c r="AM522" s="403"/>
      <c r="AN522" s="401">
        <f t="shared" si="122"/>
        <v>8266.4800000000032</v>
      </c>
      <c r="AO522" s="408">
        <f t="shared" si="123"/>
        <v>0.24142185888710005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208471.69999999998</v>
      </c>
      <c r="AG523" s="384"/>
      <c r="AH523" s="385" t="e">
        <f t="shared" si="124"/>
        <v>#N/A</v>
      </c>
      <c r="AI523" s="412" t="e">
        <f t="shared" si="129"/>
        <v>#N/A</v>
      </c>
      <c r="AJ523" s="411"/>
      <c r="AK523" s="410"/>
      <c r="AL523" s="383">
        <f>SUMIFS(BV_Data_An_Prec!$AN:$AN,BV_Data_An_Prec!$AQ:$AQ,$V523)</f>
        <v>92659.839999999997</v>
      </c>
      <c r="AM523" s="387"/>
      <c r="AN523" s="385">
        <f t="shared" si="122"/>
        <v>115811.85999999999</v>
      </c>
      <c r="AO523" s="388">
        <f t="shared" si="123"/>
        <v>1.2498603494243028</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108244.56</v>
      </c>
      <c r="AG524" s="400"/>
      <c r="AH524" s="401" t="e">
        <f t="shared" si="124"/>
        <v>#N/A</v>
      </c>
      <c r="AI524" s="402" t="e">
        <f t="shared" si="129"/>
        <v>#N/A</v>
      </c>
      <c r="AJ524" s="407"/>
      <c r="AK524" s="406"/>
      <c r="AL524" s="399">
        <f>SUMIFS(BV_Data_An_Prec!$AN:$AN,BV_Data_An_Prec!$AQ:$AQ,$V524)</f>
        <v>108807.35999999999</v>
      </c>
      <c r="AM524" s="403"/>
      <c r="AN524" s="401">
        <f t="shared" si="122"/>
        <v>-562.79999999998836</v>
      </c>
      <c r="AO524" s="408">
        <f t="shared" si="123"/>
        <v>-5.1724442170087434E-3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77126.28</v>
      </c>
      <c r="AG525" s="400"/>
      <c r="AH525" s="401" t="e">
        <f t="shared" si="124"/>
        <v>#N/A</v>
      </c>
      <c r="AI525" s="402" t="e">
        <f t="shared" si="129"/>
        <v>#N/A</v>
      </c>
      <c r="AJ525" s="407"/>
      <c r="AK525" s="406"/>
      <c r="AL525" s="399">
        <f>SUMIFS(BV_Data_An_Prec!$AN:$AN,BV_Data_An_Prec!$AQ:$AQ,$V525)</f>
        <v>118664.27</v>
      </c>
      <c r="AM525" s="403"/>
      <c r="AN525" s="401">
        <f t="shared" si="122"/>
        <v>-41537.990000000005</v>
      </c>
      <c r="AO525" s="408">
        <f t="shared" si="123"/>
        <v>-0.35004631132859121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250100.19</v>
      </c>
      <c r="AG526" s="400"/>
      <c r="AH526" s="401" t="e">
        <f t="shared" si="124"/>
        <v>#N/A</v>
      </c>
      <c r="AI526" s="402" t="e">
        <f t="shared" si="129"/>
        <v>#N/A</v>
      </c>
      <c r="AJ526" s="407"/>
      <c r="AK526" s="406"/>
      <c r="AL526" s="399">
        <f>SUMIFS(BV_Data_An_Prec!$AN:$AN,BV_Data_An_Prec!$AQ:$AQ,$V526)</f>
        <v>279042.25</v>
      </c>
      <c r="AM526" s="403"/>
      <c r="AN526" s="401">
        <f t="shared" si="122"/>
        <v>-28942.059999999998</v>
      </c>
      <c r="AO526" s="408">
        <f t="shared" si="123"/>
        <v>-0.1037192754860599</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143655.32</v>
      </c>
      <c r="AG528" s="400"/>
      <c r="AH528" s="401" t="e">
        <f t="shared" si="124"/>
        <v>#N/A</v>
      </c>
      <c r="AI528" s="402" t="e">
        <f t="shared" si="129"/>
        <v>#N/A</v>
      </c>
      <c r="AJ528" s="407"/>
      <c r="AK528" s="406"/>
      <c r="AL528" s="399">
        <f>SUMIFS(BV_Data_An_Prec!$AN:$AN,BV_Data_An_Prec!$AQ:$AQ,$V528)</f>
        <v>79462.27</v>
      </c>
      <c r="AM528" s="403"/>
      <c r="AN528" s="401">
        <f t="shared" si="122"/>
        <v>64193.05</v>
      </c>
      <c r="AO528" s="408">
        <f t="shared" si="123"/>
        <v>0.80784314367057475</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4869.74</v>
      </c>
      <c r="AG529" s="400"/>
      <c r="AH529" s="401" t="e">
        <f t="shared" si="124"/>
        <v>#N/A</v>
      </c>
      <c r="AI529" s="420" t="e">
        <f t="shared" si="129"/>
        <v>#N/A</v>
      </c>
      <c r="AJ529" s="407"/>
      <c r="AK529" s="406"/>
      <c r="AL529" s="399">
        <f>SUMIFS(BV_Data_An_Prec!$AN:$AN,BV_Data_An_Prec!$AQ:$AQ,$V529)</f>
        <v>0</v>
      </c>
      <c r="AM529" s="403"/>
      <c r="AN529" s="401">
        <f t="shared" si="122"/>
        <v>4869.74</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43542.239999999998</v>
      </c>
      <c r="AG530" s="400"/>
      <c r="AH530" s="401" t="e">
        <f t="shared" si="124"/>
        <v>#N/A</v>
      </c>
      <c r="AI530" s="402" t="e">
        <f t="shared" si="129"/>
        <v>#N/A</v>
      </c>
      <c r="AJ530" s="407"/>
      <c r="AK530" s="406"/>
      <c r="AL530" s="399">
        <f>SUMIFS(BV_Data_An_Prec!$AN:$AN,BV_Data_An_Prec!$AQ:$AQ,$V530)</f>
        <v>48402.639999999992</v>
      </c>
      <c r="AM530" s="403"/>
      <c r="AN530" s="401">
        <f t="shared" si="122"/>
        <v>-4860.3999999999942</v>
      </c>
      <c r="AO530" s="408">
        <f t="shared" si="123"/>
        <v>-0.10041601036637661</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17341.300000000003</v>
      </c>
      <c r="AG531" s="400"/>
      <c r="AH531" s="401" t="e">
        <f t="shared" si="124"/>
        <v>#N/A</v>
      </c>
      <c r="AI531" s="420" t="e">
        <f t="shared" si="129"/>
        <v>#N/A</v>
      </c>
      <c r="AJ531" s="407"/>
      <c r="AK531" s="406"/>
      <c r="AL531" s="399">
        <f>SUMIFS(BV_Data_An_Prec!$AN:$AN,BV_Data_An_Prec!$AQ:$AQ,$V531)</f>
        <v>29802.04</v>
      </c>
      <c r="AM531" s="403"/>
      <c r="AN531" s="401">
        <f t="shared" si="122"/>
        <v>-12460.739999999998</v>
      </c>
      <c r="AO531" s="408">
        <f t="shared" si="123"/>
        <v>-0.41811701480838215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52071.999999999993</v>
      </c>
      <c r="AG532" s="400"/>
      <c r="AH532" s="401" t="e">
        <f t="shared" si="124"/>
        <v>#N/A</v>
      </c>
      <c r="AI532" s="402" t="e">
        <f t="shared" si="129"/>
        <v>#N/A</v>
      </c>
      <c r="AJ532" s="407"/>
      <c r="AK532" s="406"/>
      <c r="AL532" s="399">
        <f>SUMIFS(BV_Data_An_Prec!$AN:$AN,BV_Data_An_Prec!$AQ:$AQ,$V532)</f>
        <v>37990.26</v>
      </c>
      <c r="AM532" s="403"/>
      <c r="AN532" s="401">
        <f t="shared" si="122"/>
        <v>14081.739999999991</v>
      </c>
      <c r="AO532" s="408">
        <f t="shared" si="123"/>
        <v>0.37066711309688299</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90555.260000000024</v>
      </c>
      <c r="AG533" s="400"/>
      <c r="AH533" s="401" t="e">
        <f t="shared" si="124"/>
        <v>#N/A</v>
      </c>
      <c r="AI533" s="420" t="e">
        <f t="shared" si="129"/>
        <v>#N/A</v>
      </c>
      <c r="AJ533" s="407"/>
      <c r="AK533" s="406"/>
      <c r="AL533" s="399">
        <f>SUMIFS(BV_Data_An_Prec!$AN:$AN,BV_Data_An_Prec!$AQ:$AQ,$V533)</f>
        <v>92180.34</v>
      </c>
      <c r="AM533" s="403"/>
      <c r="AN533" s="401">
        <f t="shared" si="122"/>
        <v>-1625.0799999999726</v>
      </c>
      <c r="AO533" s="408">
        <f t="shared" si="123"/>
        <v>-1.7629355673888517E-2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40082.399999999994</v>
      </c>
      <c r="AG534" s="400"/>
      <c r="AH534" s="401" t="e">
        <f t="shared" si="124"/>
        <v>#N/A</v>
      </c>
      <c r="AI534" s="402" t="e">
        <f t="shared" si="129"/>
        <v>#N/A</v>
      </c>
      <c r="AJ534" s="407"/>
      <c r="AK534" s="406"/>
      <c r="AL534" s="399">
        <f>SUMIFS(BV_Data_An_Prec!$AN:$AN,BV_Data_An_Prec!$AQ:$AQ,$V534)</f>
        <v>38859.51</v>
      </c>
      <c r="AM534" s="403"/>
      <c r="AN534" s="401">
        <f t="shared" si="122"/>
        <v>1222.8899999999921</v>
      </c>
      <c r="AO534" s="408">
        <f t="shared" si="123"/>
        <v>3.1469516728337338E-2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46355.03</v>
      </c>
      <c r="AG535" s="400"/>
      <c r="AH535" s="659" t="e">
        <f t="shared" si="124"/>
        <v>#N/A</v>
      </c>
      <c r="AI535" s="402" t="e">
        <f t="shared" si="129"/>
        <v>#N/A</v>
      </c>
      <c r="AJ535" s="407"/>
      <c r="AK535" s="406"/>
      <c r="AL535" s="399">
        <f>SUMIFS(BV_Data_An_Prec!$AN:$AN,BV_Data_An_Prec!$AQ:$AQ,$V535)</f>
        <v>12754.820000000002</v>
      </c>
      <c r="AM535" s="403"/>
      <c r="AN535" s="401">
        <f t="shared" si="122"/>
        <v>33600.21</v>
      </c>
      <c r="AO535" s="408">
        <f t="shared" si="123"/>
        <v>2.6343147139669547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14149.36</v>
      </c>
      <c r="AG536" s="400"/>
      <c r="AH536" s="401" t="e">
        <f t="shared" si="124"/>
        <v>#N/A</v>
      </c>
      <c r="AI536" s="402" t="e">
        <f t="shared" si="129"/>
        <v>#N/A</v>
      </c>
      <c r="AJ536" s="407"/>
      <c r="AK536" s="406"/>
      <c r="AL536" s="399"/>
      <c r="AM536" s="403"/>
      <c r="AN536" s="401">
        <f t="shared" si="122"/>
        <v>14149.36</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0.176068373657921</v>
      </c>
      <c r="AE539" s="414"/>
      <c r="AF539" s="416">
        <f>+SUM(AF521:AF538)</f>
        <v>1179935.4200000002</v>
      </c>
      <c r="AG539" s="422"/>
      <c r="AH539" s="435" t="e">
        <f>+SUM(AH521:AH538)</f>
        <v>#N/A</v>
      </c>
      <c r="AI539" s="415" t="e">
        <f>AH539/Z539</f>
        <v>#N/A</v>
      </c>
      <c r="AJ539" s="417">
        <f>IF($AL$494=0,0,AL539/$AL$494)</f>
        <v>0.12509969382782851</v>
      </c>
      <c r="AK539" s="414"/>
      <c r="AL539" s="416">
        <f>+SUM(AL521:AL538)</f>
        <v>1006156.5</v>
      </c>
      <c r="AM539" s="423"/>
      <c r="AN539" s="419">
        <f t="shared" si="122"/>
        <v>173778.92000000016</v>
      </c>
      <c r="AO539" s="436">
        <f t="shared" si="123"/>
        <v>0.17271559643057532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764611.66999999993</v>
      </c>
      <c r="AG540" s="400"/>
      <c r="AH540" s="401" t="e">
        <f t="shared" ref="AH540:AH548" si="132">AF540-Z540</f>
        <v>#N/A</v>
      </c>
      <c r="AI540" s="402" t="e">
        <f t="shared" ref="AI540:AI548" si="133">IF(Z540=0,0,AH540/Z540)</f>
        <v>#N/A</v>
      </c>
      <c r="AJ540" s="407"/>
      <c r="AK540" s="406"/>
      <c r="AL540" s="399">
        <f>SUMIFS(BV_Data_An_Prec!$AN:$AN,BV_Data_An_Prec!$AQ:$AQ,$V540)</f>
        <v>988573.1399999999</v>
      </c>
      <c r="AM540" s="403"/>
      <c r="AN540" s="401">
        <f t="shared" si="122"/>
        <v>-223961.46999999997</v>
      </c>
      <c r="AO540" s="408">
        <f t="shared" si="123"/>
        <v>-0.22655022773529937</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75161.67</v>
      </c>
      <c r="AG541" s="400"/>
      <c r="AH541" s="401" t="e">
        <f t="shared" si="132"/>
        <v>#N/A</v>
      </c>
      <c r="AI541" s="402" t="e">
        <f t="shared" si="133"/>
        <v>#N/A</v>
      </c>
      <c r="AJ541" s="407"/>
      <c r="AK541" s="406"/>
      <c r="AL541" s="399">
        <f>SUMIFS(BV_Data_An_Prec!$AN:$AN,BV_Data_An_Prec!$AQ:$AQ,$V541)</f>
        <v>83982</v>
      </c>
      <c r="AM541" s="403"/>
      <c r="AN541" s="401">
        <f t="shared" si="122"/>
        <v>-8820.3300000000017</v>
      </c>
      <c r="AO541" s="408">
        <f t="shared" si="123"/>
        <v>-0.10502643423590771</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118365.66</v>
      </c>
      <c r="AG542" s="384"/>
      <c r="AH542" s="385" t="e">
        <f t="shared" si="132"/>
        <v>#N/A</v>
      </c>
      <c r="AI542" s="412" t="e">
        <f t="shared" si="133"/>
        <v>#N/A</v>
      </c>
      <c r="AJ542" s="411"/>
      <c r="AK542" s="410"/>
      <c r="AL542" s="383">
        <f>SUMIFS(BV_Data_An_Prec!$AN:$AN,BV_Data_An_Prec!$AQ:$AQ,$V542)</f>
        <v>99907.51999999999</v>
      </c>
      <c r="AM542" s="387"/>
      <c r="AN542" s="385">
        <f t="shared" si="122"/>
        <v>18458.140000000014</v>
      </c>
      <c r="AO542" s="388">
        <f t="shared" si="123"/>
        <v>0.18475225888902072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63885.51</v>
      </c>
      <c r="AG544" s="384"/>
      <c r="AH544" s="385" t="e">
        <f t="shared" si="132"/>
        <v>#N/A</v>
      </c>
      <c r="AI544" s="412" t="e">
        <f t="shared" si="133"/>
        <v>#N/A</v>
      </c>
      <c r="AJ544" s="411"/>
      <c r="AK544" s="410"/>
      <c r="AL544" s="383">
        <f>SUMIFS(BV_Data_An_Prec!$AN:$AN,BV_Data_An_Prec!$AQ:$AQ,$V544)</f>
        <v>117662.49</v>
      </c>
      <c r="AM544" s="387"/>
      <c r="AN544" s="385">
        <f t="shared" si="122"/>
        <v>-53776.98</v>
      </c>
      <c r="AO544" s="388">
        <f t="shared" si="123"/>
        <v>-0.45704438177366469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99900</v>
      </c>
      <c r="AG545" s="400"/>
      <c r="AH545" s="401" t="e">
        <f t="shared" si="132"/>
        <v>#N/A</v>
      </c>
      <c r="AI545" s="402" t="e">
        <f t="shared" si="133"/>
        <v>#N/A</v>
      </c>
      <c r="AJ545" s="407"/>
      <c r="AK545" s="406"/>
      <c r="AL545" s="399">
        <f>SUMIFS(BV_Data_An_Prec!$AN:$AN,BV_Data_An_Prec!$AQ:$AQ,$V545)</f>
        <v>80027.17</v>
      </c>
      <c r="AM545" s="403"/>
      <c r="AN545" s="401">
        <f t="shared" si="122"/>
        <v>19872.830000000002</v>
      </c>
      <c r="AO545" s="408">
        <f t="shared" si="123"/>
        <v>0.24832603726959235</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45532.180000000008</v>
      </c>
      <c r="AG546" s="400"/>
      <c r="AH546" s="401" t="e">
        <f t="shared" si="132"/>
        <v>#N/A</v>
      </c>
      <c r="AI546" s="402" t="e">
        <f t="shared" si="133"/>
        <v>#N/A</v>
      </c>
      <c r="AJ546" s="407"/>
      <c r="AK546" s="406"/>
      <c r="AL546" s="399">
        <f>SUMIFS(BV_Data_An_Prec!$AN:$AN,BV_Data_An_Prec!$AQ:$AQ,$V546)</f>
        <v>28397.3</v>
      </c>
      <c r="AM546" s="403"/>
      <c r="AN546" s="401">
        <f t="shared" si="122"/>
        <v>17134.880000000008</v>
      </c>
      <c r="AO546" s="408">
        <f t="shared" si="123"/>
        <v>0.60339821039324193</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36322.15</v>
      </c>
      <c r="AG547" s="384"/>
      <c r="AH547" s="385" t="e">
        <f t="shared" si="132"/>
        <v>#N/A</v>
      </c>
      <c r="AI547" s="412" t="e">
        <f t="shared" si="133"/>
        <v>#N/A</v>
      </c>
      <c r="AJ547" s="411"/>
      <c r="AK547" s="410"/>
      <c r="AL547" s="383">
        <f>SUMIFS(BV_Data_An_Prec!$AN:$AN,BV_Data_An_Prec!$AQ:$AQ,$V547)</f>
        <v>53223.010000000009</v>
      </c>
      <c r="AM547" s="387"/>
      <c r="AN547" s="385">
        <f t="shared" si="122"/>
        <v>-16900.860000000008</v>
      </c>
      <c r="AO547" s="388">
        <f t="shared" si="123"/>
        <v>-0.31754799287000124</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9058.59</v>
      </c>
      <c r="AG548" s="400"/>
      <c r="AH548" s="401" t="e">
        <f t="shared" si="132"/>
        <v>#N/A</v>
      </c>
      <c r="AI548" s="439" t="e">
        <f t="shared" si="133"/>
        <v>#N/A</v>
      </c>
      <c r="AJ548" s="407"/>
      <c r="AK548" s="406"/>
      <c r="AL548" s="399">
        <f>SUMIFS(BV_Data_An_Prec!$AN:$AN,BV_Data_An_Prec!$AQ:$AQ,$V548)</f>
        <v>7573.6800000000012</v>
      </c>
      <c r="AM548" s="403"/>
      <c r="AN548" s="401">
        <f t="shared" si="122"/>
        <v>1484.9099999999989</v>
      </c>
      <c r="AO548" s="408">
        <f t="shared" si="123"/>
        <v>0.19606188801216828</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0.18097796726159179</v>
      </c>
      <c r="AE553" s="414"/>
      <c r="AF553" s="416">
        <f>SUM(AF540:AF552)</f>
        <v>1212837.43</v>
      </c>
      <c r="AG553" s="422"/>
      <c r="AH553" s="435" t="e">
        <f>SUM(AH540:AH552)</f>
        <v>#N/A</v>
      </c>
      <c r="AI553" s="415" t="e">
        <f>IF(Z553=0,0,AH553/Z553)</f>
        <v>#N/A</v>
      </c>
      <c r="AJ553" s="417">
        <f>IF($AL$494=0,0,AL553/$AL$494)</f>
        <v>0.18144669996145857</v>
      </c>
      <c r="AK553" s="414"/>
      <c r="AL553" s="416">
        <f>SUM(AL540:AL552)</f>
        <v>1459346.3099999998</v>
      </c>
      <c r="AM553" s="423"/>
      <c r="AN553" s="419">
        <f t="shared" si="122"/>
        <v>-246508.87999999989</v>
      </c>
      <c r="AO553" s="436">
        <f t="shared" si="123"/>
        <v>-0.16891732847154006</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0.74865331396982593</v>
      </c>
      <c r="AE555" s="414"/>
      <c r="AF555" s="416">
        <f>AF506+AF520+AF539+AF553</f>
        <v>5017156.37</v>
      </c>
      <c r="AG555" s="422"/>
      <c r="AH555" s="435" t="e">
        <f t="shared" si="134"/>
        <v>#N/A</v>
      </c>
      <c r="AI555" s="415" t="e">
        <f>AH555/Z555</f>
        <v>#N/A</v>
      </c>
      <c r="AJ555" s="417">
        <f>IF($AL$494=0,0,AL555/$AL$494)</f>
        <v>0.68402379233469046</v>
      </c>
      <c r="AK555" s="414"/>
      <c r="AL555" s="416">
        <f>AL506+AL520+AL539+AL553</f>
        <v>5501492.1600000001</v>
      </c>
      <c r="AM555" s="423"/>
      <c r="AN555" s="419">
        <f t="shared" ref="AN555:AN568" si="135">AF555-AL555</f>
        <v>-484335.79000000004</v>
      </c>
      <c r="AO555" s="396">
        <f t="shared" ref="AO555:AO568" si="136">IF(AL555=0,0,AN555/AL555)</f>
        <v>-8.8037168083504105E-2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0</v>
      </c>
      <c r="AG556" s="446"/>
      <c r="AH556" s="401" t="e">
        <f t="shared" si="134"/>
        <v>#N/A</v>
      </c>
      <c r="AI556" s="439" t="e">
        <f>IF(AH556=0,0,AH556/Z556)</f>
        <v>#N/A</v>
      </c>
      <c r="AJ556" s="445"/>
      <c r="AK556" s="444"/>
      <c r="AL556" s="426">
        <f>-SUMIFS(BV_Data_An_Prec!$AN:$AN,BV_Data_An_Prec!$AQ:$AQ,$V556)</f>
        <v>399461.84</v>
      </c>
      <c r="AM556" s="447"/>
      <c r="AN556" s="401">
        <f t="shared" si="135"/>
        <v>-399461.84</v>
      </c>
      <c r="AO556" s="408">
        <f t="shared" si="136"/>
        <v>-1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0</v>
      </c>
      <c r="AG558" s="450"/>
      <c r="AH558" s="401" t="e">
        <f t="shared" si="134"/>
        <v>#N/A</v>
      </c>
      <c r="AI558" s="420" t="e">
        <f t="shared" ref="AI558:AI567" si="139">IF(AH558=0,0,AH558/Z558)</f>
        <v>#N/A</v>
      </c>
      <c r="AJ558" s="451"/>
      <c r="AL558" s="399">
        <f>-SUMIFS(BV_Data_An_Prec!$AN:$AN,BV_Data_An_Prec!$AQ:$AQ,$V558)</f>
        <v>230561.58</v>
      </c>
      <c r="AM558" s="448"/>
      <c r="AN558" s="401">
        <f t="shared" si="135"/>
        <v>-230561.58</v>
      </c>
      <c r="AO558" s="408">
        <f t="shared" si="136"/>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328668.33999999997</v>
      </c>
      <c r="AG567" s="450"/>
      <c r="AH567" s="401" t="e">
        <f t="shared" si="134"/>
        <v>#N/A</v>
      </c>
      <c r="AI567" s="420" t="e">
        <f t="shared" si="139"/>
        <v>#N/A</v>
      </c>
      <c r="AJ567" s="452"/>
      <c r="AK567" s="437"/>
      <c r="AL567" s="399">
        <f>-SUMIFS(BV_Data_An_Prec!$AN:$AN,BV_Data_An_Prec!$AQ:$AQ,$V567)</f>
        <v>0</v>
      </c>
      <c r="AM567" s="448"/>
      <c r="AN567" s="401">
        <f t="shared" si="135"/>
        <v>328668.33999999997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4.9043446883430791E-2</v>
      </c>
      <c r="AE568" s="434"/>
      <c r="AF568" s="416">
        <f>SUM(AF556:AF567)</f>
        <v>328668.33999999997</v>
      </c>
      <c r="AG568" s="422"/>
      <c r="AH568" s="419" t="e">
        <f t="shared" si="134"/>
        <v>#N/A</v>
      </c>
      <c r="AI568" s="415" t="e">
        <f>AH568/Z568</f>
        <v>#N/A</v>
      </c>
      <c r="AJ568" s="415"/>
      <c r="AK568" s="434"/>
      <c r="AL568" s="416">
        <f>SUM(AL556:AL567)</f>
        <v>630023.42000000004</v>
      </c>
      <c r="AM568" s="453"/>
      <c r="AN568" s="419">
        <f t="shared" si="135"/>
        <v>-301355.08000000007</v>
      </c>
      <c r="AO568" s="436">
        <f t="shared" si="136"/>
        <v>-0.47832361533480777</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1.1400961126396283E-2</v>
      </c>
      <c r="AF570" s="468">
        <f>AF494-AF555+AF568</f>
        <v>2013087.0199999977</v>
      </c>
      <c r="AG570" s="470"/>
      <c r="AH570" s="470" t="e">
        <f>AF570-Z570</f>
        <v>#N/A</v>
      </c>
      <c r="AI570" s="471" t="e">
        <f>AH570/Z570</f>
        <v>#N/A</v>
      </c>
      <c r="AJ570" s="466" t="s">
        <v>215</v>
      </c>
      <c r="AK570" s="467">
        <f>IF($AL$493=0,0,AL570/$AL$493)</f>
        <v>1.6367562437004522E-2</v>
      </c>
      <c r="AL570" s="468">
        <f>AL494-AL555+AL568</f>
        <v>3171368.6900000069</v>
      </c>
      <c r="AM570" s="472"/>
      <c r="AN570" s="469">
        <f>AF570-AL570</f>
        <v>-1158281.6700000092</v>
      </c>
      <c r="AO570" s="473">
        <f>IF(AL570=0,0,AN570/AL570)</f>
        <v>-0.36523084611773937</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1.6412931956212767E-2</v>
      </c>
      <c r="AF575" s="752">
        <f>AF576+AF502</f>
        <v>2898059.1999999979</v>
      </c>
      <c r="AG575" s="470"/>
      <c r="AH575" s="470" t="e">
        <f t="shared" ref="AH575" si="140">AF575-Z575</f>
        <v>#N/A</v>
      </c>
      <c r="AI575" s="471" t="e">
        <f>AH575/Z575</f>
        <v>#N/A</v>
      </c>
      <c r="AJ575" s="750" t="s">
        <v>215</v>
      </c>
      <c r="AK575" s="751">
        <f>IF($AL$493=0,0,AL575/$AL$493)</f>
        <v>2.2366790923166978E-2</v>
      </c>
      <c r="AL575" s="752">
        <f>AL576+AL502</f>
        <v>4333775.4600000065</v>
      </c>
      <c r="AM575" s="472"/>
      <c r="AN575" s="752">
        <f t="shared" ref="AN575:AN585" si="141">AF575-AL575</f>
        <v>-1435716.2600000086</v>
      </c>
      <c r="AO575" s="753">
        <f t="shared" ref="AO575:AO585" si="142">IF(AL575=0,0,AN575/AL575)</f>
        <v>-0.33128533613506744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1.1400961126396283E-2</v>
      </c>
      <c r="AF576" s="468">
        <f>AF570</f>
        <v>2013087.0199999977</v>
      </c>
      <c r="AG576" s="469"/>
      <c r="AH576" s="470" t="e">
        <f>AF576-Z576</f>
        <v>#N/A</v>
      </c>
      <c r="AI576" s="471" t="e">
        <f>AH576/Z576</f>
        <v>#N/A</v>
      </c>
      <c r="AJ576" s="466" t="s">
        <v>215</v>
      </c>
      <c r="AK576" s="467">
        <f>IF($AL$493=0,0,AL576/$AL$493)</f>
        <v>1.6367562437004522E-2</v>
      </c>
      <c r="AL576" s="468">
        <f>AL570</f>
        <v>3171368.6900000069</v>
      </c>
      <c r="AM576" s="474"/>
      <c r="AN576" s="475">
        <f t="shared" si="141"/>
        <v>-1158281.6700000092</v>
      </c>
      <c r="AO576" s="476">
        <f t="shared" si="142"/>
        <v>-0.36523084611773937</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97290</v>
      </c>
      <c r="AG578" s="398"/>
      <c r="AH578" s="401" t="e">
        <f t="shared" ref="AH578:AH585" si="143">AF578-Z578</f>
        <v>#N/A</v>
      </c>
      <c r="AI578" s="420" t="e">
        <f t="shared" ref="AI578:AI584" si="144">IF(Z578=0,0,AH578/Z578)</f>
        <v>#N/A</v>
      </c>
      <c r="AJ578" s="398"/>
      <c r="AK578" s="406"/>
      <c r="AL578" s="399">
        <f>SUMIFS(BV_Data_An_Prec!$AN:$AN,BV_Data_An_Prec!$AQ:$AQ,$V578)</f>
        <v>101488.8</v>
      </c>
      <c r="AM578" s="403"/>
      <c r="AN578" s="401">
        <f t="shared" si="141"/>
        <v>-4198.8000000000029</v>
      </c>
      <c r="AO578" s="408">
        <f t="shared" si="142"/>
        <v>-4.1372052876770669E-2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0</v>
      </c>
      <c r="AG580" s="35"/>
      <c r="AH580" s="401" t="e">
        <f t="shared" si="143"/>
        <v>#N/A</v>
      </c>
      <c r="AI580" s="420" t="e">
        <f t="shared" si="144"/>
        <v>#N/A</v>
      </c>
      <c r="AJ580" s="35"/>
      <c r="AK580" s="38"/>
      <c r="AL580" s="399">
        <f>SUMIFS(BV_Data_An_Prec!$AN:$AN,BV_Data_An_Prec!$AQ:$AQ,$V580)</f>
        <v>0</v>
      </c>
      <c r="AM580" s="480"/>
      <c r="AN580" s="401">
        <f t="shared" si="141"/>
        <v>0</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0</v>
      </c>
      <c r="AG583" s="400"/>
      <c r="AH583" s="401" t="e">
        <f t="shared" si="143"/>
        <v>#N/A</v>
      </c>
      <c r="AI583" s="402" t="e">
        <f t="shared" si="144"/>
        <v>#N/A</v>
      </c>
      <c r="AJ583" s="407"/>
      <c r="AK583" s="406"/>
      <c r="AL583" s="399">
        <f>SUMIFS(BV_Data_An_Prec!$AN:$AN,BV_Data_An_Prec!$AQ:$AQ,$V583)</f>
        <v>0</v>
      </c>
      <c r="AM583" s="480"/>
      <c r="AN583" s="401">
        <f t="shared" si="141"/>
        <v>0</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 t="array" ref="Z584">+INDEX('Budget original'!$A$2:$AO$501,MATCH($A584,'Budget original'!$A$2:$A$501,0),MATCH(F$2,'Budget original'!$A$2:$AO$2,0))</f>
        <v>0</v>
      </c>
      <c r="AA584" s="398"/>
      <c r="AB584" s="398"/>
      <c r="AC584" s="399"/>
      <c r="AD584" s="407"/>
      <c r="AE584" s="406"/>
      <c r="AF584" s="399">
        <f>SUMIFS(BV_Data_An_Cour!$AN:$AN,BV_Data_An_Cour!$AQ:$AQ,$V584)</f>
        <v>0</v>
      </c>
      <c r="AG584" s="400"/>
      <c r="AH584" s="401">
        <f t="shared" si="143"/>
        <v>0</v>
      </c>
      <c r="AI584" s="402">
        <f t="shared" si="144"/>
        <v>0</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1.0849966809227077E-2</v>
      </c>
      <c r="AF585" s="468">
        <f>AF576-AF578-AF579-AF580-AF584-AF583</f>
        <v>1915797.0199999977</v>
      </c>
      <c r="AG585" s="470"/>
      <c r="AH585" s="470" t="e">
        <f t="shared" si="143"/>
        <v>#N/A</v>
      </c>
      <c r="AI585" s="471" t="e">
        <f>AH585/Z585</f>
        <v>#N/A</v>
      </c>
      <c r="AJ585" s="466" t="s">
        <v>215</v>
      </c>
      <c r="AK585" s="467">
        <f>IF($AL$493=0,0,AL585/$AL$493)</f>
        <v>1.5843774623908388E-2</v>
      </c>
      <c r="AL585" s="468">
        <f>AL576-AL578-AL579-AL580-AL584-AL583</f>
        <v>3069879.8900000071</v>
      </c>
      <c r="AM585" s="472"/>
      <c r="AN585" s="469">
        <f t="shared" si="141"/>
        <v>-1154082.8700000094</v>
      </c>
      <c r="AO585" s="482">
        <f t="shared" si="142"/>
        <v>-0.37593746705184833</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1879770.53</v>
      </c>
      <c r="AL589" s="904">
        <v>3069882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36026.489999997662</v>
      </c>
      <c r="AG591" s="35"/>
      <c r="AH591" s="35"/>
      <c r="AI591" s="35"/>
      <c r="AJ591" s="699"/>
      <c r="AK591" s="700"/>
      <c r="AL591" s="657">
        <f>AL585-AL589</f>
        <v>-2.1099999928846955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74" t="s">
        <v>339</v>
      </c>
      <c r="E3" s="1279"/>
      <c r="F3" s="1282"/>
      <c r="G3" s="1273" t="s">
        <v>3204</v>
      </c>
      <c r="H3" s="1279"/>
      <c r="I3" s="1282"/>
      <c r="J3" s="1273" t="s">
        <v>340</v>
      </c>
      <c r="K3" s="1279"/>
      <c r="L3" s="1282"/>
      <c r="M3" s="1273" t="s">
        <v>668</v>
      </c>
      <c r="N3" s="1282"/>
      <c r="O3" s="1274" t="s">
        <v>341</v>
      </c>
      <c r="P3" s="1279"/>
      <c r="Q3" s="1282"/>
      <c r="R3" s="1273" t="s">
        <v>670</v>
      </c>
      <c r="S3" s="1282"/>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4" t="s">
        <v>339</v>
      </c>
      <c r="E91" s="1279"/>
      <c r="F91" s="1282"/>
      <c r="G91" s="1273" t="s">
        <v>3207</v>
      </c>
      <c r="H91" s="1279"/>
      <c r="I91" s="1282"/>
      <c r="J91" s="1273" t="s">
        <v>340</v>
      </c>
      <c r="K91" s="1279"/>
      <c r="L91" s="1282"/>
      <c r="M91" s="1273" t="s">
        <v>668</v>
      </c>
      <c r="N91" s="1282"/>
      <c r="O91" s="1274" t="s">
        <v>341</v>
      </c>
      <c r="P91" s="1279"/>
      <c r="Q91" s="1282"/>
      <c r="R91" s="1273" t="s">
        <v>670</v>
      </c>
      <c r="S91" s="1282"/>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4" t="s">
        <v>339</v>
      </c>
      <c r="E244" s="1279"/>
      <c r="F244" s="1282"/>
      <c r="G244" s="1273" t="s">
        <v>3207</v>
      </c>
      <c r="H244" s="1279"/>
      <c r="I244" s="1282"/>
      <c r="J244" s="1273" t="s">
        <v>340</v>
      </c>
      <c r="K244" s="1279"/>
      <c r="L244" s="1282"/>
      <c r="M244" s="1273" t="s">
        <v>668</v>
      </c>
      <c r="N244" s="1282"/>
      <c r="O244" s="1274" t="s">
        <v>341</v>
      </c>
      <c r="P244" s="1279"/>
      <c r="Q244" s="1282"/>
      <c r="R244" s="1273" t="s">
        <v>670</v>
      </c>
      <c r="S244" s="1282"/>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4" t="s">
        <v>339</v>
      </c>
      <c r="E312" s="1279"/>
      <c r="F312" s="1282"/>
      <c r="G312" s="1273" t="s">
        <v>3207</v>
      </c>
      <c r="H312" s="1279"/>
      <c r="I312" s="1282"/>
      <c r="J312" s="1273" t="s">
        <v>340</v>
      </c>
      <c r="K312" s="1279"/>
      <c r="L312" s="1282"/>
      <c r="M312" s="1273" t="s">
        <v>668</v>
      </c>
      <c r="N312" s="1282"/>
      <c r="O312" s="1274" t="s">
        <v>341</v>
      </c>
      <c r="P312" s="1279"/>
      <c r="Q312" s="1282"/>
      <c r="R312" s="1273" t="s">
        <v>670</v>
      </c>
      <c r="S312" s="1282"/>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4" t="s">
        <v>339</v>
      </c>
      <c r="E369" s="1279"/>
      <c r="F369" s="1282"/>
      <c r="G369" s="1273" t="s">
        <v>3207</v>
      </c>
      <c r="H369" s="1279"/>
      <c r="I369" s="1282"/>
      <c r="J369" s="1273" t="s">
        <v>340</v>
      </c>
      <c r="K369" s="1279"/>
      <c r="L369" s="1282"/>
      <c r="M369" s="1273" t="s">
        <v>668</v>
      </c>
      <c r="N369" s="1282"/>
      <c r="O369" s="1274" t="s">
        <v>341</v>
      </c>
      <c r="P369" s="1279"/>
      <c r="Q369" s="1282"/>
      <c r="R369" s="1273" t="s">
        <v>670</v>
      </c>
      <c r="S369" s="1282"/>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4" t="s">
        <v>339</v>
      </c>
      <c r="E434" s="1279"/>
      <c r="F434" s="1282"/>
      <c r="G434" s="1273"/>
      <c r="H434" s="1279"/>
      <c r="I434" s="1282"/>
      <c r="J434" s="1273" t="s">
        <v>340</v>
      </c>
      <c r="K434" s="1279"/>
      <c r="L434" s="1282"/>
      <c r="M434" s="1273"/>
      <c r="N434" s="1282"/>
      <c r="O434" s="1274" t="s">
        <v>341</v>
      </c>
      <c r="P434" s="1279"/>
      <c r="Q434" s="1282"/>
      <c r="R434" s="1273" t="s">
        <v>342</v>
      </c>
      <c r="S434" s="128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76" t="s">
        <v>3207</v>
      </c>
      <c r="AB491" s="1285"/>
      <c r="AC491" s="1284"/>
      <c r="AD491" s="1276" t="s">
        <v>340</v>
      </c>
      <c r="AE491" s="1285"/>
      <c r="AF491" s="1284"/>
      <c r="AG491" s="1276" t="s">
        <v>668</v>
      </c>
      <c r="AH491" s="1285"/>
      <c r="AI491" s="1284"/>
      <c r="AJ491" s="1276" t="s">
        <v>593</v>
      </c>
      <c r="AK491" s="1285"/>
      <c r="AL491" s="1285"/>
      <c r="AM491" s="1276"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48</v>
      </c>
      <c r="M6" s="659">
        <f>-SUMIFS(BV_Data_An_Cour!$AM:$AM,BV_Data_An_Cour!$AO:$AO,$Y6)</f>
        <v>41634.109999999986</v>
      </c>
      <c r="N6" s="1036">
        <f>IFERROR(O6/M6,0)</f>
        <v>0.70411616820919221</v>
      </c>
      <c r="O6" s="995">
        <f>-SUMIFS(BV_Data_An_Cour!$AM:$AM,BV_Data_An_Cour!$AO:$AO,$Y6)-SUMIFS(BV_Data_An_Cour!$AM:$AM,BV_Data_An_Cour!$AO:$AO,$Z6)</f>
        <v>29315.25</v>
      </c>
      <c r="P6" s="1037">
        <f>IFERROR((M6-E6)/E6,0)</f>
        <v>0</v>
      </c>
      <c r="Q6" s="995">
        <f>O6-G6</f>
        <v>29315.25</v>
      </c>
      <c r="R6" s="994">
        <f>SUMIFS(BV_Data_An_Prec!$AW:$AW,BV_Data_An_Prec!$AO:$AO,$Y6)</f>
        <v>43</v>
      </c>
      <c r="S6" s="659">
        <f>-SUMIFS(BV_Data_An_Prec!$AM:$AM,BV_Data_An_Prec!$AO:$AO,$Y6)</f>
        <v>54442.399999999965</v>
      </c>
      <c r="T6" s="1036">
        <f>IFERROR(U6/S6,0)</f>
        <v>0.61672115850880915</v>
      </c>
      <c r="U6" s="995">
        <f>-SUMIFS(BV_Data_An_Prec!$AM:$AM,BV_Data_An_Prec!$AO:$AO,$Y6)-SUMIFS(BV_Data_An_Prec!$AM:$AM,BV_Data_An_Prec!$AO:$AO,$Z6)</f>
        <v>33575.77999999997</v>
      </c>
      <c r="V6" s="1037">
        <f>IF(R6=0,0,L6/R6)</f>
        <v>1.1162790697674418</v>
      </c>
      <c r="W6" s="995">
        <f>O6-U6</f>
        <v>-4260.5299999999697</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35</v>
      </c>
      <c r="M7" s="659">
        <f>-SUMIFS(BV_Data_An_Cour!$AM:$AM,BV_Data_An_Cour!$AO:$AO,$Y7)</f>
        <v>20483.900000000001</v>
      </c>
      <c r="N7" s="1036">
        <f t="shared" ref="N7:N14" si="0">IFERROR(O7/M7,0)</f>
        <v>0.86110213387099144</v>
      </c>
      <c r="O7" s="995">
        <f>-SUMIFS(BV_Data_An_Cour!$AM:$AM,BV_Data_An_Cour!$AO:$AO,$Y7)-SUMIFS(BV_Data_An_Cour!$AM:$AM,BV_Data_An_Cour!$AO:$AO,$Z7)</f>
        <v>17638.730000000003</v>
      </c>
      <c r="P7" s="1037">
        <f t="shared" ref="P7:P13" si="1">IFERROR((M7-E7)/E7,0)</f>
        <v>0</v>
      </c>
      <c r="Q7" s="995">
        <f t="shared" ref="Q7:Q13" si="2">O7-G7</f>
        <v>17638.730000000003</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17638.730000000003</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8</v>
      </c>
      <c r="M8" s="659">
        <f>-SUMIFS(BV_Data_An_Cour!$AM:$AM,BV_Data_An_Cour!$AO:$AO,$Y8)</f>
        <v>1249.0599999999995</v>
      </c>
      <c r="N8" s="1036">
        <f t="shared" si="0"/>
        <v>0.67312218788528944</v>
      </c>
      <c r="O8" s="995">
        <f>-SUMIFS(BV_Data_An_Cour!$AM:$AM,BV_Data_An_Cour!$AO:$AO,$Y8)-SUMIFS(BV_Data_An_Cour!$AM:$AM,BV_Data_An_Cour!$AO:$AO,$Z8)</f>
        <v>840.7699999999993</v>
      </c>
      <c r="P8" s="1037">
        <f t="shared" si="1"/>
        <v>0</v>
      </c>
      <c r="Q8" s="995">
        <f t="shared" si="2"/>
        <v>840.7699999999993</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840.7699999999993</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39</v>
      </c>
      <c r="M10" s="659">
        <f>-SUMIFS(BV_Data_An_Cour!$AM:$AM,BV_Data_An_Cour!$AO:$AO,$Y10)</f>
        <v>18305.380000000005</v>
      </c>
      <c r="N10" s="1036">
        <f t="shared" si="0"/>
        <v>0.42159135729495906</v>
      </c>
      <c r="O10" s="995">
        <f>-SUMIFS(BV_Data_An_Cour!$AM:$AM,BV_Data_An_Cour!$AO:$AO,$Y10)-SUMIFS(BV_Data_An_Cour!$AM:$AM,BV_Data_An_Cour!$AO:$AO,$Z10)</f>
        <v>7717.3899999999994</v>
      </c>
      <c r="P10" s="1037">
        <f t="shared" si="1"/>
        <v>0</v>
      </c>
      <c r="Q10" s="995">
        <f t="shared" si="2"/>
        <v>7717.3899999999994</v>
      </c>
      <c r="R10" s="993">
        <f>SUMIFS(BV_Data_An_Prec!$AW:$AW,BV_Data_An_Prec!$AO:$AO,$Y10)</f>
        <v>51</v>
      </c>
      <c r="S10" s="1035">
        <f>-SUMIFS(BV_Data_An_Prec!$AM:$AM,BV_Data_An_Prec!$AO:$AO,$Y10)</f>
        <v>21348.910000000003</v>
      </c>
      <c r="T10" s="1036">
        <f t="shared" si="3"/>
        <v>0.71729657392344648</v>
      </c>
      <c r="U10" s="996">
        <f>-SUMIFS(BV_Data_An_Prec!$AM:$AM,BV_Data_An_Prec!$AO:$AO,$Y10)-SUMIFS(BV_Data_An_Prec!$AM:$AM,BV_Data_An_Prec!$AO:$AO,$Z10)</f>
        <v>15313.500000000007</v>
      </c>
      <c r="V10" s="1037">
        <f t="shared" si="4"/>
        <v>0.76470588235294112</v>
      </c>
      <c r="W10" s="995">
        <f t="shared" si="5"/>
        <v>-7596.1100000000079</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48</v>
      </c>
      <c r="M11" s="659">
        <f>-SUMIFS(BV_Data_An_Cour!$AM:$AM,BV_Data_An_Cour!$AO:$AO,$Y11)</f>
        <v>10109.61</v>
      </c>
      <c r="N11" s="1036">
        <f t="shared" si="0"/>
        <v>0.24614104797316605</v>
      </c>
      <c r="O11" s="995">
        <f>-SUMIFS(BV_Data_An_Cour!$AM:$AM,BV_Data_An_Cour!$AO:$AO,$Y11)-SUMIFS(BV_Data_An_Cour!$AM:$AM,BV_Data_An_Cour!$AO:$AO,$Z11)</f>
        <v>2488.3899999999994</v>
      </c>
      <c r="P11" s="1037">
        <f t="shared" si="1"/>
        <v>0</v>
      </c>
      <c r="Q11" s="995">
        <f t="shared" si="2"/>
        <v>2488.3899999999994</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2488.3899999999994</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38</v>
      </c>
      <c r="M12" s="659">
        <f>-SUMIFS(BV_Data_An_Cour!$AM:$AM,BV_Data_An_Cour!$AO:$AO,$Y12)</f>
        <v>60811.610000000044</v>
      </c>
      <c r="N12" s="1036">
        <f t="shared" si="0"/>
        <v>0.18534487082318635</v>
      </c>
      <c r="O12" s="995">
        <f>-SUMIFS(BV_Data_An_Cour!$AM:$AM,BV_Data_An_Cour!$AO:$AO,$Y12)-SUMIFS(BV_Data_An_Cour!$AM:$AM,BV_Data_An_Cour!$AO:$AO,$Z12)</f>
        <v>11271.119999999995</v>
      </c>
      <c r="P12" s="1037">
        <f t="shared" si="1"/>
        <v>0</v>
      </c>
      <c r="Q12" s="995">
        <f t="shared" si="2"/>
        <v>11271.119999999995</v>
      </c>
      <c r="R12" s="993">
        <f>SUMIFS(BV_Data_An_Prec!$AW:$AW,BV_Data_An_Prec!$AO:$AO,$Y12)</f>
        <v>44</v>
      </c>
      <c r="S12" s="1035">
        <f>-SUMIFS(BV_Data_An_Prec!$AM:$AM,BV_Data_An_Prec!$AO:$AO,$Y12)</f>
        <v>87065.469999999972</v>
      </c>
      <c r="T12" s="1036">
        <f t="shared" si="3"/>
        <v>0.23182072065998111</v>
      </c>
      <c r="U12" s="996">
        <f>-SUMIFS(BV_Data_An_Prec!$AM:$AM,BV_Data_An_Prec!$AO:$AO,$Y12)-SUMIFS(BV_Data_An_Prec!$AM:$AM,BV_Data_An_Prec!$AO:$AO,$Z12)</f>
        <v>20183.579999999958</v>
      </c>
      <c r="V12" s="1037">
        <f t="shared" si="4"/>
        <v>0.86363636363636365</v>
      </c>
      <c r="W12" s="995">
        <f t="shared" si="5"/>
        <v>-8912.4599999999627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152593.67000000004</v>
      </c>
      <c r="N14" s="1007">
        <f t="shared" si="0"/>
        <v>0.45396149132529529</v>
      </c>
      <c r="O14" s="1006">
        <f>SUM(O6:O13)</f>
        <v>69271.649999999994</v>
      </c>
      <c r="P14" s="1010">
        <f>IFERROR((M14-E14)/E14,0)</f>
        <v>0</v>
      </c>
      <c r="Q14" s="1011">
        <f>O14-G14</f>
        <v>69271.649999999994</v>
      </c>
      <c r="R14" s="1009"/>
      <c r="S14" s="1006">
        <f>SUM(S6:S13)</f>
        <v>162856.77999999994</v>
      </c>
      <c r="T14" s="1007">
        <f t="shared" ref="T14" si="6">IFERROR(U14/S14,0)</f>
        <v>0.42413254148829388</v>
      </c>
      <c r="U14" s="1006">
        <f>SUM(U6:U13)</f>
        <v>69072.859999999928</v>
      </c>
      <c r="V14" s="1010">
        <f>IF(R14=0,0,L14/R14)</f>
        <v>0</v>
      </c>
      <c r="W14" s="1011">
        <f>SUM(W6:W13)</f>
        <v>198.7900000000609</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13</v>
      </c>
      <c r="M16" s="659">
        <f>-SUMIFS(BV_Data_An_Cour!$AM:$AM,BV_Data_An_Cour!$AO:$AO,$Y16)</f>
        <v>2493</v>
      </c>
      <c r="N16" s="1036">
        <f>IFERROR(O16/M16,0)</f>
        <v>0.17951865222623381</v>
      </c>
      <c r="O16" s="995">
        <f>-SUMIFS(BV_Data_An_Cour!$AM:$AM,BV_Data_An_Cour!$AO:$AO,$Y16)-SUMIFS(BV_Data_An_Cour!$AM:$AM,BV_Data_An_Cour!$AO:$AO,$Z16)</f>
        <v>447.54000000000087</v>
      </c>
      <c r="P16" s="1037">
        <f t="shared" ref="P16:P22" si="7">IFERROR((M16-E16)/E16,0)</f>
        <v>0</v>
      </c>
      <c r="Q16" s="995">
        <f t="shared" ref="Q16:Q22" si="8">O16-G16</f>
        <v>447.54000000000087</v>
      </c>
      <c r="R16" s="993">
        <f>SUMIFS(BV_Data_An_Prec!$AW:$AW,BV_Data_An_Prec!$AO:$AO,$Y16)</f>
        <v>13</v>
      </c>
      <c r="S16" s="1035">
        <f>-SUMIFS(BV_Data_An_Prec!$AM:$AM,BV_Data_An_Prec!$AO:$AO,$Y16)</f>
        <v>9764.260000000002</v>
      </c>
      <c r="T16" s="1036">
        <f t="shared" ref="T16:T24" si="9">IFERROR(U16/S16,0)</f>
        <v>0.48312007259126655</v>
      </c>
      <c r="U16" s="996">
        <f>-SUMIFS(BV_Data_An_Prec!$AM:$AM,BV_Data_An_Prec!$AO:$AO,$Y16)-SUMIFS(BV_Data_An_Prec!$AM:$AM,BV_Data_An_Prec!$AO:$AO,$Z16)</f>
        <v>4717.3100000000013</v>
      </c>
      <c r="V16" s="1037">
        <f t="shared" ref="V16:V22" si="10">IF(R16=0,0,L16/R16)</f>
        <v>1</v>
      </c>
      <c r="W16" s="995">
        <f t="shared" ref="W16:W22" si="11">O16-U16</f>
        <v>-4269.7700000000004</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6</v>
      </c>
      <c r="M17" s="659">
        <f>-SUMIFS(BV_Data_An_Cour!$AM:$AM,BV_Data_An_Cour!$AO:$AO,$Y17)</f>
        <v>1252</v>
      </c>
      <c r="N17" s="1036">
        <f t="shared" ref="N17:N25" si="12">IFERROR(O17/M17,0)</f>
        <v>0.62014376996805121</v>
      </c>
      <c r="O17" s="995">
        <f>-SUMIFS(BV_Data_An_Cour!$AM:$AM,BV_Data_An_Cour!$AO:$AO,$Y17)-SUMIFS(BV_Data_An_Cour!$AM:$AM,BV_Data_An_Cour!$AO:$AO,$Z17)</f>
        <v>776.42000000000007</v>
      </c>
      <c r="P17" s="1037">
        <f t="shared" si="7"/>
        <v>0</v>
      </c>
      <c r="Q17" s="995">
        <f t="shared" si="8"/>
        <v>776.42000000000007</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776.42000000000007</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1</v>
      </c>
      <c r="M18" s="659">
        <f>-SUMIFS(BV_Data_An_Cour!$AM:$AM,BV_Data_An_Cour!$AO:$AO,$Y18)</f>
        <v>792</v>
      </c>
      <c r="N18" s="1036">
        <f t="shared" si="12"/>
        <v>5.2739898989898969E-2</v>
      </c>
      <c r="O18" s="995">
        <f>-SUMIFS(BV_Data_An_Cour!$AM:$AM,BV_Data_An_Cour!$AO:$AO,$Y18)-SUMIFS(BV_Data_An_Cour!$AM:$AM,BV_Data_An_Cour!$AO:$AO,$Z18)</f>
        <v>41.769999999999982</v>
      </c>
      <c r="P18" s="1037">
        <f t="shared" si="7"/>
        <v>0</v>
      </c>
      <c r="Q18" s="995">
        <f t="shared" si="8"/>
        <v>41.769999999999982</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9</v>
      </c>
      <c r="M20" s="659">
        <f>-SUMIFS(BV_Data_An_Cour!$AM:$AM,BV_Data_An_Cour!$AO:$AO,$Y20)</f>
        <v>1151.96</v>
      </c>
      <c r="N20" s="1036">
        <f t="shared" si="12"/>
        <v>0.49392340011805963</v>
      </c>
      <c r="O20" s="995">
        <f>-SUMIFS(BV_Data_An_Cour!$AM:$AM,BV_Data_An_Cour!$AO:$AO,$Y20)-SUMIFS(BV_Data_An_Cour!$AM:$AM,BV_Data_An_Cour!$AO:$AO,$Z20)</f>
        <v>568.98</v>
      </c>
      <c r="P20" s="1037">
        <f t="shared" si="7"/>
        <v>0</v>
      </c>
      <c r="Q20" s="995">
        <f t="shared" si="8"/>
        <v>568.98</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568.98</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9</v>
      </c>
      <c r="M21" s="659">
        <f>-SUMIFS(BV_Data_An_Cour!$AM:$AM,BV_Data_An_Cour!$AO:$AO,$Y21)</f>
        <v>576.88000000000011</v>
      </c>
      <c r="N21" s="1036">
        <f t="shared" si="12"/>
        <v>0.49141935931216191</v>
      </c>
      <c r="O21" s="995">
        <f>-SUMIFS(BV_Data_An_Cour!$AM:$AM,BV_Data_An_Cour!$AO:$AO,$Y21)-SUMIFS(BV_Data_An_Cour!$AM:$AM,BV_Data_An_Cour!$AO:$AO,$Z21)</f>
        <v>283.49</v>
      </c>
      <c r="P21" s="1037">
        <f t="shared" si="7"/>
        <v>0</v>
      </c>
      <c r="Q21" s="995">
        <f t="shared" si="8"/>
        <v>283.49</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283.49</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5</v>
      </c>
      <c r="M22" s="659">
        <f>-SUMIFS(BV_Data_An_Cour!$AM:$AM,BV_Data_An_Cour!$AO:$AO,$Y22)</f>
        <v>4386.6099999999997</v>
      </c>
      <c r="N22" s="1036">
        <f t="shared" si="12"/>
        <v>1</v>
      </c>
      <c r="O22" s="995">
        <f>-SUMIFS(BV_Data_An_Cour!$AM:$AM,BV_Data_An_Cour!$AO:$AO,$Y22)-SUMIFS(BV_Data_An_Cour!$AM:$AM,BV_Data_An_Cour!$AO:$AO,$Z22)</f>
        <v>4386.6099999999997</v>
      </c>
      <c r="P22" s="1037">
        <f t="shared" si="7"/>
        <v>0</v>
      </c>
      <c r="Q22" s="995">
        <f t="shared" si="8"/>
        <v>4386.6099999999997</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4386.6099999999997</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0</v>
      </c>
      <c r="M23" s="659">
        <f>-SUMIFS(BV_Data_An_Cour!$AM:$AM,BV_Data_An_Cour!$AO:$AO,$Y23)</f>
        <v>0</v>
      </c>
      <c r="N23" s="1036">
        <f t="shared" si="12"/>
        <v>0</v>
      </c>
      <c r="O23" s="995">
        <f>-SUMIFS(BV_Data_An_Cour!$AM:$AM,BV_Data_An_Cour!$AO:$AO,$Y23)-SUMIFS(BV_Data_An_Cour!$AM:$AM,BV_Data_An_Cour!$AO:$AO,$Z23)</f>
        <v>0</v>
      </c>
      <c r="P23" s="1037">
        <f t="shared" ref="P23:P24" si="13">IFERROR((M23-E23)/E23,0)</f>
        <v>0</v>
      </c>
      <c r="Q23" s="995">
        <f t="shared" ref="Q23:Q24" si="14">O23-G23</f>
        <v>0</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0</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10652.45</v>
      </c>
      <c r="N25" s="1007">
        <f t="shared" si="12"/>
        <v>0.6106398058662561</v>
      </c>
      <c r="O25" s="1006">
        <f>SUM(O16:O24)</f>
        <v>6504.81</v>
      </c>
      <c r="P25" s="1010">
        <f>IFERROR((M25-E25)/E25,0)</f>
        <v>0</v>
      </c>
      <c r="Q25" s="1011">
        <f>O25-G25</f>
        <v>6504.81</v>
      </c>
      <c r="R25" s="1009"/>
      <c r="S25" s="1006">
        <f>SUM(S16:S24)</f>
        <v>9764.260000000002</v>
      </c>
      <c r="T25" s="1007">
        <f t="shared" ref="T25" si="17">IFERROR(U25/S25,0)</f>
        <v>0.48312007259126655</v>
      </c>
      <c r="U25" s="1006">
        <f>SUM(U16:U24)</f>
        <v>4717.3100000000013</v>
      </c>
      <c r="V25" s="1010">
        <f>IF(R25=0,0,L25/R25)</f>
        <v>0</v>
      </c>
      <c r="W25" s="1011">
        <f>SUM(W16:W24)</f>
        <v>1787.4999999999991</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15228.61</v>
      </c>
      <c r="N27" s="1036">
        <f>IFERROR(O27/M27,0)</f>
        <v>0.70130563459173223</v>
      </c>
      <c r="O27" s="995">
        <f>-SUMIFS(BV_Data_An_Cour!$AM:$AM,BV_Data_An_Cour!$AO:$AO,$Y27)-SUMIFS(BV_Data_An_Cour!$AM:$AM,BV_Data_An_Cour!$AO:$AO,$Z27)</f>
        <v>10679.91</v>
      </c>
      <c r="P27" s="1037">
        <f t="shared" ref="P27:P35" si="18">IFERROR((M27-E27)/E27,0)</f>
        <v>0</v>
      </c>
      <c r="Q27" s="995">
        <f t="shared" ref="Q27:Q35" si="19">O27-G27</f>
        <v>10679.91</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10679.91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15</v>
      </c>
      <c r="M28" s="659">
        <f>-SUMIFS(BV_Data_An_Cour!$AM:$AM,BV_Data_An_Cour!$AO:$AO,$Y28)</f>
        <v>6684.1299999999974</v>
      </c>
      <c r="N28" s="1036">
        <f t="shared" ref="N28:N36" si="23">IFERROR(O28/M28,0)</f>
        <v>0.75910402700126989</v>
      </c>
      <c r="O28" s="995">
        <f>-SUMIFS(BV_Data_An_Cour!$AM:$AM,BV_Data_An_Cour!$AO:$AO,$Y28)-SUMIFS(BV_Data_An_Cour!$AM:$AM,BV_Data_An_Cour!$AO:$AO,$Z28)</f>
        <v>5073.9499999999962</v>
      </c>
      <c r="P28" s="1037">
        <f t="shared" si="18"/>
        <v>0</v>
      </c>
      <c r="Q28" s="995">
        <f t="shared" si="19"/>
        <v>5073.9499999999962</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5073.9499999999962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17</v>
      </c>
      <c r="M31" s="659">
        <f>-SUMIFS(BV_Data_An_Cour!$AM:$AM,BV_Data_An_Cour!$AO:$AO,$Y31)</f>
        <v>4549.0800000000017</v>
      </c>
      <c r="N31" s="1036">
        <f t="shared" si="23"/>
        <v>0.30395596472253822</v>
      </c>
      <c r="O31" s="995">
        <f>-SUMIFS(BV_Data_An_Cour!$AM:$AM,BV_Data_An_Cour!$AO:$AO,$Y31)-SUMIFS(BV_Data_An_Cour!$AM:$AM,BV_Data_An_Cour!$AO:$AO,$Z31)</f>
        <v>1382.7200000000048</v>
      </c>
      <c r="P31" s="1037">
        <f t="shared" si="18"/>
        <v>0</v>
      </c>
      <c r="Q31" s="995">
        <f t="shared" si="19"/>
        <v>1382.7200000000048</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1382.7200000000048</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14</v>
      </c>
      <c r="M32" s="659">
        <f>-SUMIFS(BV_Data_An_Cour!$AM:$AM,BV_Data_An_Cour!$AO:$AO,$Y32)</f>
        <v>1980.5100000000002</v>
      </c>
      <c r="N32" s="1036">
        <f t="shared" si="23"/>
        <v>0.17493473903186552</v>
      </c>
      <c r="O32" s="995">
        <f>-SUMIFS(BV_Data_An_Cour!$AM:$AM,BV_Data_An_Cour!$AO:$AO,$Y32)-SUMIFS(BV_Data_An_Cour!$AM:$AM,BV_Data_An_Cour!$AO:$AO,$Z32)</f>
        <v>346.46000000000004</v>
      </c>
      <c r="P32" s="1037">
        <f t="shared" si="18"/>
        <v>0</v>
      </c>
      <c r="Q32" s="995">
        <f t="shared" si="19"/>
        <v>346.46000000000004</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346.46000000000004</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3</v>
      </c>
      <c r="M33" s="659">
        <f>-SUMIFS(BV_Data_An_Cour!$AM:$AM,BV_Data_An_Cour!$AO:$AO,$Y33)</f>
        <v>823.00000000000091</v>
      </c>
      <c r="N33" s="1036">
        <f t="shared" si="23"/>
        <v>-8.5054678007279259E-3</v>
      </c>
      <c r="O33" s="995">
        <f>-SUMIFS(BV_Data_An_Cour!$AM:$AM,BV_Data_An_Cour!$AO:$AO,$Y33)-SUMIFS(BV_Data_An_Cour!$AM:$AM,BV_Data_An_Cour!$AO:$AO,$Z33)</f>
        <v>-6.9999999999990905</v>
      </c>
      <c r="P33" s="1037">
        <f t="shared" ref="P33:P34" si="24">IFERROR((M33-E33)/E33,0)</f>
        <v>0</v>
      </c>
      <c r="Q33" s="995">
        <f t="shared" ref="Q33:Q34" si="25">O33-G33</f>
        <v>-6.9999999999990905</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-6.9999999999990905</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-1981.6000000000004</v>
      </c>
      <c r="N35" s="1036">
        <f t="shared" si="23"/>
        <v>1</v>
      </c>
      <c r="O35" s="995">
        <f>-SUMIFS(BV_Data_An_Cour!$AM:$AM,BV_Data_An_Cour!$AO:$AO,$Y35)-SUMIFS(BV_Data_An_Cour!$AM:$AM,BV_Data_An_Cour!$AO:$AO,$Z35)</f>
        <v>-1981.6000000000004</v>
      </c>
      <c r="P35" s="1001">
        <f t="shared" si="18"/>
        <v>0</v>
      </c>
      <c r="Q35" s="1002">
        <f t="shared" si="19"/>
        <v>-1981.6000000000004</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-1981.6000000000004</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27283.730000000003</v>
      </c>
      <c r="N36" s="1007">
        <f t="shared" si="23"/>
        <v>0.56790035673274875</v>
      </c>
      <c r="O36" s="1006">
        <f>SUM(O27:O35)</f>
        <v>15494.44</v>
      </c>
      <c r="P36" s="1010">
        <f>IFERROR((M36-E36)/E36,0)</f>
        <v>0</v>
      </c>
      <c r="Q36" s="1011">
        <f>O36-G36</f>
        <v>15494.44</v>
      </c>
      <c r="R36" s="1009"/>
      <c r="S36" s="1006">
        <f>SUM(S27:S35)</f>
        <v>0</v>
      </c>
      <c r="T36" s="1007">
        <f t="shared" ref="T36" si="30">IFERROR(U36/S36,0)</f>
        <v>0</v>
      </c>
      <c r="U36" s="1006">
        <f>SUM(U27:U35)</f>
        <v>0</v>
      </c>
      <c r="V36" s="1010">
        <f>IF(R36=0,0,L36/R36)</f>
        <v>0</v>
      </c>
      <c r="W36" s="1011">
        <f>O36-U36</f>
        <v>15494.44</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1697.5900000000001</v>
      </c>
      <c r="V38" s="1013"/>
      <c r="W38" s="1015">
        <f t="shared" ref="W38" si="31">O38-U38</f>
        <v>-1697.5900000000001</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190529.85000000003</v>
      </c>
      <c r="N40" s="1018">
        <f>O40/M40</f>
        <v>0.47903727421188846</v>
      </c>
      <c r="O40" s="1043">
        <f>O25+O36+O14+O38</f>
        <v>91270.9</v>
      </c>
      <c r="P40" s="1020">
        <f>O41-G41</f>
        <v>0.47903727421188846</v>
      </c>
      <c r="Q40" s="1043">
        <f>O40-G40</f>
        <v>91270.9</v>
      </c>
      <c r="R40" s="1019"/>
      <c r="S40" s="1017">
        <f>S25+S36+S14</f>
        <v>172621.03999999995</v>
      </c>
      <c r="T40" s="1018">
        <f t="shared" ref="T40" si="32">IFERROR(U40/S40,0)</f>
        <v>0.43730335537313381</v>
      </c>
      <c r="U40" s="1043">
        <f>U25+U36+U14+U38</f>
        <v>75487.759999999922</v>
      </c>
      <c r="V40" s="1021">
        <f>O41-U41</f>
        <v>4.1733918838754658E-2</v>
      </c>
      <c r="W40" s="1043">
        <f>O40-U40</f>
        <v>15783.140000000072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0.47903727421188846</v>
      </c>
      <c r="P41" s="1026"/>
      <c r="Q41" s="473" t="e">
        <f>Q40/G40</f>
        <v>#DIV/0!</v>
      </c>
      <c r="R41" s="1022"/>
      <c r="S41" s="1025"/>
      <c r="T41" s="1023"/>
      <c r="U41" s="473">
        <f>IF(S40=0,0,U40/S40)</f>
        <v>0.43730335537313381</v>
      </c>
      <c r="V41" s="1026"/>
      <c r="W41" s="473">
        <f>W40/U40</f>
        <v>0.2090821081457456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363</v>
      </c>
      <c r="M6" s="659">
        <f>-SUMIFS(BV_Data_An_Cour!$AN:$AN,BV_Data_An_Cour!$AO:$AO,$Y6)</f>
        <v>416503.1</v>
      </c>
      <c r="N6" s="1036">
        <f>IFERROR(O6/M6,0)</f>
        <v>0.64638575319127278</v>
      </c>
      <c r="O6" s="995">
        <f>-SUMIFS(BV_Data_An_Cour!$AN:$AN,BV_Data_An_Cour!$AO:$AO,$Y6)-SUMIFS(BV_Data_An_Cour!$AN:$AN,BV_Data_An_Cour!$AO:$AO,$Z6)</f>
        <v>269221.67</v>
      </c>
      <c r="P6" s="1037">
        <f t="shared" ref="P6:P12" si="0">IFERROR((M6-E6)/E6,0)</f>
        <v>0</v>
      </c>
      <c r="Q6" s="995">
        <f t="shared" ref="Q6:Q12" si="1">O6-G6</f>
        <v>269221.67</v>
      </c>
      <c r="R6" s="994">
        <f>SUMIFS(BV_Data_An_Prec!$AX:$AX,BV_Data_An_Prec!$AO:$AO,$Y6)</f>
        <v>329</v>
      </c>
      <c r="S6" s="659">
        <f>-SUMIFS(BV_Data_An_Prec!$AN:$AN,BV_Data_An_Prec!$AO:$AO,$Y6)</f>
        <v>434060.93</v>
      </c>
      <c r="T6" s="1036">
        <f>IFERROR(U6/S6,0)</f>
        <v>0.60770922183666698</v>
      </c>
      <c r="U6" s="995">
        <f>-SUMIFS(BV_Data_An_Prec!$AN:$AN,BV_Data_An_Prec!$AO:$AO,$Y6)-SUMIFS(BV_Data_An_Prec!$AN:$AN,BV_Data_An_Prec!$AO:$AO,$Z6)</f>
        <v>263782.82999999996</v>
      </c>
      <c r="V6" s="1037">
        <f t="shared" ref="V6:V12" si="2">IF(R6=0,0,L6/R6)</f>
        <v>1.1033434650455927</v>
      </c>
      <c r="W6" s="995">
        <f t="shared" ref="W6:W12" si="3">O6-U6</f>
        <v>5438.8400000000256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98</v>
      </c>
      <c r="M7" s="659">
        <f>-SUMIFS(BV_Data_An_Cour!$AN:$AN,BV_Data_An_Cour!$AO:$AO,$Y7)</f>
        <v>53409.53</v>
      </c>
      <c r="N7" s="1036">
        <f t="shared" ref="N7:N14" si="4">IFERROR(O7/M7,0)</f>
        <v>0.83663252606791338</v>
      </c>
      <c r="O7" s="995">
        <f>-SUMIFS(BV_Data_An_Cour!$AN:$AN,BV_Data_An_Cour!$AO:$AO,$Y7)-SUMIFS(BV_Data_An_Cour!$AN:$AN,BV_Data_An_Cour!$AO:$AO,$Z7)</f>
        <v>44684.15</v>
      </c>
      <c r="P7" s="1037">
        <f t="shared" si="0"/>
        <v>0</v>
      </c>
      <c r="Q7" s="995">
        <f t="shared" si="1"/>
        <v>44684.15</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98</v>
      </c>
      <c r="W7" s="995">
        <f t="shared" si="3"/>
        <v>44684.15</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51</v>
      </c>
      <c r="M8" s="659">
        <f>-SUMIFS(BV_Data_An_Cour!$AN:$AN,BV_Data_An_Cour!$AO:$AO,$Y8)</f>
        <v>8473.49</v>
      </c>
      <c r="N8" s="1036">
        <f t="shared" si="4"/>
        <v>0.72728828381221911</v>
      </c>
      <c r="O8" s="995">
        <f>-SUMIFS(BV_Data_An_Cour!$AN:$AN,BV_Data_An_Cour!$AO:$AO,$Y8)-SUMIFS(BV_Data_An_Cour!$AN:$AN,BV_Data_An_Cour!$AO:$AO,$Z8)</f>
        <v>6162.67</v>
      </c>
      <c r="P8" s="1037">
        <f t="shared" si="0"/>
        <v>0</v>
      </c>
      <c r="Q8" s="995">
        <f t="shared" si="1"/>
        <v>6162.67</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6162.67</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372</v>
      </c>
      <c r="M10" s="659">
        <f>-SUMIFS(BV_Data_An_Cour!$AN:$AN,BV_Data_An_Cour!$AO:$AO,$Y10)</f>
        <v>177630.72</v>
      </c>
      <c r="N10" s="1036">
        <f t="shared" si="4"/>
        <v>0.33062130244137949</v>
      </c>
      <c r="O10" s="995">
        <f>-SUMIFS(BV_Data_An_Cour!$AN:$AN,BV_Data_An_Cour!$AO:$AO,$Y10)-SUMIFS(BV_Data_An_Cour!$AN:$AN,BV_Data_An_Cour!$AO:$AO,$Z10)</f>
        <v>58728.5</v>
      </c>
      <c r="P10" s="1037">
        <f t="shared" si="0"/>
        <v>0</v>
      </c>
      <c r="Q10" s="995">
        <f t="shared" si="1"/>
        <v>58728.5</v>
      </c>
      <c r="R10" s="994">
        <f>SUMIFS(BV_Data_An_Prec!$AX:$AX,BV_Data_An_Prec!$AO:$AO,$Y10)</f>
        <v>349</v>
      </c>
      <c r="S10" s="659">
        <f>-SUMIFS(BV_Data_An_Prec!$AN:$AN,BV_Data_An_Prec!$AO:$AO,$Y10)</f>
        <v>164958.9</v>
      </c>
      <c r="T10" s="1036">
        <f t="shared" si="5"/>
        <v>0.69048205340845514</v>
      </c>
      <c r="U10" s="995">
        <f>-SUMIFS(BV_Data_An_Prec!$AN:$AN,BV_Data_An_Prec!$AO:$AO,$Y10)-SUMIFS(BV_Data_An_Prec!$AN:$AN,BV_Data_An_Prec!$AO:$AO,$Z10)</f>
        <v>113901.16</v>
      </c>
      <c r="V10" s="1037">
        <f t="shared" si="2"/>
        <v>1.0659025787965617</v>
      </c>
      <c r="W10" s="995">
        <f t="shared" si="3"/>
        <v>-55172.66</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136</v>
      </c>
      <c r="M11" s="659">
        <f>-SUMIFS(BV_Data_An_Cour!$AN:$AN,BV_Data_An_Cour!$AO:$AO,$Y11)</f>
        <v>27999.54</v>
      </c>
      <c r="N11" s="1036">
        <f t="shared" si="4"/>
        <v>0.25425274843800999</v>
      </c>
      <c r="O11" s="995">
        <f>-SUMIFS(BV_Data_An_Cour!$AN:$AN,BV_Data_An_Cour!$AO:$AO,$Y11)-SUMIFS(BV_Data_An_Cour!$AN:$AN,BV_Data_An_Cour!$AO:$AO,$Z11)</f>
        <v>7118.9599999999991</v>
      </c>
      <c r="P11" s="1037">
        <f t="shared" si="0"/>
        <v>0</v>
      </c>
      <c r="Q11" s="995">
        <f t="shared" si="1"/>
        <v>7118.9599999999991</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7118.9599999999991</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273</v>
      </c>
      <c r="M12" s="659">
        <f>-SUMIFS(BV_Data_An_Cour!$AN:$AN,BV_Data_An_Cour!$AO:$AO,$Y12)</f>
        <v>536059.18000000005</v>
      </c>
      <c r="N12" s="1036">
        <f t="shared" si="4"/>
        <v>0.23508952873449535</v>
      </c>
      <c r="O12" s="995">
        <f>-SUMIFS(BV_Data_An_Cour!$AN:$AN,BV_Data_An_Cour!$AO:$AO,$Y12)-SUMIFS(BV_Data_An_Cour!$AN:$AN,BV_Data_An_Cour!$AO:$AO,$Z12)</f>
        <v>126021.90000000002</v>
      </c>
      <c r="P12" s="1037">
        <f t="shared" si="0"/>
        <v>0</v>
      </c>
      <c r="Q12" s="995">
        <f t="shared" si="1"/>
        <v>126021.90000000002</v>
      </c>
      <c r="R12" s="994">
        <f>SUMIFS(BV_Data_An_Prec!$AX:$AX,BV_Data_An_Prec!$AO:$AO,$Y12)</f>
        <v>334</v>
      </c>
      <c r="S12" s="659">
        <f>-SUMIFS(BV_Data_An_Prec!$AN:$AN,BV_Data_An_Prec!$AO:$AO,$Y12)</f>
        <v>771922.52</v>
      </c>
      <c r="T12" s="1036">
        <f t="shared" si="5"/>
        <v>0.22854590380392059</v>
      </c>
      <c r="U12" s="995">
        <f>-SUMIFS(BV_Data_An_Prec!$AN:$AN,BV_Data_An_Prec!$AO:$AO,$Y12)-SUMIFS(BV_Data_An_Prec!$AN:$AN,BV_Data_An_Prec!$AO:$AO,$Z12)</f>
        <v>176419.72999999998</v>
      </c>
      <c r="V12" s="1037">
        <f t="shared" si="2"/>
        <v>0.81736526946107779</v>
      </c>
      <c r="W12" s="995">
        <f t="shared" si="3"/>
        <v>-50397.829999999958</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1221561.8900000001</v>
      </c>
      <c r="N14" s="1007">
        <f t="shared" si="4"/>
        <v>0.41908466054061327</v>
      </c>
      <c r="O14" s="1006">
        <f>SUM(O6:O13)</f>
        <v>511937.85000000003</v>
      </c>
      <c r="P14" s="1010">
        <f>IFERROR((M14-E14)/E14,0)</f>
        <v>0</v>
      </c>
      <c r="Q14" s="1011">
        <f>O14-G14</f>
        <v>511937.85000000003</v>
      </c>
      <c r="R14" s="1009"/>
      <c r="S14" s="1006">
        <f>SUM(S6:S13)</f>
        <v>1370942.35</v>
      </c>
      <c r="T14" s="1007">
        <f t="shared" si="5"/>
        <v>0.40417725807361626</v>
      </c>
      <c r="U14" s="1006">
        <f>SUM(U6:U13)</f>
        <v>554103.72</v>
      </c>
      <c r="V14" s="1010">
        <f>IF(R14=0,0,L14/R14)</f>
        <v>0</v>
      </c>
      <c r="W14" s="1011">
        <f>SUM(W6:W13)</f>
        <v>-42165.869999999937</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76</v>
      </c>
      <c r="M16" s="659">
        <f>-SUMIFS(BV_Data_An_Cour!$AN:$AN,BV_Data_An_Cour!$AO:$AO,$Y16)</f>
        <v>39247.839999999997</v>
      </c>
      <c r="N16" s="1036">
        <f>IFERROR(O16/M16,0)</f>
        <v>0.36160384877231461</v>
      </c>
      <c r="O16" s="995">
        <f>-SUMIFS(BV_Data_An_Cour!$AN:$AN,BV_Data_An_Cour!$AO:$AO,$Y16)-SUMIFS(BV_Data_An_Cour!$AN:$AN,BV_Data_An_Cour!$AO:$AO,$Z16)</f>
        <v>14192.169999999998</v>
      </c>
      <c r="P16" s="1037">
        <f t="shared" ref="P16:P23" si="12">IFERROR((M16-E16)/E16,0)</f>
        <v>0</v>
      </c>
      <c r="Q16" s="995">
        <f t="shared" ref="Q16:Q23" si="13">O16-G16</f>
        <v>14192.169999999998</v>
      </c>
      <c r="R16" s="994">
        <f>SUMIFS(BV_Data_An_Prec!$AX:$AX,BV_Data_An_Prec!$AO:$AO,$Y16)</f>
        <v>67</v>
      </c>
      <c r="S16" s="659">
        <f>-SUMIFS(BV_Data_An_Prec!$AN:$AN,BV_Data_An_Prec!$AO:$AO,$Y16)</f>
        <v>41630.36</v>
      </c>
      <c r="T16" s="1036">
        <f>IFERROR(U16/S16,0)</f>
        <v>0.76545891027605817</v>
      </c>
      <c r="U16" s="995">
        <f>-SUMIFS(BV_Data_An_Prec!$AN:$AN,BV_Data_An_Prec!$AO:$AO,$Y16)-SUMIFS(BV_Data_An_Prec!$AN:$AN,BV_Data_An_Prec!$AO:$AO,$Z16)</f>
        <v>31866.33</v>
      </c>
      <c r="V16" s="1037">
        <f t="shared" ref="V16:V23" si="14">IF(R16=0,0,L16/R16)</f>
        <v>1.1343283582089552</v>
      </c>
      <c r="W16" s="995">
        <f t="shared" ref="W16:W23" si="15">O16-U16</f>
        <v>-17674.160000000003</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23</v>
      </c>
      <c r="M17" s="659">
        <f>-SUMIFS(BV_Data_An_Cour!$AN:$AN,BV_Data_An_Cour!$AO:$AO,$Y17)</f>
        <v>4775.5</v>
      </c>
      <c r="N17" s="1036">
        <f t="shared" ref="N17:N25" si="16">IFERROR(O17/M17,0)</f>
        <v>0.64647680871112978</v>
      </c>
      <c r="O17" s="995">
        <f>-SUMIFS(BV_Data_An_Cour!$AN:$AN,BV_Data_An_Cour!$AO:$AO,$Y17)-SUMIFS(BV_Data_An_Cour!$AN:$AN,BV_Data_An_Cour!$AO:$AO,$Z17)</f>
        <v>3087.25</v>
      </c>
      <c r="P17" s="1037">
        <f t="shared" si="12"/>
        <v>0</v>
      </c>
      <c r="Q17" s="995">
        <f t="shared" si="13"/>
        <v>3087.25</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3087.25</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1</v>
      </c>
      <c r="M18" s="659">
        <f>-SUMIFS(BV_Data_An_Cour!$AN:$AN,BV_Data_An_Cour!$AO:$AO,$Y18)</f>
        <v>792</v>
      </c>
      <c r="N18" s="1036">
        <f t="shared" si="16"/>
        <v>5.2739898989898969E-2</v>
      </c>
      <c r="O18" s="995">
        <f>-SUMIFS(BV_Data_An_Cour!$AN:$AN,BV_Data_An_Cour!$AO:$AO,$Y18)-SUMIFS(BV_Data_An_Cour!$AN:$AN,BV_Data_An_Cour!$AO:$AO,$Z18)</f>
        <v>41.769999999999982</v>
      </c>
      <c r="P18" s="1037">
        <f t="shared" si="12"/>
        <v>0</v>
      </c>
      <c r="Q18" s="995">
        <f t="shared" si="13"/>
        <v>41.769999999999982</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26</v>
      </c>
      <c r="M20" s="659">
        <f>-SUMIFS(BV_Data_An_Cour!$AN:$AN,BV_Data_An_Cour!$AO:$AO,$Y20)</f>
        <v>4744.55</v>
      </c>
      <c r="N20" s="1036">
        <f t="shared" si="16"/>
        <v>0.44373438998429782</v>
      </c>
      <c r="O20" s="995">
        <f>-SUMIFS(BV_Data_An_Cour!$AN:$AN,BV_Data_An_Cour!$AO:$AO,$Y20)-SUMIFS(BV_Data_An_Cour!$AN:$AN,BV_Data_An_Cour!$AO:$AO,$Z20)</f>
        <v>2105.3200000000002</v>
      </c>
      <c r="P20" s="1037">
        <f t="shared" si="12"/>
        <v>0</v>
      </c>
      <c r="Q20" s="995">
        <f t="shared" si="13"/>
        <v>2105.3200000000002</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2105.3200000000002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23</v>
      </c>
      <c r="M21" s="659">
        <f>-SUMIFS(BV_Data_An_Cour!$AN:$AN,BV_Data_An_Cour!$AO:$AO,$Y21)</f>
        <v>2105.98</v>
      </c>
      <c r="N21" s="1036">
        <f t="shared" si="16"/>
        <v>0.37455721326888192</v>
      </c>
      <c r="O21" s="995">
        <f>-SUMIFS(BV_Data_An_Cour!$AN:$AN,BV_Data_An_Cour!$AO:$AO,$Y21)-SUMIFS(BV_Data_An_Cour!$AN:$AN,BV_Data_An_Cour!$AO:$AO,$Z21)</f>
        <v>788.81</v>
      </c>
      <c r="P21" s="1037">
        <f t="shared" si="12"/>
        <v>0</v>
      </c>
      <c r="Q21" s="995">
        <f t="shared" si="13"/>
        <v>788.81</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788.81</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15</v>
      </c>
      <c r="M22" s="659">
        <f>-SUMIFS(BV_Data_An_Cour!$AN:$AN,BV_Data_An_Cour!$AO:$AO,$Y22)</f>
        <v>5838.45</v>
      </c>
      <c r="N22" s="1036">
        <f t="shared" si="16"/>
        <v>1</v>
      </c>
      <c r="O22" s="995">
        <f>-SUMIFS(BV_Data_An_Cour!$AN:$AN,BV_Data_An_Cour!$AO:$AO,$Y22)-SUMIFS(BV_Data_An_Cour!$AN:$AN,BV_Data_An_Cour!$AO:$AO,$Z22)</f>
        <v>5838.45</v>
      </c>
      <c r="P22" s="1037">
        <f t="shared" si="12"/>
        <v>0</v>
      </c>
      <c r="Q22" s="995">
        <f t="shared" si="13"/>
        <v>5838.45</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5838.45</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59103.040000000001</v>
      </c>
      <c r="N25" s="1007">
        <f t="shared" si="16"/>
        <v>0.45839486429124454</v>
      </c>
      <c r="O25" s="1006">
        <f>SUM(O16:O24)</f>
        <v>27092.53</v>
      </c>
      <c r="P25" s="1010">
        <f>IFERROR((M25-E25)/E25,0)</f>
        <v>0</v>
      </c>
      <c r="Q25" s="1011">
        <f>O25-G25</f>
        <v>27092.53</v>
      </c>
      <c r="R25" s="1009"/>
      <c r="S25" s="1006">
        <f>SUM(S16:S24)</f>
        <v>42171.16</v>
      </c>
      <c r="T25" s="1007">
        <f t="shared" si="17"/>
        <v>0.76243148160970675</v>
      </c>
      <c r="U25" s="1006">
        <f>SUM(U16:U24)</f>
        <v>32152.620000000003</v>
      </c>
      <c r="V25" s="1010">
        <f>IF(R25=0,0,L25/R25)</f>
        <v>0</v>
      </c>
      <c r="W25" s="1011">
        <f>SUM(W16:W24)</f>
        <v>-5060.0900000000038</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90</v>
      </c>
      <c r="M27" s="659">
        <f>-SUMIFS(BV_Data_An_Cour!$AN:$AN,BV_Data_An_Cour!$AO:$AO,$Y27)</f>
        <v>107421.62</v>
      </c>
      <c r="N27" s="1036">
        <f>IFERROR(O27/M27,0)</f>
        <v>0.72745970503889257</v>
      </c>
      <c r="O27" s="995">
        <f>-SUMIFS(BV_Data_An_Cour!$AN:$AN,BV_Data_An_Cour!$AO:$AO,$Y27)-SUMIFS(BV_Data_An_Cour!$AN:$AN,BV_Data_An_Cour!$AO:$AO,$Z27)</f>
        <v>78144.899999999994</v>
      </c>
      <c r="P27" s="1037">
        <f t="shared" ref="P27:P35" si="24">IFERROR((M27-E27)/E27,0)</f>
        <v>0</v>
      </c>
      <c r="Q27" s="995">
        <f t="shared" ref="Q27:Q35" si="25">O27-G27</f>
        <v>78144.899999999994</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78144.899999999994</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80</v>
      </c>
      <c r="M28" s="659">
        <f>-SUMIFS(BV_Data_An_Cour!$AN:$AN,BV_Data_An_Cour!$AO:$AO,$Y28)</f>
        <v>47171.64</v>
      </c>
      <c r="N28" s="1036">
        <f t="shared" ref="N28:N35" si="28">IFERROR(O28/M28,0)</f>
        <v>0.81369377871958659</v>
      </c>
      <c r="O28" s="995">
        <f>-SUMIFS(BV_Data_An_Cour!$AN:$AN,BV_Data_An_Cour!$AO:$AO,$Y28)-SUMIFS(BV_Data_An_Cour!$AN:$AN,BV_Data_An_Cour!$AO:$AO,$Z28)</f>
        <v>38383.269999999997</v>
      </c>
      <c r="P28" s="1037">
        <f t="shared" si="24"/>
        <v>0</v>
      </c>
      <c r="Q28" s="995">
        <f t="shared" si="25"/>
        <v>38383.269999999997</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38383.269999999997</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88</v>
      </c>
      <c r="M31" s="659">
        <f>-SUMIFS(BV_Data_An_Cour!$AN:$AN,BV_Data_An_Cour!$AO:$AO,$Y31)</f>
        <v>36382.33</v>
      </c>
      <c r="N31" s="1036">
        <f t="shared" si="28"/>
        <v>0.33887521772244938</v>
      </c>
      <c r="O31" s="995">
        <f>-SUMIFS(BV_Data_An_Cour!$AN:$AN,BV_Data_An_Cour!$AO:$AO,$Y31)-SUMIFS(BV_Data_An_Cour!$AN:$AN,BV_Data_An_Cour!$AO:$AO,$Z31)</f>
        <v>12329.070000000003</v>
      </c>
      <c r="P31" s="1037">
        <f t="shared" si="24"/>
        <v>0</v>
      </c>
      <c r="Q31" s="995">
        <f t="shared" si="25"/>
        <v>12329.070000000003</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12329.070000000003</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76</v>
      </c>
      <c r="M32" s="659">
        <f>-SUMIFS(BV_Data_An_Cour!$AN:$AN,BV_Data_An_Cour!$AO:$AO,$Y32)</f>
        <v>12284.28</v>
      </c>
      <c r="N32" s="1036">
        <f t="shared" si="28"/>
        <v>0.2301681498630771</v>
      </c>
      <c r="O32" s="995">
        <f>-SUMIFS(BV_Data_An_Cour!$AN:$AN,BV_Data_An_Cour!$AO:$AO,$Y32)-SUMIFS(BV_Data_An_Cour!$AN:$AN,BV_Data_An_Cour!$AO:$AO,$Z32)</f>
        <v>2827.4500000000007</v>
      </c>
      <c r="P32" s="1037">
        <f t="shared" si="24"/>
        <v>0</v>
      </c>
      <c r="Q32" s="995">
        <f t="shared" si="25"/>
        <v>2827.4500000000007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2827.4500000000007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10</v>
      </c>
      <c r="M33" s="659">
        <f>-SUMIFS(BV_Data_An_Cour!$AN:$AN,BV_Data_An_Cour!$AO:$AO,$Y33)</f>
        <v>9005.7000000000007</v>
      </c>
      <c r="N33" s="1036">
        <f t="shared" si="28"/>
        <v>0.22137201994292507</v>
      </c>
      <c r="O33" s="995">
        <f>-SUMIFS(BV_Data_An_Cour!$AN:$AN,BV_Data_An_Cour!$AO:$AO,$Y33)-SUMIFS(BV_Data_An_Cour!$AN:$AN,BV_Data_An_Cour!$AO:$AO,$Z33)</f>
        <v>1993.6100000000006</v>
      </c>
      <c r="P33" s="1037">
        <f t="shared" si="24"/>
        <v>0</v>
      </c>
      <c r="Q33" s="995">
        <f t="shared" si="25"/>
        <v>1993.6100000000006</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1993.6100000000006</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-4</v>
      </c>
      <c r="M35" s="659">
        <f>-SUMIFS(BV_Data_An_Cour!$AN:$AN,BV_Data_An_Cour!$AO:$AO,$Y35)</f>
        <v>-15846.2</v>
      </c>
      <c r="N35" s="1036">
        <f t="shared" si="28"/>
        <v>1</v>
      </c>
      <c r="O35" s="995">
        <f>-SUMIFS(BV_Data_An_Cour!$AN:$AN,BV_Data_An_Cour!$AO:$AO,$Y35)-SUMIFS(BV_Data_An_Cour!$AN:$AN,BV_Data_An_Cour!$AO:$AO,$Z35)</f>
        <v>-15846.2</v>
      </c>
      <c r="P35" s="1001">
        <f t="shared" si="24"/>
        <v>0</v>
      </c>
      <c r="Q35" s="1002">
        <f t="shared" si="25"/>
        <v>-15846.2</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-15846.2</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196805.37000000002</v>
      </c>
      <c r="N36" s="1007">
        <f>O36/M36</f>
        <v>0.6006359989059239</v>
      </c>
      <c r="O36" s="1006">
        <f>SUM(O27:O35)</f>
        <v>118208.38999999997</v>
      </c>
      <c r="P36" s="1010">
        <f>IFERROR((M36-E36)/E36,0)</f>
        <v>0</v>
      </c>
      <c r="Q36" s="1011">
        <f>O36-G36</f>
        <v>118208.38999999997</v>
      </c>
      <c r="R36" s="1009"/>
      <c r="S36" s="1006">
        <f>SUM(S27:S35)</f>
        <v>0</v>
      </c>
      <c r="T36" s="1007" t="e">
        <f>U36/S36</f>
        <v>#DIV/0!</v>
      </c>
      <c r="U36" s="1006">
        <f>SUM(U27:U35)</f>
        <v>0</v>
      </c>
      <c r="V36" s="1010">
        <f>IF(R36=0,0,L36/R36)</f>
        <v>0</v>
      </c>
      <c r="W36" s="1011">
        <f>O36-U36</f>
        <v>118208.38999999997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7326.93</v>
      </c>
      <c r="V38" s="1013"/>
      <c r="W38" s="1015">
        <f t="shared" ref="W38" si="36">O38-U38</f>
        <v>-24505.439999999999</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1477470.3000000003</v>
      </c>
      <c r="N40" s="1018">
        <f>O40/M40</f>
        <v>0.43321362195910124</v>
      </c>
      <c r="O40" s="1043">
        <f>O25+O36+O14+O38</f>
        <v>640060.26</v>
      </c>
      <c r="P40" s="1020">
        <f>O41-G41</f>
        <v>0.43321362195910124</v>
      </c>
      <c r="Q40" s="1043">
        <f>O40-G40</f>
        <v>640060.26</v>
      </c>
      <c r="R40" s="1019"/>
      <c r="S40" s="1017">
        <f>S25+S36+S14</f>
        <v>1413113.51</v>
      </c>
      <c r="T40" s="1018">
        <f>U40/S40</f>
        <v>0.42005349591484692</v>
      </c>
      <c r="U40" s="1043">
        <f>U25+U36+U14+U38</f>
        <v>593583.27</v>
      </c>
      <c r="V40" s="1021">
        <f>O41-U41</f>
        <v>1.3160126044254317E-2</v>
      </c>
      <c r="W40" s="1043">
        <f>O40-U40</f>
        <v>46476.989999999991</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0.43321362195910124</v>
      </c>
      <c r="P41" s="1026"/>
      <c r="Q41" s="473" t="e">
        <f>Q40/G40</f>
        <v>#DIV/0!</v>
      </c>
      <c r="R41" s="1022"/>
      <c r="S41" s="1025"/>
      <c r="T41" s="1023"/>
      <c r="U41" s="473">
        <f>IF(S40=0,0,U40/S40)</f>
        <v>0.42005349591484692</v>
      </c>
      <c r="V41" s="1026"/>
      <c r="W41" s="473">
        <f>W40/U40</f>
        <v>7.829902281444015E-2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118"/>
  <sheetViews>
    <sheetView topLeftCell="AJ1" zoomScale="80" zoomScaleNormal="80" workbookViewId="0">
      <selection activeCell="AM1" sqref="AM1:AM1048576"/>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353999.64</v>
      </c>
      <c r="P5" s="706">
        <v>357607.39</v>
      </c>
      <c r="Q5" s="706">
        <v>0</v>
      </c>
      <c r="R5" s="706">
        <v>0</v>
      </c>
      <c r="S5" s="706">
        <v>39333.29</v>
      </c>
      <c r="T5" s="706">
        <v>39333.29</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315478.48</v>
      </c>
      <c r="AM5" s="905">
        <f t="shared" si="2"/>
        <v>38521.160000000033</v>
      </c>
      <c r="AN5" s="905">
        <f>INDEX(G5:R5,1,MATCH(Parametres!$B$3,G$1:R$1,0))*IF(OR(F5="L",F5="S",F5="I"),-1,1)</f>
        <v>353999.64</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91876.67</v>
      </c>
      <c r="P6" s="706">
        <v>92166.67</v>
      </c>
      <c r="Q6" s="706">
        <v>0</v>
      </c>
      <c r="R6" s="706">
        <v>0</v>
      </c>
      <c r="S6" s="706">
        <v>10208.52</v>
      </c>
      <c r="T6" s="706">
        <v>10208.52</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83766.759999999995</v>
      </c>
      <c r="AM6" s="905">
        <f t="shared" si="2"/>
        <v>8109.9100000000035</v>
      </c>
      <c r="AN6" s="905">
        <f>INDEX(G6:R6,1,MATCH(Parametres!$B$3,G$1:R$1,0))*IF(OR(F6="L",F6="S",F6="I"),-1,1)</f>
        <v>91876.67</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231750.45</v>
      </c>
      <c r="Q7" s="706">
        <v>0</v>
      </c>
      <c r="R7" s="706">
        <v>0</v>
      </c>
      <c r="S7" s="706">
        <v>25750.05</v>
      </c>
      <c r="T7" s="706">
        <v>25750.05</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229350.45</v>
      </c>
      <c r="AM7" s="905">
        <f t="shared" si="2"/>
        <v>2400</v>
      </c>
      <c r="AN7" s="905">
        <f>INDEX(G7:R7,1,MATCH(Parametres!$B$3,G$1:R$1,0))*IF(OR(F7="L",F7="S",F7="I"),-1,1)</f>
        <v>231750.45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276590.90999999997</v>
      </c>
      <c r="P8" s="706">
        <v>285106.08</v>
      </c>
      <c r="Q8" s="706">
        <v>0</v>
      </c>
      <c r="R8" s="706">
        <v>0</v>
      </c>
      <c r="S8" s="706">
        <v>30732.32</v>
      </c>
      <c r="T8" s="706">
        <v>30732.32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239781.54</v>
      </c>
      <c r="AM8" s="905">
        <f t="shared" si="2"/>
        <v>36809.369999999966</v>
      </c>
      <c r="AN8" s="905">
        <f>INDEX(G8:R8,1,MATCH(Parametres!$B$3,G$1:R$1,0))*IF(OR(F8="L",F8="S",F8="I"),-1,1)</f>
        <v>276590.90999999997</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-14914.98</v>
      </c>
      <c r="P9" s="706">
        <v>-18369.080000000002</v>
      </c>
      <c r="Q9" s="706">
        <v>0</v>
      </c>
      <c r="R9" s="706">
        <v>0</v>
      </c>
      <c r="S9" s="706">
        <v>-1657.22</v>
      </c>
      <c r="T9" s="706">
        <v>-1657.22</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-11981.25</v>
      </c>
      <c r="AM9" s="905">
        <f t="shared" si="2"/>
        <v>-2933.7299999999996</v>
      </c>
      <c r="AN9" s="905">
        <f>INDEX(G9:R9,1,MATCH(Parametres!$B$3,G$1:R$1,0))*IF(OR(F9="L",F9="S",F9="I"),-1,1)</f>
        <v>-14914.98</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11849.2</v>
      </c>
      <c r="P10" s="706">
        <v>12240.78</v>
      </c>
      <c r="Q10" s="706">
        <v>0</v>
      </c>
      <c r="R10" s="706">
        <v>0</v>
      </c>
      <c r="S10" s="706">
        <v>1316.58</v>
      </c>
      <c r="T10" s="706">
        <v>1316.58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11457.44</v>
      </c>
      <c r="AM10" s="905">
        <f t="shared" si="2"/>
        <v>391.76000000000022</v>
      </c>
      <c r="AN10" s="905">
        <f>INDEX(G10:R10,1,MATCH(Parametres!$B$3,G$1:R$1,0))*IF(OR(F10="L",F10="S",F10="I"),-1,1)</f>
        <v>11849.2</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12131.3</v>
      </c>
      <c r="P13" s="706">
        <v>12216.43</v>
      </c>
      <c r="Q13" s="706">
        <v>0</v>
      </c>
      <c r="R13" s="706">
        <v>0</v>
      </c>
      <c r="S13" s="706">
        <v>1347.92</v>
      </c>
      <c r="T13" s="706">
        <v>1347.92</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10229.98</v>
      </c>
      <c r="AM13" s="905">
        <f t="shared" si="2"/>
        <v>1901.3199999999997</v>
      </c>
      <c r="AN13" s="905">
        <f>INDEX(G13:R13,1,MATCH(Parametres!$B$3,G$1:R$1,0))*IF(OR(F13="L",F13="S",F13="I"),-1,1)</f>
        <v>12131.3</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1662.26</v>
      </c>
      <c r="P14" s="706">
        <v>1662.26</v>
      </c>
      <c r="Q14" s="706">
        <v>0</v>
      </c>
      <c r="R14" s="706">
        <v>0</v>
      </c>
      <c r="S14" s="706">
        <v>184.7</v>
      </c>
      <c r="T14" s="706">
        <v>184.7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446.43</v>
      </c>
      <c r="AM14" s="905">
        <f t="shared" si="2"/>
        <v>1215.83</v>
      </c>
      <c r="AN14" s="905">
        <f>INDEX(G14:R14,1,MATCH(Parametres!$B$3,G$1:R$1,0))*IF(OR(F14="L",F14="S",F14="I"),-1,1)</f>
        <v>1662.26</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35</v>
      </c>
      <c r="Q15" s="706">
        <v>0</v>
      </c>
      <c r="R15" s="706">
        <v>0</v>
      </c>
      <c r="S15" s="706">
        <v>3.89</v>
      </c>
      <c r="T15" s="706">
        <v>3.89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17.5</v>
      </c>
      <c r="AM15" s="905">
        <f t="shared" si="2"/>
        <v>17.5</v>
      </c>
      <c r="AN15" s="905">
        <f>INDEX(G15:R15,1,MATCH(Parametres!$B$3,G$1:R$1,0))*IF(OR(F15="L",F15="S",F15="I"),-1,1)</f>
        <v>35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9332.9599999999991</v>
      </c>
      <c r="P16" s="706">
        <v>9332.9599999999991</v>
      </c>
      <c r="Q16" s="706">
        <v>0</v>
      </c>
      <c r="R16" s="706">
        <v>0</v>
      </c>
      <c r="S16" s="706">
        <v>1037</v>
      </c>
      <c r="T16" s="706">
        <v>1037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525.17999999999847</v>
      </c>
      <c r="AN16" s="905">
        <f>INDEX(G16:R16,1,MATCH(Parametres!$B$3,G$1:R$1,0))*IF(OR(F16="L",F16="S",F16="I"),-1,1)</f>
        <v>9332.9599999999991</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12620.17</v>
      </c>
      <c r="Q17" s="706">
        <v>0</v>
      </c>
      <c r="R17" s="706">
        <v>0</v>
      </c>
      <c r="S17" s="706">
        <v>1402.24</v>
      </c>
      <c r="T17" s="706">
        <v>1402.24</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12361.18</v>
      </c>
      <c r="AM17" s="905">
        <f t="shared" si="2"/>
        <v>258.98999999999978</v>
      </c>
      <c r="AN17" s="905">
        <f>INDEX(G17:R17,1,MATCH(Parametres!$B$3,G$1:R$1,0))*IF(OR(F17="L",F17="S",F17="I"),-1,1)</f>
        <v>12620.17</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-262544</v>
      </c>
      <c r="P19" s="706">
        <v>-268536</v>
      </c>
      <c r="Q19" s="706">
        <v>0</v>
      </c>
      <c r="R19" s="706">
        <v>0</v>
      </c>
      <c r="S19" s="706">
        <v>-29171.56</v>
      </c>
      <c r="T19" s="706">
        <v>-29171.56</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-214609</v>
      </c>
      <c r="AM19" s="905">
        <f t="shared" si="2"/>
        <v>-47935</v>
      </c>
      <c r="AN19" s="905">
        <f>INDEX(G19:R19,1,MATCH(Parametres!$B$3,G$1:R$1,0))*IF(OR(F19="L",F19="S",F19="I"),-1,1)</f>
        <v>-262544</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-66124.34</v>
      </c>
      <c r="P20" s="706">
        <v>-66624.34</v>
      </c>
      <c r="Q20" s="706">
        <v>0</v>
      </c>
      <c r="R20" s="706">
        <v>0</v>
      </c>
      <c r="S20" s="706">
        <v>-7347.15</v>
      </c>
      <c r="T20" s="706">
        <v>-7347.15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-60624.34</v>
      </c>
      <c r="AM20" s="905">
        <f t="shared" si="2"/>
        <v>-5500</v>
      </c>
      <c r="AN20" s="905">
        <f>INDEX(G20:R20,1,MATCH(Parametres!$B$3,G$1:R$1,0))*IF(OR(F20="L",F20="S",F20="I"),-1,1)</f>
        <v>-66124.34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33222.65</v>
      </c>
      <c r="P23" s="706">
        <v>33222.65</v>
      </c>
      <c r="Q23" s="706">
        <v>0</v>
      </c>
      <c r="R23" s="706">
        <v>0</v>
      </c>
      <c r="S23" s="706">
        <v>3691.41</v>
      </c>
      <c r="T23" s="706">
        <v>3691.41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31145.71</v>
      </c>
      <c r="AM23" s="905">
        <f t="shared" si="2"/>
        <v>2076.9400000000023</v>
      </c>
      <c r="AN23" s="905">
        <f>INDEX(G23:R23,1,MATCH(Parametres!$B$3,G$1:R$1,0))*IF(OR(F23="L",F23="S",F23="I"),-1,1)</f>
        <v>33222.65</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22148.42</v>
      </c>
      <c r="P25" s="706">
        <v>22148.42</v>
      </c>
      <c r="Q25" s="706">
        <v>0</v>
      </c>
      <c r="R25" s="706">
        <v>0</v>
      </c>
      <c r="S25" s="706">
        <v>2460.94</v>
      </c>
      <c r="T25" s="706">
        <v>2460.94</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20763.810000000001</v>
      </c>
      <c r="AM25" s="905">
        <f t="shared" si="2"/>
        <v>1384.6099999999969</v>
      </c>
      <c r="AN25" s="905">
        <f>INDEX(G25:R25,1,MATCH(Parametres!$B$3,G$1:R$1,0))*IF(OR(F25="L",F25="S",F25="I"),-1,1)</f>
        <v>22148.42</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33222.65</v>
      </c>
      <c r="P26" s="706">
        <v>33222.65</v>
      </c>
      <c r="Q26" s="706">
        <v>0</v>
      </c>
      <c r="R26" s="706">
        <v>0</v>
      </c>
      <c r="S26" s="706">
        <v>3691.41</v>
      </c>
      <c r="T26" s="706">
        <v>3691.41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31145.71</v>
      </c>
      <c r="AM26" s="905">
        <f t="shared" si="2"/>
        <v>2076.9400000000023</v>
      </c>
      <c r="AN26" s="905">
        <f>INDEX(G26:R26,1,MATCH(Parametres!$B$3,G$1:R$1,0))*IF(OR(F26="L",F26="S",F26="I"),-1,1)</f>
        <v>33222.65</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11074.2</v>
      </c>
      <c r="P27" s="706">
        <v>11074.2</v>
      </c>
      <c r="Q27" s="706">
        <v>0</v>
      </c>
      <c r="R27" s="706">
        <v>0</v>
      </c>
      <c r="S27" s="706">
        <v>1230.47</v>
      </c>
      <c r="T27" s="706">
        <v>1230.47</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10381.89</v>
      </c>
      <c r="AM27" s="905">
        <f t="shared" si="2"/>
        <v>692.31000000000131</v>
      </c>
      <c r="AN27" s="905">
        <f>INDEX(G27:R27,1,MATCH(Parametres!$B$3,G$1:R$1,0))*IF(OR(F27="L",F27="S",F27="I"),-1,1)</f>
        <v>11074.2</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11074.2</v>
      </c>
      <c r="P28" s="706">
        <v>11074.2</v>
      </c>
      <c r="Q28" s="706">
        <v>0</v>
      </c>
      <c r="R28" s="706">
        <v>0</v>
      </c>
      <c r="S28" s="706">
        <v>1230.47</v>
      </c>
      <c r="T28" s="706">
        <v>1230.47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10381.9</v>
      </c>
      <c r="AM28" s="905">
        <f t="shared" si="2"/>
        <v>692.30000000000109</v>
      </c>
      <c r="AN28" s="905">
        <f>INDEX(G28:R28,1,MATCH(Parametres!$B$3,G$1:R$1,0))*IF(OR(F28="L",F28="S",F28="I"),-1,1)</f>
        <v>11074.2</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83475.34</v>
      </c>
      <c r="P31" s="706">
        <v>83475.34</v>
      </c>
      <c r="Q31" s="706">
        <v>0</v>
      </c>
      <c r="R31" s="706">
        <v>0</v>
      </c>
      <c r="S31" s="706">
        <v>9275.0400000000009</v>
      </c>
      <c r="T31" s="706">
        <v>9275.0400000000009</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80979.34</v>
      </c>
      <c r="AM31" s="905">
        <f t="shared" si="2"/>
        <v>2496</v>
      </c>
      <c r="AN31" s="905">
        <f>INDEX(G31:R31,1,MATCH(Parametres!$B$3,G$1:R$1,0))*IF(OR(F31="L",F31="S",F31="I"),-1,1)</f>
        <v>83475.34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70949.55</v>
      </c>
      <c r="P33" s="706">
        <v>70949.55</v>
      </c>
      <c r="Q33" s="706">
        <v>0</v>
      </c>
      <c r="R33" s="706">
        <v>0</v>
      </c>
      <c r="S33" s="706">
        <v>7883.28</v>
      </c>
      <c r="T33" s="706">
        <v>7883.28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68030.77</v>
      </c>
      <c r="AM33" s="905">
        <f t="shared" si="2"/>
        <v>2918.7799999999988</v>
      </c>
      <c r="AN33" s="905">
        <f>INDEX(G33:R33,1,MATCH(Parametres!$B$3,G$1:R$1,0))*IF(OR(F33="L",F33="S",F33="I"),-1,1)</f>
        <v>70949.55</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70395.070000000007</v>
      </c>
      <c r="P34" s="706">
        <v>70395.070000000007</v>
      </c>
      <c r="Q34" s="706">
        <v>0</v>
      </c>
      <c r="R34" s="706">
        <v>0</v>
      </c>
      <c r="S34" s="706">
        <v>7821.67</v>
      </c>
      <c r="T34" s="706">
        <v>7821.67</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70395.070000000007</v>
      </c>
      <c r="AM34" s="905">
        <f t="shared" si="2"/>
        <v>0</v>
      </c>
      <c r="AN34" s="905">
        <f>INDEX(G34:R34,1,MATCH(Parametres!$B$3,G$1:R$1,0))*IF(OR(F34="L",F34="S",F34="I"),-1,1)</f>
        <v>70395.070000000007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78690.13</v>
      </c>
      <c r="O35" s="706">
        <v>85732.44</v>
      </c>
      <c r="P35" s="706">
        <v>85732.44</v>
      </c>
      <c r="Q35" s="706">
        <v>0</v>
      </c>
      <c r="R35" s="706">
        <v>0</v>
      </c>
      <c r="S35" s="706">
        <v>9525.83</v>
      </c>
      <c r="T35" s="706">
        <v>9525.83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78690.13</v>
      </c>
      <c r="AM35" s="905">
        <f t="shared" si="2"/>
        <v>7042.3099999999977</v>
      </c>
      <c r="AN35" s="905">
        <f>INDEX(G35:R35,1,MATCH(Parametres!$B$3,G$1:R$1,0))*IF(OR(F35="L",F35="S",F35="I"),-1,1)</f>
        <v>85732.44</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83708.22</v>
      </c>
      <c r="P36" s="706">
        <v>83708.22</v>
      </c>
      <c r="Q36" s="706">
        <v>0</v>
      </c>
      <c r="R36" s="706">
        <v>0</v>
      </c>
      <c r="S36" s="706">
        <v>9300.91</v>
      </c>
      <c r="T36" s="706">
        <v>9300.91</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75708.2</v>
      </c>
      <c r="AM36" s="905">
        <f t="shared" si="2"/>
        <v>8000.0200000000041</v>
      </c>
      <c r="AN36" s="905">
        <f>INDEX(G36:R36,1,MATCH(Parametres!$B$3,G$1:R$1,0))*IF(OR(F36="L",F36="S",F36="I"),-1,1)</f>
        <v>83708.22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24814.35</v>
      </c>
      <c r="O37" s="706">
        <v>28465.8</v>
      </c>
      <c r="P37" s="706">
        <v>28465.8</v>
      </c>
      <c r="Q37" s="706">
        <v>0</v>
      </c>
      <c r="R37" s="706">
        <v>0</v>
      </c>
      <c r="S37" s="706">
        <v>3162.87</v>
      </c>
      <c r="T37" s="706">
        <v>3162.87</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24814.35</v>
      </c>
      <c r="AM37" s="905">
        <f t="shared" si="2"/>
        <v>3651.4500000000007</v>
      </c>
      <c r="AN37" s="905">
        <f>INDEX(G37:R37,1,MATCH(Parametres!$B$3,G$1:R$1,0))*IF(OR(F37="L",F37="S",F37="I"),-1,1)</f>
        <v>28465.8</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2100</v>
      </c>
      <c r="Q38" s="706">
        <v>0</v>
      </c>
      <c r="R38" s="706">
        <v>0</v>
      </c>
      <c r="S38" s="706">
        <v>233.33</v>
      </c>
      <c r="T38" s="706">
        <v>233.33</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162114.62</v>
      </c>
      <c r="P41" s="706">
        <v>162114.62</v>
      </c>
      <c r="Q41" s="706">
        <v>0</v>
      </c>
      <c r="R41" s="706">
        <v>0</v>
      </c>
      <c r="S41" s="706">
        <v>18012.740000000002</v>
      </c>
      <c r="T41" s="706">
        <v>18012.740000000002</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156469.21</v>
      </c>
      <c r="AM41" s="905">
        <f t="shared" si="2"/>
        <v>5645.4100000000035</v>
      </c>
      <c r="AN41" s="905">
        <f>INDEX(G41:R41,1,MATCH(Parametres!$B$3,G$1:R$1,0))*IF(OR(F41="L",F41="S",F41="I"),-1,1)</f>
        <v>162114.62</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40459.94</v>
      </c>
      <c r="P43" s="706">
        <v>40459.94</v>
      </c>
      <c r="Q43" s="706">
        <v>0</v>
      </c>
      <c r="R43" s="706">
        <v>0</v>
      </c>
      <c r="S43" s="706">
        <v>4495.55</v>
      </c>
      <c r="T43" s="706">
        <v>4495.55</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36696.32</v>
      </c>
      <c r="AM43" s="905">
        <f t="shared" si="2"/>
        <v>3763.6200000000026</v>
      </c>
      <c r="AN43" s="905">
        <f>INDEX(G43:R43,1,MATCH(Parametres!$B$3,G$1:R$1,0))*IF(OR(F43="L",F43="S",F43="I"),-1,1)</f>
        <v>40459.94</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37988</v>
      </c>
      <c r="P44" s="706">
        <v>37738</v>
      </c>
      <c r="Q44" s="706">
        <v>0</v>
      </c>
      <c r="R44" s="706">
        <v>0</v>
      </c>
      <c r="S44" s="706">
        <v>4220.8900000000003</v>
      </c>
      <c r="T44" s="706">
        <v>4220.8900000000003</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33625.980000000003</v>
      </c>
      <c r="AM44" s="905">
        <f t="shared" si="2"/>
        <v>4362.0199999999968</v>
      </c>
      <c r="AN44" s="905">
        <f>INDEX(G44:R44,1,MATCH(Parametres!$B$3,G$1:R$1,0))*IF(OR(F44="L",F44="S",F44="I"),-1,1)</f>
        <v>37988</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178807.16</v>
      </c>
      <c r="P45" s="706">
        <v>178807.16</v>
      </c>
      <c r="Q45" s="706">
        <v>0</v>
      </c>
      <c r="R45" s="706">
        <v>0</v>
      </c>
      <c r="S45" s="706">
        <v>19867.46</v>
      </c>
      <c r="T45" s="706">
        <v>19867.46</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174243</v>
      </c>
      <c r="AM45" s="905">
        <f t="shared" si="2"/>
        <v>4564.1600000000035</v>
      </c>
      <c r="AN45" s="905">
        <f>INDEX(G45:R45,1,MATCH(Parametres!$B$3,G$1:R$1,0))*IF(OR(F45="L",F45="S",F45="I"),-1,1)</f>
        <v>178807.16</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55270.34</v>
      </c>
      <c r="P46" s="706">
        <v>55270.34</v>
      </c>
      <c r="Q46" s="706">
        <v>0</v>
      </c>
      <c r="R46" s="706">
        <v>0</v>
      </c>
      <c r="S46" s="706">
        <v>6141.15</v>
      </c>
      <c r="T46" s="706">
        <v>6141.15</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52073.57</v>
      </c>
      <c r="AM46" s="905">
        <f t="shared" si="2"/>
        <v>3196.7699999999968</v>
      </c>
      <c r="AN46" s="905">
        <f>INDEX(G46:R46,1,MATCH(Parametres!$B$3,G$1:R$1,0))*IF(OR(F46="L",F46="S",F46="I"),-1,1)</f>
        <v>55270.34</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23015.33</v>
      </c>
      <c r="P47" s="706">
        <v>23015.33</v>
      </c>
      <c r="Q47" s="706">
        <v>0</v>
      </c>
      <c r="R47" s="706">
        <v>0</v>
      </c>
      <c r="S47" s="706">
        <v>2557.2600000000002</v>
      </c>
      <c r="T47" s="706">
        <v>2557.2600000000002</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21493.94</v>
      </c>
      <c r="AM47" s="905">
        <f t="shared" si="2"/>
        <v>1521.3900000000031</v>
      </c>
      <c r="AN47" s="905">
        <f>INDEX(G47:R47,1,MATCH(Parametres!$B$3,G$1:R$1,0))*IF(OR(F47="L",F47="S",F47="I"),-1,1)</f>
        <v>23015.33</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34012.559999999998</v>
      </c>
      <c r="P48" s="706">
        <v>34012.559999999998</v>
      </c>
      <c r="Q48" s="706">
        <v>0</v>
      </c>
      <c r="R48" s="706">
        <v>0</v>
      </c>
      <c r="S48" s="706">
        <v>3779.17</v>
      </c>
      <c r="T48" s="706">
        <v>3779.17</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28816.95</v>
      </c>
      <c r="AM48" s="905">
        <f t="shared" si="2"/>
        <v>5195.6099999999969</v>
      </c>
      <c r="AN48" s="905">
        <f>INDEX(G48:R48,1,MATCH(Parametres!$B$3,G$1:R$1,0))*IF(OR(F48="L",F48="S",F48="I"),-1,1)</f>
        <v>34012.559999999998</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42506.79</v>
      </c>
      <c r="P51" s="706">
        <v>42506.79</v>
      </c>
      <c r="Q51" s="706">
        <v>0</v>
      </c>
      <c r="R51" s="706">
        <v>0</v>
      </c>
      <c r="S51" s="706">
        <v>4722.9799999999996</v>
      </c>
      <c r="T51" s="706">
        <v>4722.9799999999996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40137.29</v>
      </c>
      <c r="AM51" s="905">
        <f t="shared" si="2"/>
        <v>2369.5</v>
      </c>
      <c r="AN51" s="905">
        <f>INDEX(G51:R51,1,MATCH(Parametres!$B$3,G$1:R$1,0))*IF(OR(F51="L",F51="S",F51="I"),-1,1)</f>
        <v>42506.79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14602.2</v>
      </c>
      <c r="P53" s="706">
        <v>14602.2</v>
      </c>
      <c r="Q53" s="706">
        <v>0</v>
      </c>
      <c r="R53" s="706">
        <v>0</v>
      </c>
      <c r="S53" s="706">
        <v>1622.47</v>
      </c>
      <c r="T53" s="706">
        <v>1622.47</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13022.53</v>
      </c>
      <c r="AM53" s="905">
        <f t="shared" si="2"/>
        <v>1579.67</v>
      </c>
      <c r="AN53" s="905">
        <f>INDEX(G53:R53,1,MATCH(Parametres!$B$3,G$1:R$1,0))*IF(OR(F53="L",F53="S",F53="I"),-1,1)</f>
        <v>14602.2</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101026.78</v>
      </c>
      <c r="P55" s="706">
        <v>101026.78</v>
      </c>
      <c r="Q55" s="706">
        <v>0</v>
      </c>
      <c r="R55" s="706">
        <v>0</v>
      </c>
      <c r="S55" s="706">
        <v>11225.2</v>
      </c>
      <c r="T55" s="706">
        <v>11225.2</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94653.08</v>
      </c>
      <c r="AM55" s="905">
        <f t="shared" si="2"/>
        <v>6373.6999999999971</v>
      </c>
      <c r="AN55" s="905">
        <f>INDEX(G55:R55,1,MATCH(Parametres!$B$3,G$1:R$1,0))*IF(OR(F55="L",F55="S",F55="I"),-1,1)</f>
        <v>101026.78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46862.14</v>
      </c>
      <c r="P56" s="706">
        <v>46862.14</v>
      </c>
      <c r="Q56" s="706">
        <v>0</v>
      </c>
      <c r="R56" s="706">
        <v>0</v>
      </c>
      <c r="S56" s="706">
        <v>5206.8999999999996</v>
      </c>
      <c r="T56" s="706">
        <v>5206.8999999999996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40562.14</v>
      </c>
      <c r="AM56" s="905">
        <f t="shared" si="2"/>
        <v>6300</v>
      </c>
      <c r="AN56" s="905">
        <f>INDEX(G56:R56,1,MATCH(Parametres!$B$3,G$1:R$1,0))*IF(OR(F56="L",F56="S",F56="I"),-1,1)</f>
        <v>46862.14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6376.05</v>
      </c>
      <c r="P57" s="706">
        <v>6376.05</v>
      </c>
      <c r="Q57" s="706">
        <v>0</v>
      </c>
      <c r="R57" s="706">
        <v>0</v>
      </c>
      <c r="S57" s="706">
        <v>708.45</v>
      </c>
      <c r="T57" s="706">
        <v>708.45</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3759.42</v>
      </c>
      <c r="AM57" s="905">
        <f t="shared" si="2"/>
        <v>2616.63</v>
      </c>
      <c r="AN57" s="905">
        <f>INDEX(G57:R57,1,MATCH(Parametres!$B$3,G$1:R$1,0))*IF(OR(F57="L",F57="S",F57="I"),-1,1)</f>
        <v>6376.05</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146709.35999999999</v>
      </c>
      <c r="O58" s="706">
        <v>154579.95000000001</v>
      </c>
      <c r="P58" s="706">
        <v>154579.95000000001</v>
      </c>
      <c r="Q58" s="706">
        <v>0</v>
      </c>
      <c r="R58" s="706">
        <v>0</v>
      </c>
      <c r="S58" s="706">
        <v>17175.55</v>
      </c>
      <c r="T58" s="706">
        <v>17175.55</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146709.35999999999</v>
      </c>
      <c r="AM58" s="905">
        <f t="shared" si="2"/>
        <v>7870.5900000000256</v>
      </c>
      <c r="AN58" s="905">
        <f>INDEX(G58:R58,1,MATCH(Parametres!$B$3,G$1:R$1,0))*IF(OR(F58="L",F58="S",F58="I"),-1,1)</f>
        <v>154579.95000000001</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3446.34</v>
      </c>
      <c r="P59" s="706">
        <v>3446.34</v>
      </c>
      <c r="Q59" s="706">
        <v>0</v>
      </c>
      <c r="R59" s="706">
        <v>0</v>
      </c>
      <c r="S59" s="706">
        <v>382.93</v>
      </c>
      <c r="T59" s="706">
        <v>382.93</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2021.34</v>
      </c>
      <c r="AM59" s="905">
        <f t="shared" si="2"/>
        <v>1425.0000000000002</v>
      </c>
      <c r="AN59" s="905">
        <f>INDEX(G59:R59,1,MATCH(Parametres!$B$3,G$1:R$1,0))*IF(OR(F59="L",F59="S",F59="I"),-1,1)</f>
        <v>3446.34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64168.959999999999</v>
      </c>
      <c r="P62" s="706">
        <v>64168.959999999999</v>
      </c>
      <c r="Q62" s="706">
        <v>0</v>
      </c>
      <c r="R62" s="706">
        <v>0</v>
      </c>
      <c r="S62" s="706">
        <v>7129.88</v>
      </c>
      <c r="T62" s="706">
        <v>7129.88</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59170.239999999998</v>
      </c>
      <c r="AM62" s="905">
        <f t="shared" si="2"/>
        <v>4998.7200000000012</v>
      </c>
      <c r="AN62" s="905">
        <f>INDEX(G62:R62,1,MATCH(Parametres!$B$3,G$1:R$1,0))*IF(OR(F62="L",F62="S",F62="I"),-1,1)</f>
        <v>64168.959999999999</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26017.23</v>
      </c>
      <c r="P63" s="706">
        <v>26017.23</v>
      </c>
      <c r="Q63" s="706">
        <v>0</v>
      </c>
      <c r="R63" s="706">
        <v>0</v>
      </c>
      <c r="S63" s="706">
        <v>2890.8</v>
      </c>
      <c r="T63" s="706">
        <v>2890.8</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23492.53</v>
      </c>
      <c r="AM63" s="905">
        <f t="shared" si="2"/>
        <v>2524.7000000000007</v>
      </c>
      <c r="AN63" s="905">
        <f>INDEX(G63:R63,1,MATCH(Parametres!$B$3,G$1:R$1,0))*IF(OR(F63="L",F63="S",F63="I"),-1,1)</f>
        <v>26017.23</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17476.61</v>
      </c>
      <c r="P64" s="706">
        <v>17476.61</v>
      </c>
      <c r="Q64" s="706">
        <v>0</v>
      </c>
      <c r="R64" s="706">
        <v>0</v>
      </c>
      <c r="S64" s="706">
        <v>1941.85</v>
      </c>
      <c r="T64" s="706">
        <v>1941.85</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15699.05</v>
      </c>
      <c r="AM64" s="905">
        <f t="shared" si="2"/>
        <v>1777.5600000000013</v>
      </c>
      <c r="AN64" s="905">
        <f>INDEX(G64:R64,1,MATCH(Parametres!$B$3,G$1:R$1,0))*IF(OR(F64="L",F64="S",F64="I"),-1,1)</f>
        <v>17476.61</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114962.26</v>
      </c>
      <c r="P65" s="706">
        <v>114962.26</v>
      </c>
      <c r="Q65" s="706">
        <v>0</v>
      </c>
      <c r="R65" s="706">
        <v>0</v>
      </c>
      <c r="S65" s="706">
        <v>12773.58</v>
      </c>
      <c r="T65" s="706">
        <v>12773.58</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105940.87</v>
      </c>
      <c r="AM65" s="905">
        <f t="shared" si="2"/>
        <v>9021.39</v>
      </c>
      <c r="AN65" s="905">
        <f>INDEX(G65:R65,1,MATCH(Parametres!$B$3,G$1:R$1,0))*IF(OR(F65="L",F65="S",F65="I"),-1,1)</f>
        <v>114962.26</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38227.11</v>
      </c>
      <c r="P66" s="706">
        <v>38227.11</v>
      </c>
      <c r="Q66" s="706">
        <v>0</v>
      </c>
      <c r="R66" s="706">
        <v>0</v>
      </c>
      <c r="S66" s="706">
        <v>4247.46</v>
      </c>
      <c r="T66" s="706">
        <v>4247.46</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34377.56</v>
      </c>
      <c r="AM66" s="905">
        <f t="shared" si="2"/>
        <v>3849.5500000000029</v>
      </c>
      <c r="AN66" s="905">
        <f>INDEX(G66:R66,1,MATCH(Parametres!$B$3,G$1:R$1,0))*IF(OR(F66="L",F66="S",F66="I"),-1,1)</f>
        <v>38227.11</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22354.65</v>
      </c>
      <c r="P67" s="706">
        <v>22354.65</v>
      </c>
      <c r="Q67" s="706">
        <v>0</v>
      </c>
      <c r="R67" s="706">
        <v>0</v>
      </c>
      <c r="S67" s="706">
        <v>2483.85</v>
      </c>
      <c r="T67" s="706">
        <v>2483.85</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20299.79</v>
      </c>
      <c r="AM67" s="905">
        <f t="shared" si="2"/>
        <v>2054.8600000000006</v>
      </c>
      <c r="AN67" s="905">
        <f>INDEX(G67:R67,1,MATCH(Parametres!$B$3,G$1:R$1,0))*IF(OR(F67="L",F67="S",F67="I"),-1,1)</f>
        <v>22354.65</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18001.919999999998</v>
      </c>
      <c r="P68" s="706">
        <v>18001.919999999998</v>
      </c>
      <c r="Q68" s="706">
        <v>0</v>
      </c>
      <c r="R68" s="706">
        <v>0</v>
      </c>
      <c r="S68" s="706">
        <v>2000.21</v>
      </c>
      <c r="T68" s="706">
        <v>2000.21</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13864.55</v>
      </c>
      <c r="AM68" s="905">
        <f t="shared" ref="AM68:AM131" si="8">AN68-AL68</f>
        <v>4137.369999999999</v>
      </c>
      <c r="AN68" s="905">
        <f>INDEX(G68:R68,1,MATCH(Parametres!$B$3,G$1:R$1,0))*IF(OR(F68="L",F68="S",F68="I"),-1,1)</f>
        <v>18001.919999999998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120904.94</v>
      </c>
      <c r="P71" s="706">
        <v>120904.94</v>
      </c>
      <c r="Q71" s="706">
        <v>0</v>
      </c>
      <c r="R71" s="706">
        <v>0</v>
      </c>
      <c r="S71" s="706">
        <v>13433.88</v>
      </c>
      <c r="T71" s="706">
        <v>13433.88</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117114.98</v>
      </c>
      <c r="AM71" s="905">
        <f t="shared" si="8"/>
        <v>3789.9600000000064</v>
      </c>
      <c r="AN71" s="905">
        <f>INDEX(G71:R71,1,MATCH(Parametres!$B$3,G$1:R$1,0))*IF(OR(F71="L",F71="S",F71="I"),-1,1)</f>
        <v>120904.94</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33274.589999999997</v>
      </c>
      <c r="P73" s="706">
        <v>33274.589999999997</v>
      </c>
      <c r="Q73" s="706">
        <v>0</v>
      </c>
      <c r="R73" s="706">
        <v>0</v>
      </c>
      <c r="S73" s="706">
        <v>3697.18</v>
      </c>
      <c r="T73" s="706">
        <v>3697.18</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31086.5</v>
      </c>
      <c r="AM73" s="905">
        <f t="shared" si="8"/>
        <v>2188.0899999999965</v>
      </c>
      <c r="AN73" s="905">
        <f>INDEX(G73:R73,1,MATCH(Parametres!$B$3,G$1:R$1,0))*IF(OR(F73="L",F73="S",F73="I"),-1,1)</f>
        <v>33274.589999999997</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48094.83</v>
      </c>
      <c r="P74" s="706">
        <v>48094.83</v>
      </c>
      <c r="Q74" s="706">
        <v>0</v>
      </c>
      <c r="R74" s="706">
        <v>0</v>
      </c>
      <c r="S74" s="706">
        <v>5343.87</v>
      </c>
      <c r="T74" s="706">
        <v>5343.87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46412.12</v>
      </c>
      <c r="AM74" s="905">
        <f t="shared" si="8"/>
        <v>1682.7099999999991</v>
      </c>
      <c r="AN74" s="905">
        <f>INDEX(G74:R74,1,MATCH(Parametres!$B$3,G$1:R$1,0))*IF(OR(F74="L",F74="S",F74="I"),-1,1)</f>
        <v>48094.83</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149824.85</v>
      </c>
      <c r="P75" s="706">
        <v>149824.85</v>
      </c>
      <c r="Q75" s="706">
        <v>0</v>
      </c>
      <c r="R75" s="706">
        <v>0</v>
      </c>
      <c r="S75" s="706">
        <v>16647.21</v>
      </c>
      <c r="T75" s="706">
        <v>16647.21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140540.87</v>
      </c>
      <c r="AM75" s="905">
        <f t="shared" si="8"/>
        <v>9283.9800000000105</v>
      </c>
      <c r="AN75" s="905">
        <f>INDEX(G75:R75,1,MATCH(Parametres!$B$3,G$1:R$1,0))*IF(OR(F75="L",F75="S",F75="I"),-1,1)</f>
        <v>149824.85</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48999.38</v>
      </c>
      <c r="P76" s="706">
        <v>48999.38</v>
      </c>
      <c r="Q76" s="706">
        <v>0</v>
      </c>
      <c r="R76" s="706">
        <v>0</v>
      </c>
      <c r="S76" s="706">
        <v>5444.38</v>
      </c>
      <c r="T76" s="706">
        <v>5444.38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45409.32</v>
      </c>
      <c r="AM76" s="905">
        <f t="shared" si="8"/>
        <v>3590.0599999999977</v>
      </c>
      <c r="AN76" s="905">
        <f>INDEX(G76:R76,1,MATCH(Parametres!$B$3,G$1:R$1,0))*IF(OR(F76="L",F76="S",F76="I"),-1,1)</f>
        <v>48999.38</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28244.62</v>
      </c>
      <c r="P77" s="706">
        <v>28244.62</v>
      </c>
      <c r="Q77" s="706">
        <v>0</v>
      </c>
      <c r="R77" s="706">
        <v>0</v>
      </c>
      <c r="S77" s="706">
        <v>3138.29</v>
      </c>
      <c r="T77" s="706">
        <v>3138.29</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26548.43</v>
      </c>
      <c r="AM77" s="905">
        <f t="shared" si="8"/>
        <v>1696.1899999999987</v>
      </c>
      <c r="AN77" s="905">
        <f>INDEX(G77:R77,1,MATCH(Parametres!$B$3,G$1:R$1,0))*IF(OR(F77="L",F77="S",F77="I"),-1,1)</f>
        <v>28244.62</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18544.22</v>
      </c>
      <c r="P78" s="706">
        <v>18544.22</v>
      </c>
      <c r="Q78" s="706">
        <v>0</v>
      </c>
      <c r="R78" s="706">
        <v>0</v>
      </c>
      <c r="S78" s="706">
        <v>2060.4699999999998</v>
      </c>
      <c r="T78" s="706">
        <v>2060.4699999999998</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14954.65</v>
      </c>
      <c r="AM78" s="905">
        <f t="shared" si="8"/>
        <v>3589.5700000000015</v>
      </c>
      <c r="AN78" s="905">
        <f>INDEX(G78:R78,1,MATCH(Parametres!$B$3,G$1:R$1,0))*IF(OR(F78="L",F78="S",F78="I"),-1,1)</f>
        <v>18544.22</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28292.35</v>
      </c>
      <c r="P81" s="706">
        <v>28292.35</v>
      </c>
      <c r="Q81" s="706">
        <v>0</v>
      </c>
      <c r="R81" s="706">
        <v>0</v>
      </c>
      <c r="S81" s="706">
        <v>3143.59</v>
      </c>
      <c r="T81" s="706">
        <v>3143.59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27876.34</v>
      </c>
      <c r="AM81" s="905">
        <f t="shared" si="8"/>
        <v>416.0099999999984</v>
      </c>
      <c r="AN81" s="905">
        <f>INDEX(G81:R81,1,MATCH(Parametres!$B$3,G$1:R$1,0))*IF(OR(F81="L",F81="S",F81="I"),-1,1)</f>
        <v>28292.35</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18231.25</v>
      </c>
      <c r="P83" s="706">
        <v>18231.25</v>
      </c>
      <c r="Q83" s="706">
        <v>0</v>
      </c>
      <c r="R83" s="706">
        <v>0</v>
      </c>
      <c r="S83" s="706">
        <v>2025.69</v>
      </c>
      <c r="T83" s="706">
        <v>2025.69</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18007.73</v>
      </c>
      <c r="AM83" s="905">
        <f t="shared" si="8"/>
        <v>223.52000000000044</v>
      </c>
      <c r="AN83" s="905">
        <f>INDEX(G83:R83,1,MATCH(Parametres!$B$3,G$1:R$1,0))*IF(OR(F83="L",F83="S",F83="I"),-1,1)</f>
        <v>18231.25</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8725.83</v>
      </c>
      <c r="P84" s="706">
        <v>8725.83</v>
      </c>
      <c r="Q84" s="706">
        <v>0</v>
      </c>
      <c r="R84" s="706">
        <v>0</v>
      </c>
      <c r="S84" s="706">
        <v>969.54</v>
      </c>
      <c r="T84" s="706">
        <v>969.54</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8550.67</v>
      </c>
      <c r="AM84" s="905">
        <f t="shared" si="8"/>
        <v>175.15999999999985</v>
      </c>
      <c r="AN84" s="905">
        <f>INDEX(G84:R84,1,MATCH(Parametres!$B$3,G$1:R$1,0))*IF(OR(F84="L",F84="S",F84="I"),-1,1)</f>
        <v>8725.83</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57409.67</v>
      </c>
      <c r="P85" s="706">
        <v>57659.67</v>
      </c>
      <c r="Q85" s="706">
        <v>0</v>
      </c>
      <c r="R85" s="706">
        <v>0</v>
      </c>
      <c r="S85" s="706">
        <v>6378.85</v>
      </c>
      <c r="T85" s="706">
        <v>6378.85</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56264.3</v>
      </c>
      <c r="AM85" s="905">
        <f t="shared" si="8"/>
        <v>1145.3699999999953</v>
      </c>
      <c r="AN85" s="905">
        <f>INDEX(G85:R85,1,MATCH(Parametres!$B$3,G$1:R$1,0))*IF(OR(F85="L",F85="S",F85="I"),-1,1)</f>
        <v>57409.67</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14498.23</v>
      </c>
      <c r="P86" s="706">
        <v>14498.23</v>
      </c>
      <c r="Q86" s="706">
        <v>0</v>
      </c>
      <c r="R86" s="706">
        <v>0</v>
      </c>
      <c r="S86" s="706">
        <v>1610.91</v>
      </c>
      <c r="T86" s="706">
        <v>1610.91</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14244.46</v>
      </c>
      <c r="AM86" s="905">
        <f t="shared" si="8"/>
        <v>253.77000000000044</v>
      </c>
      <c r="AN86" s="905">
        <f>INDEX(G86:R86,1,MATCH(Parametres!$B$3,G$1:R$1,0))*IF(OR(F86="L",F86="S",F86="I"),-1,1)</f>
        <v>14498.23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8117.04</v>
      </c>
      <c r="P87" s="706">
        <v>8117.04</v>
      </c>
      <c r="Q87" s="706">
        <v>0</v>
      </c>
      <c r="R87" s="706">
        <v>0</v>
      </c>
      <c r="S87" s="706">
        <v>901.89</v>
      </c>
      <c r="T87" s="706">
        <v>901.89</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7960.34</v>
      </c>
      <c r="AM87" s="905">
        <f t="shared" si="8"/>
        <v>156.69999999999982</v>
      </c>
      <c r="AN87" s="905">
        <f>INDEX(G87:R87,1,MATCH(Parametres!$B$3,G$1:R$1,0))*IF(OR(F87="L",F87="S",F87="I"),-1,1)</f>
        <v>8117.04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4108.37</v>
      </c>
      <c r="P88" s="706">
        <v>4108.37</v>
      </c>
      <c r="Q88" s="706">
        <v>0</v>
      </c>
      <c r="R88" s="706">
        <v>0</v>
      </c>
      <c r="S88" s="706">
        <v>456.49</v>
      </c>
      <c r="T88" s="706">
        <v>456.49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3396.68</v>
      </c>
      <c r="AM88" s="905">
        <f t="shared" si="8"/>
        <v>711.69</v>
      </c>
      <c r="AN88" s="905">
        <f>INDEX(G88:R88,1,MATCH(Parametres!$B$3,G$1:R$1,0))*IF(OR(F88="L",F88="S",F88="I"),-1,1)</f>
        <v>4108.37</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24694.37</v>
      </c>
      <c r="P92" s="706">
        <v>24694.37</v>
      </c>
      <c r="Q92" s="706">
        <v>0</v>
      </c>
      <c r="R92" s="706">
        <v>0</v>
      </c>
      <c r="S92" s="706">
        <v>2743.82</v>
      </c>
      <c r="T92" s="706">
        <v>2743.82</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21344.57</v>
      </c>
      <c r="AM92" s="905">
        <f t="shared" si="8"/>
        <v>3349.7999999999993</v>
      </c>
      <c r="AN92" s="905">
        <f>INDEX(G92:R92,1,MATCH(Parametres!$B$3,G$1:R$1,0))*IF(OR(F92="L",F92="S",F92="I"),-1,1)</f>
        <v>24694.37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15260.88</v>
      </c>
      <c r="P94" s="706">
        <v>15260.88</v>
      </c>
      <c r="Q94" s="706">
        <v>0</v>
      </c>
      <c r="R94" s="706">
        <v>0</v>
      </c>
      <c r="S94" s="706">
        <v>1695.65</v>
      </c>
      <c r="T94" s="706">
        <v>1695.65</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13098.98</v>
      </c>
      <c r="AM94" s="905">
        <f t="shared" si="8"/>
        <v>2161.8999999999996</v>
      </c>
      <c r="AN94" s="905">
        <f>INDEX(G94:R94,1,MATCH(Parametres!$B$3,G$1:R$1,0))*IF(OR(F94="L",F94="S",F94="I"),-1,1)</f>
        <v>15260.88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1270.28</v>
      </c>
      <c r="P95" s="706">
        <v>1270.28</v>
      </c>
      <c r="Q95" s="706">
        <v>0</v>
      </c>
      <c r="R95" s="706">
        <v>0</v>
      </c>
      <c r="S95" s="706">
        <v>141.13999999999999</v>
      </c>
      <c r="T95" s="706">
        <v>141.13999999999999</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1054.98</v>
      </c>
      <c r="AM95" s="905">
        <f t="shared" si="8"/>
        <v>215.29999999999995</v>
      </c>
      <c r="AN95" s="905">
        <f>INDEX(G95:R95,1,MATCH(Parametres!$B$3,G$1:R$1,0))*IF(OR(F95="L",F95="S",F95="I"),-1,1)</f>
        <v>1270.28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30998.89</v>
      </c>
      <c r="P96" s="706">
        <v>30998.89</v>
      </c>
      <c r="Q96" s="706">
        <v>0</v>
      </c>
      <c r="R96" s="706">
        <v>0</v>
      </c>
      <c r="S96" s="706">
        <v>3444.32</v>
      </c>
      <c r="T96" s="706">
        <v>3444.32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26969.75</v>
      </c>
      <c r="AM96" s="905">
        <f t="shared" si="8"/>
        <v>4029.1399999999994</v>
      </c>
      <c r="AN96" s="905">
        <f>INDEX(G96:R96,1,MATCH(Parametres!$B$3,G$1:R$1,0))*IF(OR(F96="L",F96="S",F96="I"),-1,1)</f>
        <v>30998.89</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9412.4500000000007</v>
      </c>
      <c r="P97" s="706">
        <v>9412.4500000000007</v>
      </c>
      <c r="Q97" s="706">
        <v>0</v>
      </c>
      <c r="R97" s="706">
        <v>0</v>
      </c>
      <c r="S97" s="706">
        <v>1045.83</v>
      </c>
      <c r="T97" s="706">
        <v>1045.83</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8004.87</v>
      </c>
      <c r="AM97" s="905">
        <f t="shared" si="8"/>
        <v>1407.5800000000008</v>
      </c>
      <c r="AN97" s="905">
        <f>INDEX(G97:R97,1,MATCH(Parametres!$B$3,G$1:R$1,0))*IF(OR(F97="L",F97="S",F97="I"),-1,1)</f>
        <v>9412.4500000000007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8708.33</v>
      </c>
      <c r="P98" s="706">
        <v>8708.33</v>
      </c>
      <c r="Q98" s="706">
        <v>0</v>
      </c>
      <c r="R98" s="706">
        <v>0</v>
      </c>
      <c r="S98" s="706">
        <v>967.59</v>
      </c>
      <c r="T98" s="706">
        <v>967.59</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7548.31</v>
      </c>
      <c r="AM98" s="905">
        <f t="shared" si="8"/>
        <v>1160.0199999999995</v>
      </c>
      <c r="AN98" s="905">
        <f>INDEX(G98:R98,1,MATCH(Parametres!$B$3,G$1:R$1,0))*IF(OR(F98="L",F98="S",F98="I"),-1,1)</f>
        <v>8708.33</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2453.37</v>
      </c>
      <c r="P99" s="706">
        <v>2453.37</v>
      </c>
      <c r="Q99" s="706">
        <v>0</v>
      </c>
      <c r="R99" s="706">
        <v>0</v>
      </c>
      <c r="S99" s="706">
        <v>272.60000000000002</v>
      </c>
      <c r="T99" s="706">
        <v>272.60000000000002</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1982.07</v>
      </c>
      <c r="AM99" s="905">
        <f t="shared" si="8"/>
        <v>471.29999999999995</v>
      </c>
      <c r="AN99" s="905">
        <f>INDEX(G99:R99,1,MATCH(Parametres!$B$3,G$1:R$1,0))*IF(OR(F99="L",F99="S",F99="I"),-1,1)</f>
        <v>2453.37</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14795.39</v>
      </c>
      <c r="P102" s="706">
        <v>14922.44</v>
      </c>
      <c r="Q102" s="706">
        <v>0</v>
      </c>
      <c r="R102" s="706">
        <v>0</v>
      </c>
      <c r="S102" s="706">
        <v>1643.93</v>
      </c>
      <c r="T102" s="706">
        <v>1643.93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13481.04</v>
      </c>
      <c r="AM102" s="905">
        <f t="shared" si="8"/>
        <v>1314.3499999999985</v>
      </c>
      <c r="AN102" s="905">
        <f>INDEX(G102:R102,1,MATCH(Parametres!$B$3,G$1:R$1,0))*IF(OR(F102="L",F102="S",F102="I"),-1,1)</f>
        <v>14795.39</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10296.129999999999</v>
      </c>
      <c r="P103" s="706">
        <v>10380.83</v>
      </c>
      <c r="Q103" s="706">
        <v>0</v>
      </c>
      <c r="R103" s="706">
        <v>0</v>
      </c>
      <c r="S103" s="706">
        <v>1144.01</v>
      </c>
      <c r="T103" s="706">
        <v>1144.01</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9530.85</v>
      </c>
      <c r="AM103" s="905">
        <f t="shared" si="8"/>
        <v>765.27999999999884</v>
      </c>
      <c r="AN103" s="905">
        <f>INDEX(G103:R103,1,MATCH(Parametres!$B$3,G$1:R$1,0))*IF(OR(F103="L",F103="S",F103="I"),-1,1)</f>
        <v>10296.129999999999</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4601.07</v>
      </c>
      <c r="P104" s="706">
        <v>4628.9399999999996</v>
      </c>
      <c r="Q104" s="706">
        <v>0</v>
      </c>
      <c r="R104" s="706">
        <v>0</v>
      </c>
      <c r="S104" s="706">
        <v>511.23</v>
      </c>
      <c r="T104" s="706">
        <v>511.23</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4582.07</v>
      </c>
      <c r="AM104" s="905">
        <f t="shared" si="8"/>
        <v>19</v>
      </c>
      <c r="AN104" s="905">
        <f>INDEX(G104:R104,1,MATCH(Parametres!$B$3,G$1:R$1,0))*IF(OR(F104="L",F104="S",F104="I"),-1,1)</f>
        <v>4601.07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9845.19</v>
      </c>
      <c r="Q105" s="706">
        <v>0</v>
      </c>
      <c r="R105" s="706">
        <v>0</v>
      </c>
      <c r="S105" s="706">
        <v>1079.79</v>
      </c>
      <c r="T105" s="706">
        <v>1079.79</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9216.24</v>
      </c>
      <c r="AM105" s="905">
        <f t="shared" si="8"/>
        <v>501.89999999999964</v>
      </c>
      <c r="AN105" s="905">
        <f>INDEX(G105:R105,1,MATCH(Parametres!$B$3,G$1:R$1,0))*IF(OR(F105="L",F105="S",F105="I"),-1,1)</f>
        <v>9718.14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3264.12</v>
      </c>
      <c r="Q106" s="706">
        <v>0</v>
      </c>
      <c r="R106" s="706">
        <v>0</v>
      </c>
      <c r="S106" s="706">
        <v>357.97</v>
      </c>
      <c r="T106" s="706">
        <v>357.97</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3054.47</v>
      </c>
      <c r="AM106" s="905">
        <f t="shared" si="8"/>
        <v>167.30000000000018</v>
      </c>
      <c r="AN106" s="905">
        <f>INDEX(G106:R106,1,MATCH(Parametres!$B$3,G$1:R$1,0))*IF(OR(F106="L",F106="S",F106="I"),-1,1)</f>
        <v>3221.77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9439.5</v>
      </c>
      <c r="P107" s="706">
        <v>9756.2900000000009</v>
      </c>
      <c r="Q107" s="706">
        <v>0</v>
      </c>
      <c r="R107" s="706">
        <v>0</v>
      </c>
      <c r="S107" s="706">
        <v>1048.83</v>
      </c>
      <c r="T107" s="706">
        <v>1048.83</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8491.3799999999992</v>
      </c>
      <c r="AM107" s="905">
        <f t="shared" si="8"/>
        <v>948.1200000000008</v>
      </c>
      <c r="AN107" s="905">
        <f>INDEX(G107:R107,1,MATCH(Parametres!$B$3,G$1:R$1,0))*IF(OR(F107="L",F107="S",F107="I"),-1,1)</f>
        <v>9439.5</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88473.11</v>
      </c>
      <c r="P109" s="706">
        <v>88760.1</v>
      </c>
      <c r="Q109" s="706">
        <v>0</v>
      </c>
      <c r="R109" s="706">
        <v>0</v>
      </c>
      <c r="S109" s="706">
        <v>9830.35</v>
      </c>
      <c r="T109" s="706">
        <v>9830.35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83024.460000000006</v>
      </c>
      <c r="AM109" s="905">
        <f t="shared" si="8"/>
        <v>5448.6499999999942</v>
      </c>
      <c r="AN109" s="905">
        <f>INDEX(G109:R109,1,MATCH(Parametres!$B$3,G$1:R$1,0))*IF(OR(F109="L",F109="S",F109="I"),-1,1)</f>
        <v>88473.11</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35743.72</v>
      </c>
      <c r="P110" s="706">
        <v>35743.72</v>
      </c>
      <c r="Q110" s="706">
        <v>0</v>
      </c>
      <c r="R110" s="706">
        <v>0</v>
      </c>
      <c r="S110" s="706">
        <v>3971.52</v>
      </c>
      <c r="T110" s="706">
        <v>3971.52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34217.79</v>
      </c>
      <c r="AM110" s="905">
        <f t="shared" si="8"/>
        <v>1525.9300000000003</v>
      </c>
      <c r="AN110" s="905">
        <f>INDEX(G110:R110,1,MATCH(Parametres!$B$3,G$1:R$1,0))*IF(OR(F110="L",F110="S",F110="I"),-1,1)</f>
        <v>35743.72</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2750</v>
      </c>
      <c r="Q111" s="706">
        <v>0</v>
      </c>
      <c r="R111" s="706">
        <v>0</v>
      </c>
      <c r="S111" s="706">
        <v>305.56</v>
      </c>
      <c r="T111" s="706">
        <v>305.56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50910.42</v>
      </c>
      <c r="P112" s="706">
        <v>46342.42</v>
      </c>
      <c r="Q112" s="706">
        <v>0</v>
      </c>
      <c r="R112" s="706">
        <v>0</v>
      </c>
      <c r="S112" s="706">
        <v>5656.71</v>
      </c>
      <c r="T112" s="706">
        <v>5656.71</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46403.47</v>
      </c>
      <c r="AM112" s="905">
        <f t="shared" si="8"/>
        <v>4506.9499999999971</v>
      </c>
      <c r="AN112" s="905">
        <f>INDEX(G112:R112,1,MATCH(Parametres!$B$3,G$1:R$1,0))*IF(OR(F112="L",F112="S",F112="I"),-1,1)</f>
        <v>50910.42</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3013.56</v>
      </c>
      <c r="P113" s="706">
        <v>1767.56</v>
      </c>
      <c r="Q113" s="706">
        <v>0</v>
      </c>
      <c r="R113" s="706">
        <v>0</v>
      </c>
      <c r="S113" s="706">
        <v>334.84</v>
      </c>
      <c r="T113" s="706">
        <v>334.84</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3928.02</v>
      </c>
      <c r="AM113" s="905">
        <f t="shared" si="8"/>
        <v>-914.46</v>
      </c>
      <c r="AN113" s="905">
        <f>INDEX(G113:R113,1,MATCH(Parametres!$B$3,G$1:R$1,0))*IF(OR(F113="L",F113="S",F113="I"),-1,1)</f>
        <v>3013.56</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18741.34</v>
      </c>
      <c r="P114" s="706">
        <v>18768.330000000002</v>
      </c>
      <c r="Q114" s="706">
        <v>0</v>
      </c>
      <c r="R114" s="706">
        <v>0</v>
      </c>
      <c r="S114" s="706">
        <v>2082.37</v>
      </c>
      <c r="T114" s="706">
        <v>2082.37</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16554.02</v>
      </c>
      <c r="AM114" s="905">
        <f t="shared" si="8"/>
        <v>2187.3199999999997</v>
      </c>
      <c r="AN114" s="905">
        <f>INDEX(G114:R114,1,MATCH(Parametres!$B$3,G$1:R$1,0))*IF(OR(F114="L",F114="S",F114="I"),-1,1)</f>
        <v>18741.34</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13784.86</v>
      </c>
      <c r="P124" s="706">
        <v>13784.86</v>
      </c>
      <c r="Q124" s="706">
        <v>0</v>
      </c>
      <c r="R124" s="706">
        <v>0</v>
      </c>
      <c r="S124" s="706">
        <v>1531.65</v>
      </c>
      <c r="T124" s="706">
        <v>1531.65</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11390.54</v>
      </c>
      <c r="AM124" s="905">
        <f t="shared" si="8"/>
        <v>2394.3199999999997</v>
      </c>
      <c r="AN124" s="905">
        <f>INDEX(G124:R124,1,MATCH(Parametres!$B$3,G$1:R$1,0))*IF(OR(F124="L",F124="S",F124="I"),-1,1)</f>
        <v>13784.86</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9674.19</v>
      </c>
      <c r="P125" s="706">
        <v>9709.19</v>
      </c>
      <c r="Q125" s="706">
        <v>0</v>
      </c>
      <c r="R125" s="706">
        <v>0</v>
      </c>
      <c r="S125" s="706">
        <v>1074.9100000000001</v>
      </c>
      <c r="T125" s="706">
        <v>1074.9100000000001</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8028.81</v>
      </c>
      <c r="AM125" s="905">
        <f t="shared" si="8"/>
        <v>1645.38</v>
      </c>
      <c r="AN125" s="905">
        <f>INDEX(G125:R125,1,MATCH(Parametres!$B$3,G$1:R$1,0))*IF(OR(F125="L",F125="S",F125="I"),-1,1)</f>
        <v>9674.19</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52.5</v>
      </c>
      <c r="Q126" s="706">
        <v>0</v>
      </c>
      <c r="R126" s="706">
        <v>0</v>
      </c>
      <c r="S126" s="706">
        <v>5.83</v>
      </c>
      <c r="T126" s="706">
        <v>5.83</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52.5</v>
      </c>
      <c r="AM126" s="905">
        <f t="shared" si="8"/>
        <v>0</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13778.31</v>
      </c>
      <c r="P127" s="706">
        <v>13778.31</v>
      </c>
      <c r="Q127" s="706">
        <v>0</v>
      </c>
      <c r="R127" s="706">
        <v>0</v>
      </c>
      <c r="S127" s="706">
        <v>1530.92</v>
      </c>
      <c r="T127" s="706">
        <v>1530.92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11388.99</v>
      </c>
      <c r="AM127" s="905">
        <f t="shared" si="8"/>
        <v>2389.3199999999997</v>
      </c>
      <c r="AN127" s="905">
        <f>INDEX(G127:R127,1,MATCH(Parametres!$B$3,G$1:R$1,0))*IF(OR(F127="L",F127="S",F127="I"),-1,1)</f>
        <v>13778.31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4532.6400000000003</v>
      </c>
      <c r="P128" s="706">
        <v>4532.6400000000003</v>
      </c>
      <c r="Q128" s="706">
        <v>0</v>
      </c>
      <c r="R128" s="706">
        <v>0</v>
      </c>
      <c r="S128" s="706">
        <v>503.63</v>
      </c>
      <c r="T128" s="706">
        <v>503.63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3736.2</v>
      </c>
      <c r="AM128" s="905">
        <f t="shared" si="8"/>
        <v>796.44000000000051</v>
      </c>
      <c r="AN128" s="905">
        <f>INDEX(G128:R128,1,MATCH(Parametres!$B$3,G$1:R$1,0))*IF(OR(F128="L",F128="S",F128="I"),-1,1)</f>
        <v>4532.6400000000003</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4532.53</v>
      </c>
      <c r="P129" s="706">
        <v>4532.53</v>
      </c>
      <c r="Q129" s="706">
        <v>0</v>
      </c>
      <c r="R129" s="706">
        <v>0</v>
      </c>
      <c r="S129" s="706">
        <v>503.61</v>
      </c>
      <c r="T129" s="706">
        <v>503.61</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3736.09</v>
      </c>
      <c r="AM129" s="905">
        <f t="shared" si="8"/>
        <v>796.4399999999996</v>
      </c>
      <c r="AN129" s="905">
        <f>INDEX(G129:R129,1,MATCH(Parametres!$B$3,G$1:R$1,0))*IF(OR(F129="L",F129="S",F129="I"),-1,1)</f>
        <v>4532.53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3040.34</v>
      </c>
      <c r="P134" s="706">
        <v>3040.34</v>
      </c>
      <c r="Q134" s="706">
        <v>0</v>
      </c>
      <c r="R134" s="706">
        <v>0</v>
      </c>
      <c r="S134" s="706">
        <v>337.82</v>
      </c>
      <c r="T134" s="706">
        <v>337.82</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1307.99</v>
      </c>
      <c r="AM134" s="905">
        <f t="shared" si="14"/>
        <v>1732.3500000000001</v>
      </c>
      <c r="AN134" s="905">
        <f>INDEX(G134:R134,1,MATCH(Parametres!$B$3,G$1:R$1,0))*IF(OR(F134="L",F134="S",F134="I"),-1,1)</f>
        <v>3040.34</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hidden="1"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849.36</v>
      </c>
      <c r="P135" s="706">
        <v>849.36</v>
      </c>
      <c r="Q135" s="706">
        <v>0</v>
      </c>
      <c r="R135" s="706">
        <v>0</v>
      </c>
      <c r="S135" s="706">
        <v>94.37</v>
      </c>
      <c r="T135" s="706">
        <v>94.37</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438.31</v>
      </c>
      <c r="AM135" s="905">
        <f t="shared" si="14"/>
        <v>411.05</v>
      </c>
      <c r="AN135" s="905">
        <f>INDEX(G135:R135,1,MATCH(Parametres!$B$3,G$1:R$1,0))*IF(OR(F135="L",F135="S",F135="I"),-1,1)</f>
        <v>849.36</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hidden="1"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980.04</v>
      </c>
      <c r="P137" s="706">
        <v>980.04</v>
      </c>
      <c r="Q137" s="706">
        <v>0</v>
      </c>
      <c r="R137" s="706">
        <v>0</v>
      </c>
      <c r="S137" s="706">
        <v>108.89</v>
      </c>
      <c r="T137" s="706">
        <v>108.89</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435.59</v>
      </c>
      <c r="AM137" s="905">
        <f t="shared" si="14"/>
        <v>544.45000000000005</v>
      </c>
      <c r="AN137" s="905">
        <f>INDEX(G137:R137,1,MATCH(Parametres!$B$3,G$1:R$1,0))*IF(OR(F137="L",F137="S",F137="I"),-1,1)</f>
        <v>980.04</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16701.57</v>
      </c>
      <c r="P139" s="706">
        <v>17445.810000000001</v>
      </c>
      <c r="Q139" s="706">
        <v>0</v>
      </c>
      <c r="R139" s="706">
        <v>0</v>
      </c>
      <c r="S139" s="706">
        <v>1855.73</v>
      </c>
      <c r="T139" s="706">
        <v>1855.73</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15961.09</v>
      </c>
      <c r="AM139" s="905">
        <f t="shared" si="14"/>
        <v>740.47999999999956</v>
      </c>
      <c r="AN139" s="905">
        <f>INDEX(G139:R139,1,MATCH(Parametres!$B$3,G$1:R$1,0))*IF(OR(F139="L",F139="S",F139="I"),-1,1)</f>
        <v>16701.57</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6053.32</v>
      </c>
      <c r="P140" s="706">
        <v>6397.99</v>
      </c>
      <c r="Q140" s="706">
        <v>0</v>
      </c>
      <c r="R140" s="706">
        <v>0</v>
      </c>
      <c r="S140" s="706">
        <v>672.59</v>
      </c>
      <c r="T140" s="706">
        <v>672.59</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5890.62</v>
      </c>
      <c r="AM140" s="905">
        <f t="shared" si="14"/>
        <v>162.69999999999982</v>
      </c>
      <c r="AN140" s="905">
        <f>INDEX(G140:R140,1,MATCH(Parametres!$B$3,G$1:R$1,0))*IF(OR(F140="L",F140="S",F140="I"),-1,1)</f>
        <v>6053.32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2502</v>
      </c>
      <c r="Q141" s="706">
        <v>0</v>
      </c>
      <c r="R141" s="706">
        <v>0</v>
      </c>
      <c r="S141" s="706">
        <v>278</v>
      </c>
      <c r="T141" s="706">
        <v>278</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2502</v>
      </c>
      <c r="AM141" s="905">
        <f t="shared" si="14"/>
        <v>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11351.24</v>
      </c>
      <c r="P142" s="706">
        <v>11887.23</v>
      </c>
      <c r="Q142" s="706">
        <v>0</v>
      </c>
      <c r="R142" s="706">
        <v>0</v>
      </c>
      <c r="S142" s="706">
        <v>1261.25</v>
      </c>
      <c r="T142" s="706">
        <v>1261.25</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11012.7</v>
      </c>
      <c r="AM142" s="905">
        <f t="shared" si="14"/>
        <v>338.53999999999905</v>
      </c>
      <c r="AN142" s="905">
        <f>INDEX(G142:R142,1,MATCH(Parametres!$B$3,G$1:R$1,0))*IF(OR(F142="L",F142="S",F142="I"),-1,1)</f>
        <v>11351.24</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3349.93</v>
      </c>
      <c r="P143" s="706">
        <v>3522.25</v>
      </c>
      <c r="Q143" s="706">
        <v>0</v>
      </c>
      <c r="R143" s="706">
        <v>0</v>
      </c>
      <c r="S143" s="706">
        <v>372.21</v>
      </c>
      <c r="T143" s="706">
        <v>372.21</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3301.13</v>
      </c>
      <c r="AM143" s="905">
        <f t="shared" si="14"/>
        <v>48.799999999999727</v>
      </c>
      <c r="AN143" s="905">
        <f>INDEX(G143:R143,1,MATCH(Parametres!$B$3,G$1:R$1,0))*IF(OR(F143="L",F143="S",F143="I"),-1,1)</f>
        <v>3349.93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3584.18</v>
      </c>
      <c r="P144" s="706">
        <v>3773.52</v>
      </c>
      <c r="Q144" s="706">
        <v>0</v>
      </c>
      <c r="R144" s="706">
        <v>0</v>
      </c>
      <c r="S144" s="706">
        <v>398.24</v>
      </c>
      <c r="T144" s="706">
        <v>398.24</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3506.87</v>
      </c>
      <c r="AM144" s="905">
        <f t="shared" si="14"/>
        <v>77.309999999999945</v>
      </c>
      <c r="AN144" s="905">
        <f>INDEX(G144:R144,1,MATCH(Parametres!$B$3,G$1:R$1,0))*IF(OR(F144="L",F144="S",F144="I"),-1,1)</f>
        <v>3584.18</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hidden="1"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3996.33</v>
      </c>
      <c r="P146" s="706">
        <v>3996.33</v>
      </c>
      <c r="Q146" s="706">
        <v>0</v>
      </c>
      <c r="R146" s="706">
        <v>0</v>
      </c>
      <c r="S146" s="706">
        <v>444.04</v>
      </c>
      <c r="T146" s="706">
        <v>444.04</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3744.03</v>
      </c>
      <c r="AM146" s="905">
        <f t="shared" si="14"/>
        <v>252.29999999999973</v>
      </c>
      <c r="AN146" s="905">
        <f>INDEX(G146:R146,1,MATCH(Parametres!$B$3,G$1:R$1,0))*IF(OR(F146="L",F146="S",F146="I"),-1,1)</f>
        <v>3996.33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hidden="1"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1387.93</v>
      </c>
      <c r="P147" s="706">
        <v>1387.93</v>
      </c>
      <c r="Q147" s="706">
        <v>0</v>
      </c>
      <c r="R147" s="706">
        <v>0</v>
      </c>
      <c r="S147" s="706">
        <v>154.21</v>
      </c>
      <c r="T147" s="706">
        <v>154.21</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1177.46</v>
      </c>
      <c r="AM147" s="905">
        <f t="shared" si="14"/>
        <v>210.47000000000003</v>
      </c>
      <c r="AN147" s="905">
        <f>INDEX(G147:R147,1,MATCH(Parametres!$B$3,G$1:R$1,0))*IF(OR(F147="L",F147="S",F147="I"),-1,1)</f>
        <v>1387.93</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hidden="1"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hidden="1"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46080.480000000003</v>
      </c>
      <c r="P149" s="706">
        <v>46306.8</v>
      </c>
      <c r="Q149" s="706">
        <v>0</v>
      </c>
      <c r="R149" s="706">
        <v>0</v>
      </c>
      <c r="S149" s="706">
        <v>5120.05</v>
      </c>
      <c r="T149" s="706">
        <v>5120.05</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40696.01</v>
      </c>
      <c r="AM149" s="905">
        <f t="shared" si="14"/>
        <v>5384.4700000000012</v>
      </c>
      <c r="AN149" s="905">
        <f>INDEX(G149:R149,1,MATCH(Parametres!$B$3,G$1:R$1,0))*IF(OR(F149="L",F149="S",F149="I"),-1,1)</f>
        <v>46080.480000000003</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hidden="1"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90481.03</v>
      </c>
      <c r="P150" s="706">
        <v>90679.59</v>
      </c>
      <c r="Q150" s="706">
        <v>0</v>
      </c>
      <c r="R150" s="706">
        <v>0</v>
      </c>
      <c r="S150" s="706">
        <v>10053.450000000001</v>
      </c>
      <c r="T150" s="706">
        <v>10053.450000000001</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85396.41</v>
      </c>
      <c r="AM150" s="905">
        <f t="shared" si="14"/>
        <v>5084.6199999999953</v>
      </c>
      <c r="AN150" s="905">
        <f>INDEX(G150:R150,1,MATCH(Parametres!$B$3,G$1:R$1,0))*IF(OR(F150="L",F150="S",F150="I"),-1,1)</f>
        <v>90481.03</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hidden="1"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1709.55</v>
      </c>
      <c r="P151" s="706">
        <v>1709.55</v>
      </c>
      <c r="Q151" s="706">
        <v>0</v>
      </c>
      <c r="R151" s="706">
        <v>0</v>
      </c>
      <c r="S151" s="706">
        <v>189.95</v>
      </c>
      <c r="T151" s="706">
        <v>189.95</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1325.86</v>
      </c>
      <c r="AM151" s="905">
        <f t="shared" si="14"/>
        <v>383.69000000000005</v>
      </c>
      <c r="AN151" s="905">
        <f>INDEX(G151:R151,1,MATCH(Parametres!$B$3,G$1:R$1,0))*IF(OR(F151="L",F151="S",F151="I"),-1,1)</f>
        <v>1709.55</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hidden="1"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13682.37</v>
      </c>
      <c r="P154" s="706">
        <v>13682.37</v>
      </c>
      <c r="Q154" s="706">
        <v>0</v>
      </c>
      <c r="R154" s="706">
        <v>0</v>
      </c>
      <c r="S154" s="706">
        <v>1520.26</v>
      </c>
      <c r="T154" s="706">
        <v>1520.26</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11897.52</v>
      </c>
      <c r="AM154" s="905">
        <f t="shared" si="14"/>
        <v>1784.8500000000004</v>
      </c>
      <c r="AN154" s="905">
        <f>INDEX(G154:R154,1,MATCH(Parametres!$B$3,G$1:R$1,0))*IF(OR(F154="L",F154="S",F154="I"),-1,1)</f>
        <v>13682.37</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3626.33</v>
      </c>
      <c r="P155" s="706">
        <v>3626.33</v>
      </c>
      <c r="Q155" s="706">
        <v>0</v>
      </c>
      <c r="R155" s="706">
        <v>0</v>
      </c>
      <c r="S155" s="706">
        <v>402.93</v>
      </c>
      <c r="T155" s="706">
        <v>402.93</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3416.53</v>
      </c>
      <c r="AM155" s="905">
        <f t="shared" si="14"/>
        <v>209.79999999999973</v>
      </c>
      <c r="AN155" s="905">
        <f>INDEX(G155:R155,1,MATCH(Parametres!$B$3,G$1:R$1,0))*IF(OR(F155="L",F155="S",F155="I"),-1,1)</f>
        <v>3626.33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8017.76</v>
      </c>
      <c r="P157" s="706">
        <v>8017.76</v>
      </c>
      <c r="Q157" s="706">
        <v>0</v>
      </c>
      <c r="R157" s="706">
        <v>0</v>
      </c>
      <c r="S157" s="706">
        <v>890.86</v>
      </c>
      <c r="T157" s="706">
        <v>890.86</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6862.31</v>
      </c>
      <c r="AM157" s="905">
        <f t="shared" si="14"/>
        <v>1155.4499999999998</v>
      </c>
      <c r="AN157" s="905">
        <f>INDEX(G157:R157,1,MATCH(Parametres!$B$3,G$1:R$1,0))*IF(OR(F157="L",F157="S",F157="I"),-1,1)</f>
        <v>8017.76</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797.95</v>
      </c>
      <c r="P158" s="706">
        <v>797.95</v>
      </c>
      <c r="Q158" s="706">
        <v>0</v>
      </c>
      <c r="R158" s="706">
        <v>0</v>
      </c>
      <c r="S158" s="706">
        <v>88.66</v>
      </c>
      <c r="T158" s="706">
        <v>88.66</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745.5</v>
      </c>
      <c r="AM158" s="905">
        <f t="shared" si="14"/>
        <v>52.450000000000045</v>
      </c>
      <c r="AN158" s="905">
        <f>INDEX(G158:R158,1,MATCH(Parametres!$B$3,G$1:R$1,0))*IF(OR(F158="L",F158="S",F158="I"),-1,1)</f>
        <v>797.95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6279.62</v>
      </c>
      <c r="P159" s="706">
        <v>6279.62</v>
      </c>
      <c r="Q159" s="706">
        <v>0</v>
      </c>
      <c r="R159" s="706">
        <v>0</v>
      </c>
      <c r="S159" s="706">
        <v>697.74</v>
      </c>
      <c r="T159" s="706">
        <v>697.74</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5124.16</v>
      </c>
      <c r="AM159" s="905">
        <f t="shared" si="14"/>
        <v>1155.46</v>
      </c>
      <c r="AN159" s="905">
        <f>INDEX(G159:R159,1,MATCH(Parametres!$B$3,G$1:R$1,0))*IF(OR(F159="L",F159="S",F159="I"),-1,1)</f>
        <v>6279.62</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-254174</v>
      </c>
      <c r="P160" s="706">
        <v>-254174</v>
      </c>
      <c r="Q160" s="706">
        <v>0</v>
      </c>
      <c r="R160" s="706">
        <v>0</v>
      </c>
      <c r="S160" s="706">
        <v>-28241.56</v>
      </c>
      <c r="T160" s="706">
        <v>-28241.56</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-78100</v>
      </c>
      <c r="AN160" s="905">
        <f>INDEX(G160:R160,1,MATCH(Parametres!$B$3,G$1:R$1,0))*IF(OR(F160="L",F160="S",F160="I"),-1,1)</f>
        <v>-254174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101340.04</v>
      </c>
      <c r="P168" s="706">
        <v>102560.19</v>
      </c>
      <c r="Q168" s="706">
        <v>0</v>
      </c>
      <c r="R168" s="706">
        <v>0</v>
      </c>
      <c r="S168" s="706">
        <v>11260</v>
      </c>
      <c r="T168" s="706">
        <v>11260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91255.22</v>
      </c>
      <c r="AM168" s="905">
        <f t="shared" si="14"/>
        <v>10084.819999999992</v>
      </c>
      <c r="AN168" s="905">
        <f>INDEX(G168:R168,1,MATCH(Parametres!$B$3,G$1:R$1,0))*IF(OR(F168="L",F168="S",F168="I"),-1,1)</f>
        <v>101340.04</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77999.820000000007</v>
      </c>
      <c r="P169" s="706">
        <v>79070.97</v>
      </c>
      <c r="Q169" s="706">
        <v>0</v>
      </c>
      <c r="R169" s="706">
        <v>0</v>
      </c>
      <c r="S169" s="706">
        <v>8666.65</v>
      </c>
      <c r="T169" s="706">
        <v>8666.65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67348.27</v>
      </c>
      <c r="AM169" s="905">
        <f t="shared" si="14"/>
        <v>10651.550000000003</v>
      </c>
      <c r="AN169" s="905">
        <f>INDEX(G169:R169,1,MATCH(Parametres!$B$3,G$1:R$1,0))*IF(OR(F169="L",F169="S",F169="I"),-1,1)</f>
        <v>77999.820000000007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13469.88</v>
      </c>
      <c r="P171" s="706">
        <v>13609.61</v>
      </c>
      <c r="Q171" s="706">
        <v>0</v>
      </c>
      <c r="R171" s="706">
        <v>0</v>
      </c>
      <c r="S171" s="706">
        <v>1496.65</v>
      </c>
      <c r="T171" s="706">
        <v>1496.65</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12017.01</v>
      </c>
      <c r="AM171" s="905">
        <f t="shared" si="14"/>
        <v>1452.869999999999</v>
      </c>
      <c r="AN171" s="905">
        <f>INDEX(G171:R171,1,MATCH(Parametres!$B$3,G$1:R$1,0))*IF(OR(F171="L",F171="S",F171="I"),-1,1)</f>
        <v>13469.88</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9958.33</v>
      </c>
      <c r="P172" s="706">
        <v>9958.33</v>
      </c>
      <c r="Q172" s="706">
        <v>0</v>
      </c>
      <c r="R172" s="706">
        <v>0</v>
      </c>
      <c r="S172" s="706">
        <v>1106.48</v>
      </c>
      <c r="T172" s="706">
        <v>1106.48</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1833</v>
      </c>
      <c r="AN172" s="905">
        <f>INDEX(G172:R172,1,MATCH(Parametres!$B$3,G$1:R$1,0))*IF(OR(F172="L",F172="S",F172="I"),-1,1)</f>
        <v>9958.33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2139.21</v>
      </c>
      <c r="Q173" s="706">
        <v>0</v>
      </c>
      <c r="R173" s="706">
        <v>0</v>
      </c>
      <c r="S173" s="706">
        <v>237.69</v>
      </c>
      <c r="T173" s="706">
        <v>237.69</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83</v>
      </c>
      <c r="AN173" s="905">
        <f>INDEX(G173:R173,1,MATCH(Parametres!$B$3,G$1:R$1,0))*IF(OR(F173="L",F173="S",F173="I"),-1,1)</f>
        <v>2139.21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200</v>
      </c>
      <c r="Q175" s="706">
        <v>0</v>
      </c>
      <c r="R175" s="706">
        <v>0</v>
      </c>
      <c r="S175" s="706">
        <v>22.22</v>
      </c>
      <c r="T175" s="706">
        <v>22.22</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100</v>
      </c>
      <c r="Q176" s="706">
        <v>0</v>
      </c>
      <c r="R176" s="706">
        <v>0</v>
      </c>
      <c r="S176" s="706">
        <v>11.11</v>
      </c>
      <c r="T176" s="706">
        <v>11.11</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150</v>
      </c>
      <c r="Q177" s="706">
        <v>0</v>
      </c>
      <c r="R177" s="706">
        <v>0</v>
      </c>
      <c r="S177" s="706">
        <v>16.670000000000002</v>
      </c>
      <c r="T177" s="706">
        <v>16.670000000000002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50</v>
      </c>
      <c r="Q178" s="706">
        <v>0</v>
      </c>
      <c r="R178" s="706">
        <v>0</v>
      </c>
      <c r="S178" s="706">
        <v>5.56</v>
      </c>
      <c r="T178" s="706">
        <v>5.56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29175.77</v>
      </c>
      <c r="P180" s="706">
        <v>29728.48</v>
      </c>
      <c r="Q180" s="706">
        <v>0</v>
      </c>
      <c r="R180" s="706">
        <v>0</v>
      </c>
      <c r="S180" s="706">
        <v>3241.75</v>
      </c>
      <c r="T180" s="706">
        <v>3241.75</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25373.78</v>
      </c>
      <c r="AM180" s="905">
        <f t="shared" si="14"/>
        <v>3801.9900000000016</v>
      </c>
      <c r="AN180" s="905">
        <f>INDEX(G180:R180,1,MATCH(Parametres!$B$3,G$1:R$1,0))*IF(OR(F180="L",F180="S",F180="I"),-1,1)</f>
        <v>29175.77</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13197.57</v>
      </c>
      <c r="P181" s="706">
        <v>13197.57</v>
      </c>
      <c r="Q181" s="706">
        <v>0</v>
      </c>
      <c r="R181" s="706">
        <v>0</v>
      </c>
      <c r="S181" s="706">
        <v>1466.4</v>
      </c>
      <c r="T181" s="706">
        <v>1466.4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11368.35</v>
      </c>
      <c r="AM181" s="905">
        <f t="shared" si="14"/>
        <v>1829.2199999999993</v>
      </c>
      <c r="AN181" s="905">
        <f>INDEX(G181:R181,1,MATCH(Parametres!$B$3,G$1:R$1,0))*IF(OR(F181="L",F181="S",F181="I"),-1,1)</f>
        <v>13197.57</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53.47</v>
      </c>
      <c r="Q182" s="706">
        <v>0</v>
      </c>
      <c r="R182" s="706">
        <v>0</v>
      </c>
      <c r="S182" s="706">
        <v>5.94</v>
      </c>
      <c r="T182" s="706">
        <v>5.94</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80.48</v>
      </c>
      <c r="Q183" s="706">
        <v>0</v>
      </c>
      <c r="R183" s="706">
        <v>0</v>
      </c>
      <c r="S183" s="706">
        <v>8.94</v>
      </c>
      <c r="T183" s="706">
        <v>8.94</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30014.71</v>
      </c>
      <c r="P185" s="706">
        <v>31485.13</v>
      </c>
      <c r="Q185" s="706">
        <v>0</v>
      </c>
      <c r="R185" s="706">
        <v>0</v>
      </c>
      <c r="S185" s="706">
        <v>3334.97</v>
      </c>
      <c r="T185" s="706">
        <v>3334.97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27257.03</v>
      </c>
      <c r="AM185" s="905">
        <f t="shared" si="14"/>
        <v>2757.6800000000003</v>
      </c>
      <c r="AN185" s="905">
        <f>INDEX(G185:R185,1,MATCH(Parametres!$B$3,G$1:R$1,0))*IF(OR(F185="L",F185="S",F185="I"),-1,1)</f>
        <v>30014.71</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13480.62</v>
      </c>
      <c r="P186" s="706">
        <v>14276.24</v>
      </c>
      <c r="Q186" s="706">
        <v>0</v>
      </c>
      <c r="R186" s="706">
        <v>0</v>
      </c>
      <c r="S186" s="706">
        <v>1497.85</v>
      </c>
      <c r="T186" s="706">
        <v>1497.85</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12223.18</v>
      </c>
      <c r="AM186" s="905">
        <f t="shared" si="14"/>
        <v>1257.4400000000005</v>
      </c>
      <c r="AN186" s="905">
        <f>INDEX(G186:R186,1,MATCH(Parametres!$B$3,G$1:R$1,0))*IF(OR(F186="L",F186="S",F186="I"),-1,1)</f>
        <v>13480.62</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26728.22</v>
      </c>
      <c r="P188" s="706">
        <v>28271.64</v>
      </c>
      <c r="Q188" s="706">
        <v>0</v>
      </c>
      <c r="R188" s="706">
        <v>0</v>
      </c>
      <c r="S188" s="706">
        <v>2969.8</v>
      </c>
      <c r="T188" s="706">
        <v>2969.8</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23887.06</v>
      </c>
      <c r="AM188" s="905">
        <f t="shared" si="14"/>
        <v>2841.16</v>
      </c>
      <c r="AN188" s="905">
        <f>INDEX(G188:R188,1,MATCH(Parametres!$B$3,G$1:R$1,0))*IF(OR(F188="L",F188="S",F188="I"),-1,1)</f>
        <v>26728.22</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20100.72</v>
      </c>
      <c r="P189" s="706">
        <v>21750.18</v>
      </c>
      <c r="Q189" s="706">
        <v>0</v>
      </c>
      <c r="R189" s="706">
        <v>0</v>
      </c>
      <c r="S189" s="706">
        <v>2233.41</v>
      </c>
      <c r="T189" s="706">
        <v>2233.41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16390.080000000002</v>
      </c>
      <c r="AM189" s="905">
        <f t="shared" si="14"/>
        <v>3710.6399999999994</v>
      </c>
      <c r="AN189" s="905">
        <f>INDEX(G189:R189,1,MATCH(Parametres!$B$3,G$1:R$1,0))*IF(OR(F189="L",F189="S",F189="I"),-1,1)</f>
        <v>20100.72</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17920.29</v>
      </c>
      <c r="P190" s="706">
        <v>18565.099999999999</v>
      </c>
      <c r="Q190" s="706">
        <v>0</v>
      </c>
      <c r="R190" s="706">
        <v>0</v>
      </c>
      <c r="S190" s="706">
        <v>1991.14</v>
      </c>
      <c r="T190" s="706">
        <v>1991.14</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16040.27</v>
      </c>
      <c r="AM190" s="905">
        <f t="shared" si="14"/>
        <v>1880.0200000000004</v>
      </c>
      <c r="AN190" s="905">
        <f>INDEX(G190:R190,1,MATCH(Parametres!$B$3,G$1:R$1,0))*IF(OR(F190="L",F190="S",F190="I"),-1,1)</f>
        <v>17920.29</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31597.71</v>
      </c>
      <c r="P194" s="706">
        <v>32035.53</v>
      </c>
      <c r="Q194" s="706">
        <v>0</v>
      </c>
      <c r="R194" s="706">
        <v>0</v>
      </c>
      <c r="S194" s="706">
        <v>3510.86</v>
      </c>
      <c r="T194" s="706">
        <v>3510.86</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29436.400000000001</v>
      </c>
      <c r="AM194" s="905">
        <f t="shared" si="14"/>
        <v>2161.3099999999977</v>
      </c>
      <c r="AN194" s="905">
        <f>INDEX(G194:R194,1,MATCH(Parametres!$B$3,G$1:R$1,0))*IF(OR(F194="L",F194="S",F194="I"),-1,1)</f>
        <v>31597.71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16338.34</v>
      </c>
      <c r="P195" s="706">
        <v>18547.8</v>
      </c>
      <c r="Q195" s="706">
        <v>0</v>
      </c>
      <c r="R195" s="706">
        <v>0</v>
      </c>
      <c r="S195" s="706">
        <v>1815.37</v>
      </c>
      <c r="T195" s="706">
        <v>1815.37</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15161.92</v>
      </c>
      <c r="AM195" s="905">
        <f t="shared" si="14"/>
        <v>1176.42</v>
      </c>
      <c r="AN195" s="905">
        <f>INDEX(G195:R195,1,MATCH(Parametres!$B$3,G$1:R$1,0))*IF(OR(F195="L",F195="S",F195="I"),-1,1)</f>
        <v>16338.34</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528.26</v>
      </c>
      <c r="Q196" s="706">
        <v>0</v>
      </c>
      <c r="R196" s="706">
        <v>0</v>
      </c>
      <c r="S196" s="706">
        <v>58.7</v>
      </c>
      <c r="T196" s="706">
        <v>58.7</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77930.09</v>
      </c>
      <c r="P197" s="706">
        <v>82846.89</v>
      </c>
      <c r="Q197" s="706">
        <v>0</v>
      </c>
      <c r="R197" s="706">
        <v>0</v>
      </c>
      <c r="S197" s="706">
        <v>8658.9</v>
      </c>
      <c r="T197" s="706">
        <v>8658.9</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70175.28</v>
      </c>
      <c r="AM197" s="905">
        <f t="shared" si="20"/>
        <v>7754.8099999999977</v>
      </c>
      <c r="AN197" s="905">
        <f>INDEX(G197:R197,1,MATCH(Parametres!$B$3,G$1:R$1,0))*IF(OR(F197="L",F197="S",F197="I"),-1,1)</f>
        <v>77930.09</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15084.3</v>
      </c>
      <c r="P198" s="706">
        <v>15945.57</v>
      </c>
      <c r="Q198" s="706">
        <v>0</v>
      </c>
      <c r="R198" s="706">
        <v>0</v>
      </c>
      <c r="S198" s="706">
        <v>1676.03</v>
      </c>
      <c r="T198" s="706">
        <v>1676.03</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13899.84</v>
      </c>
      <c r="AM198" s="905">
        <f t="shared" si="20"/>
        <v>1184.4599999999991</v>
      </c>
      <c r="AN198" s="905">
        <f>INDEX(G198:R198,1,MATCH(Parametres!$B$3,G$1:R$1,0))*IF(OR(F198="L",F198="S",F198="I"),-1,1)</f>
        <v>15084.3</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10422.35</v>
      </c>
      <c r="P199" s="706">
        <v>10680.93</v>
      </c>
      <c r="Q199" s="706">
        <v>0</v>
      </c>
      <c r="R199" s="706">
        <v>0</v>
      </c>
      <c r="S199" s="706">
        <v>1158.04</v>
      </c>
      <c r="T199" s="706">
        <v>1158.04</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9834.1299999999992</v>
      </c>
      <c r="AM199" s="905">
        <f t="shared" si="20"/>
        <v>588.22000000000116</v>
      </c>
      <c r="AN199" s="905">
        <f>INDEX(G199:R199,1,MATCH(Parametres!$B$3,G$1:R$1,0))*IF(OR(F199="L",F199="S",F199="I"),-1,1)</f>
        <v>10422.35</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3246.04</v>
      </c>
      <c r="P203" s="706">
        <v>3317.39</v>
      </c>
      <c r="Q203" s="706">
        <v>0</v>
      </c>
      <c r="R203" s="706">
        <v>0</v>
      </c>
      <c r="S203" s="706">
        <v>360.67</v>
      </c>
      <c r="T203" s="706">
        <v>360.67</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3125.87</v>
      </c>
      <c r="AM203" s="905">
        <f t="shared" si="20"/>
        <v>120.17000000000007</v>
      </c>
      <c r="AN203" s="905">
        <f>INDEX(G203:R203,1,MATCH(Parametres!$B$3,G$1:R$1,0))*IF(OR(F203="L",F203="S",F203="I"),-1,1)</f>
        <v>3246.04</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21316.3</v>
      </c>
      <c r="P204" s="706">
        <v>21352.84</v>
      </c>
      <c r="Q204" s="706">
        <v>0</v>
      </c>
      <c r="R204" s="706">
        <v>0</v>
      </c>
      <c r="S204" s="706">
        <v>2368.48</v>
      </c>
      <c r="T204" s="706">
        <v>2368.48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20531.78</v>
      </c>
      <c r="AM204" s="905">
        <f t="shared" si="20"/>
        <v>784.52000000000044</v>
      </c>
      <c r="AN204" s="905">
        <f>INDEX(G204:R204,1,MATCH(Parametres!$B$3,G$1:R$1,0))*IF(OR(F204="L",F204="S",F204="I"),-1,1)</f>
        <v>21316.3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932.45</v>
      </c>
      <c r="Q205" s="706">
        <v>0</v>
      </c>
      <c r="R205" s="706">
        <v>0</v>
      </c>
      <c r="S205" s="706">
        <v>38.700000000000003</v>
      </c>
      <c r="T205" s="706">
        <v>38.700000000000003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14063.22</v>
      </c>
      <c r="P206" s="706">
        <v>14087.58</v>
      </c>
      <c r="Q206" s="706">
        <v>0</v>
      </c>
      <c r="R206" s="706">
        <v>0</v>
      </c>
      <c r="S206" s="706">
        <v>1562.58</v>
      </c>
      <c r="T206" s="706">
        <v>1562.58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13623.83</v>
      </c>
      <c r="AM206" s="905">
        <f t="shared" si="20"/>
        <v>439.38999999999942</v>
      </c>
      <c r="AN206" s="905">
        <f>INDEX(G206:R206,1,MATCH(Parametres!$B$3,G$1:R$1,0))*IF(OR(F206="L",F206="S",F206="I"),-1,1)</f>
        <v>14063.22</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2514.2800000000002</v>
      </c>
      <c r="Q208" s="706">
        <v>0</v>
      </c>
      <c r="R208" s="706">
        <v>0</v>
      </c>
      <c r="S208" s="706">
        <v>279.36</v>
      </c>
      <c r="T208" s="706">
        <v>279.36</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21281.79</v>
      </c>
      <c r="P210" s="706">
        <v>21318.33</v>
      </c>
      <c r="Q210" s="706">
        <v>0</v>
      </c>
      <c r="R210" s="706">
        <v>0</v>
      </c>
      <c r="S210" s="706">
        <v>2364.64</v>
      </c>
      <c r="T210" s="706">
        <v>2364.64</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20561.84</v>
      </c>
      <c r="AM210" s="905">
        <f t="shared" si="20"/>
        <v>719.95000000000073</v>
      </c>
      <c r="AN210" s="905">
        <f>INDEX(G210:R210,1,MATCH(Parametres!$B$3,G$1:R$1,0))*IF(OR(F210="L",F210="S",F210="I"),-1,1)</f>
        <v>21281.79</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168.42</v>
      </c>
      <c r="Q211" s="706">
        <v>0</v>
      </c>
      <c r="R211" s="706">
        <v>0</v>
      </c>
      <c r="S211" s="706">
        <v>18.71</v>
      </c>
      <c r="T211" s="706">
        <v>18.71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7031.62</v>
      </c>
      <c r="P212" s="706">
        <v>7043.8</v>
      </c>
      <c r="Q212" s="706">
        <v>0</v>
      </c>
      <c r="R212" s="706">
        <v>0</v>
      </c>
      <c r="S212" s="706">
        <v>781.29</v>
      </c>
      <c r="T212" s="706">
        <v>781.29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6811.93</v>
      </c>
      <c r="AM212" s="905">
        <f t="shared" si="20"/>
        <v>219.6899999999996</v>
      </c>
      <c r="AN212" s="905">
        <f>INDEX(G212:R212,1,MATCH(Parametres!$B$3,G$1:R$1,0))*IF(OR(F212="L",F212="S",F212="I"),-1,1)</f>
        <v>7031.62</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7031.61</v>
      </c>
      <c r="P214" s="706">
        <v>7043.77</v>
      </c>
      <c r="Q214" s="706">
        <v>0</v>
      </c>
      <c r="R214" s="706">
        <v>0</v>
      </c>
      <c r="S214" s="706">
        <v>781.29</v>
      </c>
      <c r="T214" s="706">
        <v>781.29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6811.94</v>
      </c>
      <c r="AM214" s="905">
        <f t="shared" si="20"/>
        <v>219.67000000000007</v>
      </c>
      <c r="AN214" s="905">
        <f>INDEX(G214:R214,1,MATCH(Parametres!$B$3,G$1:R$1,0))*IF(OR(F214="L",F214="S",F214="I"),-1,1)</f>
        <v>7031.61</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124.73</v>
      </c>
      <c r="Q215" s="706">
        <v>0</v>
      </c>
      <c r="R215" s="706">
        <v>0</v>
      </c>
      <c r="S215" s="706">
        <v>13.86</v>
      </c>
      <c r="T215" s="706">
        <v>13.86</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18536.3</v>
      </c>
      <c r="P217" s="706">
        <v>19467.8</v>
      </c>
      <c r="Q217" s="706">
        <v>0</v>
      </c>
      <c r="R217" s="706">
        <v>0</v>
      </c>
      <c r="S217" s="706">
        <v>2059.59</v>
      </c>
      <c r="T217" s="706">
        <v>2059.59</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15660.64</v>
      </c>
      <c r="AM217" s="905">
        <f t="shared" si="20"/>
        <v>2875.66</v>
      </c>
      <c r="AN217" s="905">
        <f>INDEX(G217:R217,1,MATCH(Parametres!$B$3,G$1:R$1,0))*IF(OR(F217="L",F217="S",F217="I"),-1,1)</f>
        <v>18536.3</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13863.82</v>
      </c>
      <c r="P218" s="706">
        <v>14561.82</v>
      </c>
      <c r="Q218" s="706">
        <v>0</v>
      </c>
      <c r="R218" s="706">
        <v>0</v>
      </c>
      <c r="S218" s="706">
        <v>1540.42</v>
      </c>
      <c r="T218" s="706">
        <v>1540.42</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12478.02</v>
      </c>
      <c r="AM218" s="905">
        <f t="shared" si="20"/>
        <v>1385.7999999999993</v>
      </c>
      <c r="AN218" s="905">
        <f>INDEX(G218:R218,1,MATCH(Parametres!$B$3,G$1:R$1,0))*IF(OR(F218="L",F218="S",F218="I"),-1,1)</f>
        <v>13863.82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6349.87</v>
      </c>
      <c r="P219" s="706">
        <v>6682.37</v>
      </c>
      <c r="Q219" s="706">
        <v>0</v>
      </c>
      <c r="R219" s="706">
        <v>0</v>
      </c>
      <c r="S219" s="706">
        <v>705.54</v>
      </c>
      <c r="T219" s="706">
        <v>705.54</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5491.07</v>
      </c>
      <c r="AM219" s="905">
        <f t="shared" si="20"/>
        <v>858.80000000000018</v>
      </c>
      <c r="AN219" s="905">
        <f>INDEX(G219:R219,1,MATCH(Parametres!$B$3,G$1:R$1,0))*IF(OR(F219="L",F219="S",F219="I"),-1,1)</f>
        <v>6349.87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12696.43</v>
      </c>
      <c r="P220" s="706">
        <v>13183.19</v>
      </c>
      <c r="Q220" s="706">
        <v>0</v>
      </c>
      <c r="R220" s="706">
        <v>0</v>
      </c>
      <c r="S220" s="706">
        <v>1410.71</v>
      </c>
      <c r="T220" s="706">
        <v>1410.71</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11316.42</v>
      </c>
      <c r="AM220" s="905">
        <f t="shared" si="20"/>
        <v>1380.0100000000002</v>
      </c>
      <c r="AN220" s="905">
        <f>INDEX(G220:R220,1,MATCH(Parametres!$B$3,G$1:R$1,0))*IF(OR(F220="L",F220="S",F220="I"),-1,1)</f>
        <v>12696.43</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14149.36</v>
      </c>
      <c r="P221" s="706">
        <v>14149.36</v>
      </c>
      <c r="Q221" s="706">
        <v>0</v>
      </c>
      <c r="R221" s="706">
        <v>0</v>
      </c>
      <c r="S221" s="706">
        <v>1572.15</v>
      </c>
      <c r="T221" s="706">
        <v>1572.15</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11870.98</v>
      </c>
      <c r="AM221" s="905">
        <f t="shared" si="20"/>
        <v>2278.380000000001</v>
      </c>
      <c r="AN221" s="905">
        <f>INDEX(G221:R221,1,MATCH(Parametres!$B$3,G$1:R$1,0))*IF(OR(F221="L",F221="S",F221="I"),-1,1)</f>
        <v>14149.36</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12354.31</v>
      </c>
      <c r="P222" s="706">
        <v>13024.26</v>
      </c>
      <c r="Q222" s="706">
        <v>0</v>
      </c>
      <c r="R222" s="706">
        <v>0</v>
      </c>
      <c r="S222" s="706">
        <v>1372.7</v>
      </c>
      <c r="T222" s="706">
        <v>1372.7</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11327.71</v>
      </c>
      <c r="AM222" s="905">
        <f t="shared" si="20"/>
        <v>1026.6000000000004</v>
      </c>
      <c r="AN222" s="905">
        <f>INDEX(G222:R222,1,MATCH(Parametres!$B$3,G$1:R$1,0))*IF(OR(F222="L",F222="S",F222="I"),-1,1)</f>
        <v>12354.31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14042.68</v>
      </c>
      <c r="P224" s="706">
        <v>14042.68</v>
      </c>
      <c r="Q224" s="706">
        <v>0</v>
      </c>
      <c r="R224" s="706">
        <v>0</v>
      </c>
      <c r="S224" s="706">
        <v>1560.3</v>
      </c>
      <c r="T224" s="706">
        <v>1560.3</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12510.68</v>
      </c>
      <c r="AM224" s="905">
        <f t="shared" si="20"/>
        <v>1532</v>
      </c>
      <c r="AN224" s="905">
        <f>INDEX(G224:R224,1,MATCH(Parametres!$B$3,G$1:R$1,0))*IF(OR(F224="L",F224="S",F224="I"),-1,1)</f>
        <v>14042.68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8353.1</v>
      </c>
      <c r="P225" s="706">
        <v>8353.1</v>
      </c>
      <c r="Q225" s="706">
        <v>0</v>
      </c>
      <c r="R225" s="706">
        <v>0</v>
      </c>
      <c r="S225" s="706">
        <v>928.12</v>
      </c>
      <c r="T225" s="706">
        <v>928.12</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7419.77</v>
      </c>
      <c r="AM225" s="905">
        <f t="shared" si="20"/>
        <v>933.32999999999993</v>
      </c>
      <c r="AN225" s="905">
        <f>INDEX(G225:R225,1,MATCH(Parametres!$B$3,G$1:R$1,0))*IF(OR(F225="L",F225="S",F225="I"),-1,1)</f>
        <v>8353.1</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13677.86</v>
      </c>
      <c r="P227" s="706">
        <v>13677.86</v>
      </c>
      <c r="Q227" s="706">
        <v>0</v>
      </c>
      <c r="R227" s="706">
        <v>0</v>
      </c>
      <c r="S227" s="706">
        <v>1519.76</v>
      </c>
      <c r="T227" s="706">
        <v>1519.76</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12277.86</v>
      </c>
      <c r="AM227" s="905">
        <f t="shared" si="20"/>
        <v>1400</v>
      </c>
      <c r="AN227" s="905">
        <f>INDEX(G227:R227,1,MATCH(Parametres!$B$3,G$1:R$1,0))*IF(OR(F227="L",F227="S",F227="I"),-1,1)</f>
        <v>13677.86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4913.5200000000004</v>
      </c>
      <c r="P228" s="706">
        <v>4913.5200000000004</v>
      </c>
      <c r="Q228" s="706">
        <v>0</v>
      </c>
      <c r="R228" s="706">
        <v>0</v>
      </c>
      <c r="S228" s="706">
        <v>545.95000000000005</v>
      </c>
      <c r="T228" s="706">
        <v>545.95000000000005</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4446.8500000000004</v>
      </c>
      <c r="AM228" s="905">
        <f t="shared" si="20"/>
        <v>466.67000000000007</v>
      </c>
      <c r="AN228" s="905">
        <f>INDEX(G228:R228,1,MATCH(Parametres!$B$3,G$1:R$1,0))*IF(OR(F228="L",F228="S",F228="I"),-1,1)</f>
        <v>4913.5200000000004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4545.0200000000004</v>
      </c>
      <c r="P229" s="706">
        <v>4545.0200000000004</v>
      </c>
      <c r="Q229" s="706">
        <v>0</v>
      </c>
      <c r="R229" s="706">
        <v>0</v>
      </c>
      <c r="S229" s="706">
        <v>505</v>
      </c>
      <c r="T229" s="706">
        <v>505</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4078.35</v>
      </c>
      <c r="AM229" s="905">
        <f t="shared" si="20"/>
        <v>466.67000000000053</v>
      </c>
      <c r="AN229" s="905">
        <f>INDEX(G229:R229,1,MATCH(Parametres!$B$3,G$1:R$1,0))*IF(OR(F229="L",F229="S",F229="I"),-1,1)</f>
        <v>4545.0200000000004</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5314.71</v>
      </c>
      <c r="Q231" s="706">
        <v>0</v>
      </c>
      <c r="R231" s="706">
        <v>0</v>
      </c>
      <c r="S231" s="706">
        <v>580.72</v>
      </c>
      <c r="T231" s="706">
        <v>580.72</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4789.62</v>
      </c>
      <c r="AM231" s="905">
        <f t="shared" si="20"/>
        <v>436.88000000000011</v>
      </c>
      <c r="AN231" s="905">
        <f>INDEX(G231:R231,1,MATCH(Parametres!$B$3,G$1:R$1,0))*IF(OR(F231="L",F231="S",F231="I"),-1,1)</f>
        <v>5226.5</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3120.8</v>
      </c>
      <c r="Q232" s="706">
        <v>0</v>
      </c>
      <c r="R232" s="706">
        <v>0</v>
      </c>
      <c r="S232" s="706">
        <v>340.22</v>
      </c>
      <c r="T232" s="706">
        <v>340.22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2770.74</v>
      </c>
      <c r="AM232" s="905">
        <f t="shared" si="20"/>
        <v>291.25</v>
      </c>
      <c r="AN232" s="905">
        <f>INDEX(G232:R232,1,MATCH(Parametres!$B$3,G$1:R$1,0))*IF(OR(F232="L",F232="S",F232="I"),-1,1)</f>
        <v>3061.99</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630</v>
      </c>
      <c r="Q233" s="706">
        <v>0</v>
      </c>
      <c r="R233" s="706">
        <v>0</v>
      </c>
      <c r="S233" s="706">
        <v>70</v>
      </c>
      <c r="T233" s="706">
        <v>70</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5002.87</v>
      </c>
      <c r="P234" s="706">
        <v>5091.08</v>
      </c>
      <c r="Q234" s="706">
        <v>0</v>
      </c>
      <c r="R234" s="706">
        <v>0</v>
      </c>
      <c r="S234" s="706">
        <v>555.87</v>
      </c>
      <c r="T234" s="706">
        <v>555.87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4510.99</v>
      </c>
      <c r="AM234" s="905">
        <f t="shared" si="20"/>
        <v>491.88000000000011</v>
      </c>
      <c r="AN234" s="905">
        <f>INDEX(G234:R234,1,MATCH(Parametres!$B$3,G$1:R$1,0))*IF(OR(F234="L",F234="S",F234="I"),-1,1)</f>
        <v>5002.87</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1918.42</v>
      </c>
      <c r="Q235" s="706">
        <v>0</v>
      </c>
      <c r="R235" s="706">
        <v>0</v>
      </c>
      <c r="S235" s="706">
        <v>209.89</v>
      </c>
      <c r="T235" s="706">
        <v>209.89</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1385.39</v>
      </c>
      <c r="AM235" s="905">
        <f t="shared" si="20"/>
        <v>503.62999999999988</v>
      </c>
      <c r="AN235" s="905">
        <f>INDEX(G235:R235,1,MATCH(Parametres!$B$3,G$1:R$1,0))*IF(OR(F235="L",F235="S",F235="I"),-1,1)</f>
        <v>1889.02</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1560.32</v>
      </c>
      <c r="Q236" s="706">
        <v>0</v>
      </c>
      <c r="R236" s="706">
        <v>0</v>
      </c>
      <c r="S236" s="706">
        <v>170.1</v>
      </c>
      <c r="T236" s="706">
        <v>170.1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1385.3</v>
      </c>
      <c r="AM236" s="905">
        <f t="shared" si="20"/>
        <v>145.62000000000012</v>
      </c>
      <c r="AN236" s="905">
        <f>INDEX(G236:R236,1,MATCH(Parametres!$B$3,G$1:R$1,0))*IF(OR(F236="L",F236="S",F236="I"),-1,1)</f>
        <v>1530.92</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13409.21</v>
      </c>
      <c r="Q238" s="706">
        <v>0</v>
      </c>
      <c r="R238" s="706">
        <v>0</v>
      </c>
      <c r="S238" s="706">
        <v>1489.91</v>
      </c>
      <c r="T238" s="706">
        <v>1489.91</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12839.21</v>
      </c>
      <c r="AM238" s="905">
        <f t="shared" si="20"/>
        <v>570</v>
      </c>
      <c r="AN238" s="905">
        <f>INDEX(G238:R238,1,MATCH(Parametres!$B$3,G$1:R$1,0))*IF(OR(F238="L",F238="S",F238="I"),-1,1)</f>
        <v>13409.21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2210.69</v>
      </c>
      <c r="Q239" s="706">
        <v>0</v>
      </c>
      <c r="R239" s="706">
        <v>0</v>
      </c>
      <c r="S239" s="706">
        <v>245.63</v>
      </c>
      <c r="T239" s="706">
        <v>245.63</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18447.439999999999</v>
      </c>
      <c r="P241" s="706">
        <v>18447.439999999999</v>
      </c>
      <c r="Q241" s="706">
        <v>0</v>
      </c>
      <c r="R241" s="706">
        <v>0</v>
      </c>
      <c r="S241" s="706">
        <v>2049.7199999999998</v>
      </c>
      <c r="T241" s="706">
        <v>2049.7199999999998</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14178.47</v>
      </c>
      <c r="AM241" s="905">
        <f t="shared" si="20"/>
        <v>4268.9699999999993</v>
      </c>
      <c r="AN241" s="905">
        <f>INDEX(G241:R241,1,MATCH(Parametres!$B$3,G$1:R$1,0))*IF(OR(F241="L",F241="S",F241="I"),-1,1)</f>
        <v>18447.439999999999</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1417.21</v>
      </c>
      <c r="Q242" s="706">
        <v>0</v>
      </c>
      <c r="R242" s="706">
        <v>0</v>
      </c>
      <c r="S242" s="706">
        <v>157.47</v>
      </c>
      <c r="T242" s="706">
        <v>157.47</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764.33</v>
      </c>
      <c r="Q243" s="706">
        <v>0</v>
      </c>
      <c r="R243" s="706">
        <v>0</v>
      </c>
      <c r="S243" s="706">
        <v>84.93</v>
      </c>
      <c r="T243" s="706">
        <v>84.93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3833.52</v>
      </c>
      <c r="P244" s="706">
        <v>3833.52</v>
      </c>
      <c r="Q244" s="706">
        <v>0</v>
      </c>
      <c r="R244" s="706">
        <v>0</v>
      </c>
      <c r="S244" s="706">
        <v>425.95</v>
      </c>
      <c r="T244" s="706">
        <v>425.95</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1577.2800000000002</v>
      </c>
      <c r="AN244" s="905">
        <f>INDEX(G244:R244,1,MATCH(Parametres!$B$3,G$1:R$1,0))*IF(OR(F244="L",F244="S",F244="I"),-1,1)</f>
        <v>3833.52</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490451.64</v>
      </c>
      <c r="P246" s="706">
        <v>489194.04</v>
      </c>
      <c r="Q246" s="706">
        <v>0</v>
      </c>
      <c r="R246" s="706">
        <v>0</v>
      </c>
      <c r="S246" s="706">
        <v>54494.63</v>
      </c>
      <c r="T246" s="706">
        <v>54494.63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449168.84</v>
      </c>
      <c r="AM246" s="905">
        <f t="shared" si="20"/>
        <v>41282.799999999988</v>
      </c>
      <c r="AN246" s="905">
        <f>INDEX(G246:R246,1,MATCH(Parametres!$B$3,G$1:R$1,0))*IF(OR(F246="L",F246="S",F246="I"),-1,1)</f>
        <v>490451.64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217792.63</v>
      </c>
      <c r="P247" s="706">
        <v>217542.63</v>
      </c>
      <c r="Q247" s="706">
        <v>0</v>
      </c>
      <c r="R247" s="706">
        <v>0</v>
      </c>
      <c r="S247" s="706">
        <v>24199.18</v>
      </c>
      <c r="T247" s="706">
        <v>24199.18</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215114</v>
      </c>
      <c r="AM247" s="905">
        <f t="shared" si="20"/>
        <v>2678.6300000000047</v>
      </c>
      <c r="AN247" s="905">
        <f>INDEX(G247:R247,1,MATCH(Parametres!$B$3,G$1:R$1,0))*IF(OR(F247="L",F247="S",F247="I"),-1,1)</f>
        <v>217792.63</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176727.91</v>
      </c>
      <c r="P248" s="706">
        <v>176827.91</v>
      </c>
      <c r="Q248" s="706">
        <v>0</v>
      </c>
      <c r="R248" s="706">
        <v>0</v>
      </c>
      <c r="S248" s="706">
        <v>19636.43</v>
      </c>
      <c r="T248" s="706">
        <v>19636.43</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171325.95</v>
      </c>
      <c r="AM248" s="905">
        <f t="shared" si="20"/>
        <v>5401.9599999999919</v>
      </c>
      <c r="AN248" s="905">
        <f>INDEX(G248:R248,1,MATCH(Parametres!$B$3,G$1:R$1,0))*IF(OR(F248="L",F248="S",F248="I"),-1,1)</f>
        <v>176727.91</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10546.6</v>
      </c>
      <c r="P252" s="706">
        <v>10576.18</v>
      </c>
      <c r="Q252" s="706">
        <v>0</v>
      </c>
      <c r="R252" s="706">
        <v>0</v>
      </c>
      <c r="S252" s="706">
        <v>1171.8399999999999</v>
      </c>
      <c r="T252" s="706">
        <v>1171.8399999999999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9717</v>
      </c>
      <c r="AM252" s="905">
        <f t="shared" si="20"/>
        <v>829.60000000000036</v>
      </c>
      <c r="AN252" s="905">
        <f>INDEX(G252:R252,1,MATCH(Parametres!$B$3,G$1:R$1,0))*IF(OR(F252="L",F252="S",F252="I"),-1,1)</f>
        <v>10546.6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6179.63</v>
      </c>
      <c r="P253" s="706">
        <v>6179.63</v>
      </c>
      <c r="Q253" s="706">
        <v>0</v>
      </c>
      <c r="R253" s="706">
        <v>0</v>
      </c>
      <c r="S253" s="706">
        <v>686.63</v>
      </c>
      <c r="T253" s="706">
        <v>686.63</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5693.24</v>
      </c>
      <c r="AM253" s="905">
        <f t="shared" si="20"/>
        <v>486.39000000000033</v>
      </c>
      <c r="AN253" s="905">
        <f>INDEX(G253:R253,1,MATCH(Parametres!$B$3,G$1:R$1,0))*IF(OR(F253="L",F253="S",F253="I"),-1,1)</f>
        <v>6179.63</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3719.05</v>
      </c>
      <c r="P255" s="706">
        <v>3719.05</v>
      </c>
      <c r="Q255" s="706">
        <v>0</v>
      </c>
      <c r="R255" s="706">
        <v>0</v>
      </c>
      <c r="S255" s="706">
        <v>413.23</v>
      </c>
      <c r="T255" s="706">
        <v>413.23</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3219.25</v>
      </c>
      <c r="AM255" s="905">
        <f t="shared" si="20"/>
        <v>499.80000000000018</v>
      </c>
      <c r="AN255" s="905">
        <f>INDEX(G255:R255,1,MATCH(Parametres!$B$3,G$1:R$1,0))*IF(OR(F255="L",F255="S",F255="I"),-1,1)</f>
        <v>3719.05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3089.88</v>
      </c>
      <c r="P256" s="706">
        <v>3089.88</v>
      </c>
      <c r="Q256" s="706">
        <v>0</v>
      </c>
      <c r="R256" s="706">
        <v>0</v>
      </c>
      <c r="S256" s="706">
        <v>343.32</v>
      </c>
      <c r="T256" s="706">
        <v>343.32</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2846.67</v>
      </c>
      <c r="AM256" s="905">
        <f t="shared" si="20"/>
        <v>243.21000000000004</v>
      </c>
      <c r="AN256" s="905">
        <f>INDEX(G256:R256,1,MATCH(Parametres!$B$3,G$1:R$1,0))*IF(OR(F256="L",F256="S",F256="I"),-1,1)</f>
        <v>3089.88</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3109.99</v>
      </c>
      <c r="P257" s="706">
        <v>3109.99</v>
      </c>
      <c r="Q257" s="706">
        <v>0</v>
      </c>
      <c r="R257" s="706">
        <v>0</v>
      </c>
      <c r="S257" s="706">
        <v>345.55</v>
      </c>
      <c r="T257" s="706">
        <v>345.55</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2846.53</v>
      </c>
      <c r="AM257" s="905">
        <f t="shared" si="20"/>
        <v>263.45999999999958</v>
      </c>
      <c r="AN257" s="905">
        <f>INDEX(G257:R257,1,MATCH(Parametres!$B$3,G$1:R$1,0))*IF(OR(F257="L",F257="S",F257="I"),-1,1)</f>
        <v>3109.99</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75</v>
      </c>
      <c r="P258" s="706">
        <v>275</v>
      </c>
      <c r="Q258" s="706">
        <v>0</v>
      </c>
      <c r="R258" s="706">
        <v>0</v>
      </c>
      <c r="S258" s="706">
        <v>8.33</v>
      </c>
      <c r="T258" s="706">
        <v>8.33</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75</v>
      </c>
      <c r="AN258" s="905">
        <f>INDEX(G258:R258,1,MATCH(Parametres!$B$3,G$1:R$1,0))*IF(OR(F258="L",F258="S",F258="I"),-1,1)</f>
        <v>75</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hidden="1"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23126.240000000002</v>
      </c>
      <c r="P259" s="706">
        <v>24204.240000000002</v>
      </c>
      <c r="Q259" s="706">
        <v>0</v>
      </c>
      <c r="R259" s="706">
        <v>0</v>
      </c>
      <c r="S259" s="706">
        <v>2569.58</v>
      </c>
      <c r="T259" s="706">
        <v>2569.58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23126.240000000002</v>
      </c>
      <c r="AN259" s="905">
        <f>INDEX(G259:R259,1,MATCH(Parametres!$B$3,G$1:R$1,0))*IF(OR(F259="L",F259="S",F259="I"),-1,1)</f>
        <v>23126.240000000002</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-1608211.02</v>
      </c>
      <c r="P261" s="706">
        <v>-1608211.02</v>
      </c>
      <c r="Q261" s="706">
        <v>0</v>
      </c>
      <c r="R261" s="706">
        <v>0</v>
      </c>
      <c r="S261" s="706">
        <v>-178690.11</v>
      </c>
      <c r="T261" s="706">
        <v>-178690.11</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-1479891.08</v>
      </c>
      <c r="AM261" s="905">
        <f t="shared" si="26"/>
        <v>-128319.93999999994</v>
      </c>
      <c r="AN261" s="905">
        <f>INDEX(G261:R261,1,MATCH(Parametres!$B$3,G$1:R$1,0))*IF(OR(F261="L",F261="S",F261="I"),-1,1)</f>
        <v>-1608211.02</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10.31</v>
      </c>
      <c r="Q265" s="706">
        <v>0</v>
      </c>
      <c r="R265" s="706">
        <v>0</v>
      </c>
      <c r="S265" s="706">
        <v>1.1499999999999999</v>
      </c>
      <c r="T265" s="706">
        <v>1.1499999999999999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6.88</v>
      </c>
      <c r="Q266" s="706">
        <v>0</v>
      </c>
      <c r="R266" s="706">
        <v>0</v>
      </c>
      <c r="S266" s="706">
        <v>0.76</v>
      </c>
      <c r="T266" s="706">
        <v>0.76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10.31</v>
      </c>
      <c r="Q267" s="706">
        <v>0</v>
      </c>
      <c r="R267" s="706">
        <v>0</v>
      </c>
      <c r="S267" s="706">
        <v>1.1499999999999999</v>
      </c>
      <c r="T267" s="706">
        <v>1.1499999999999999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3.44</v>
      </c>
      <c r="Q268" s="706">
        <v>0</v>
      </c>
      <c r="R268" s="706">
        <v>0</v>
      </c>
      <c r="S268" s="706">
        <v>0.38</v>
      </c>
      <c r="T268" s="706">
        <v>0.38</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3.44</v>
      </c>
      <c r="Q269" s="706">
        <v>0</v>
      </c>
      <c r="R269" s="706">
        <v>0</v>
      </c>
      <c r="S269" s="706">
        <v>0.38</v>
      </c>
      <c r="T269" s="706">
        <v>0.38</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213150.44</v>
      </c>
      <c r="P271" s="706">
        <v>213150.44</v>
      </c>
      <c r="Q271" s="706">
        <v>0</v>
      </c>
      <c r="R271" s="706">
        <v>0</v>
      </c>
      <c r="S271" s="706">
        <v>23683.38</v>
      </c>
      <c r="T271" s="706">
        <v>23683.38</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170520.44</v>
      </c>
      <c r="AM271" s="905">
        <f t="shared" si="26"/>
        <v>42630</v>
      </c>
      <c r="AN271" s="905">
        <f>INDEX(G271:R271,1,MATCH(Parametres!$B$3,G$1:R$1,0))*IF(OR(F271="L",F271="S",F271="I"),-1,1)</f>
        <v>213150.44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142100.29999999999</v>
      </c>
      <c r="P272" s="706">
        <v>142100.29999999999</v>
      </c>
      <c r="Q272" s="706">
        <v>0</v>
      </c>
      <c r="R272" s="706">
        <v>0</v>
      </c>
      <c r="S272" s="706">
        <v>15788.92</v>
      </c>
      <c r="T272" s="706">
        <v>15788.92</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113680.3</v>
      </c>
      <c r="AM272" s="905">
        <f t="shared" si="26"/>
        <v>28419.999999999985</v>
      </c>
      <c r="AN272" s="905">
        <f>INDEX(G272:R272,1,MATCH(Parametres!$B$3,G$1:R$1,0))*IF(OR(F272="L",F272="S",F272="I"),-1,1)</f>
        <v>142100.29999999999</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213150.44</v>
      </c>
      <c r="P274" s="706">
        <v>213150.44</v>
      </c>
      <c r="Q274" s="706">
        <v>0</v>
      </c>
      <c r="R274" s="706">
        <v>0</v>
      </c>
      <c r="S274" s="706">
        <v>23683.38</v>
      </c>
      <c r="T274" s="706">
        <v>23683.38</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170520.44</v>
      </c>
      <c r="AM274" s="905">
        <f t="shared" si="26"/>
        <v>42630</v>
      </c>
      <c r="AN274" s="905">
        <f>INDEX(G274:R274,1,MATCH(Parametres!$B$3,G$1:R$1,0))*IF(OR(F274="L",F274="S",F274="I"),-1,1)</f>
        <v>213150.44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71050.149999999994</v>
      </c>
      <c r="P275" s="706">
        <v>71050.149999999994</v>
      </c>
      <c r="Q275" s="706">
        <v>0</v>
      </c>
      <c r="R275" s="706">
        <v>0</v>
      </c>
      <c r="S275" s="706">
        <v>7894.46</v>
      </c>
      <c r="T275" s="706">
        <v>7894.46</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56840.15</v>
      </c>
      <c r="AM275" s="905">
        <f t="shared" si="26"/>
        <v>14209.999999999993</v>
      </c>
      <c r="AN275" s="905">
        <f>INDEX(G275:R275,1,MATCH(Parametres!$B$3,G$1:R$1,0))*IF(OR(F275="L",F275="S",F275="I"),-1,1)</f>
        <v>71050.149999999994</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71050.149999999994</v>
      </c>
      <c r="P276" s="706">
        <v>71050.149999999994</v>
      </c>
      <c r="Q276" s="706">
        <v>0</v>
      </c>
      <c r="R276" s="706">
        <v>0</v>
      </c>
      <c r="S276" s="706">
        <v>7894.46</v>
      </c>
      <c r="T276" s="706">
        <v>7894.46</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56840.15</v>
      </c>
      <c r="AM276" s="905">
        <f t="shared" si="26"/>
        <v>14209.999999999993</v>
      </c>
      <c r="AN276" s="905">
        <f>INDEX(G276:R276,1,MATCH(Parametres!$B$3,G$1:R$1,0))*IF(OR(F276="L",F276="S",F276="I"),-1,1)</f>
        <v>71050.149999999994</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16233.07</v>
      </c>
      <c r="Q278" s="706">
        <v>0</v>
      </c>
      <c r="R278" s="706">
        <v>0</v>
      </c>
      <c r="S278" s="706">
        <v>1803.67</v>
      </c>
      <c r="T278" s="706">
        <v>1803.67</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16233.07</v>
      </c>
      <c r="AM278" s="905">
        <f t="shared" si="26"/>
        <v>0</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10822.04</v>
      </c>
      <c r="Q279" s="706">
        <v>0</v>
      </c>
      <c r="R279" s="706">
        <v>0</v>
      </c>
      <c r="S279" s="706">
        <v>1202.45</v>
      </c>
      <c r="T279" s="706">
        <v>1202.45</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10822.04</v>
      </c>
      <c r="AM279" s="905">
        <f t="shared" si="26"/>
        <v>0</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16233.07</v>
      </c>
      <c r="Q281" s="706">
        <v>0</v>
      </c>
      <c r="R281" s="706">
        <v>0</v>
      </c>
      <c r="S281" s="706">
        <v>1803.67</v>
      </c>
      <c r="T281" s="706">
        <v>1803.67</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16233.07</v>
      </c>
      <c r="AM281" s="905">
        <f t="shared" si="26"/>
        <v>0</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5411</v>
      </c>
      <c r="Q282" s="706">
        <v>0</v>
      </c>
      <c r="R282" s="706">
        <v>0</v>
      </c>
      <c r="S282" s="706">
        <v>601.22</v>
      </c>
      <c r="T282" s="706">
        <v>601.22</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5411</v>
      </c>
      <c r="AM282" s="905">
        <f t="shared" si="26"/>
        <v>0</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5411.01</v>
      </c>
      <c r="Q283" s="706">
        <v>0</v>
      </c>
      <c r="R283" s="706">
        <v>0</v>
      </c>
      <c r="S283" s="706">
        <v>601.22</v>
      </c>
      <c r="T283" s="706">
        <v>601.22</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5411.01</v>
      </c>
      <c r="AM283" s="905">
        <f t="shared" si="26"/>
        <v>0</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25358.37</v>
      </c>
      <c r="P285" s="706">
        <v>25934.37</v>
      </c>
      <c r="Q285" s="706">
        <v>0</v>
      </c>
      <c r="R285" s="706">
        <v>0</v>
      </c>
      <c r="S285" s="706">
        <v>2817.6</v>
      </c>
      <c r="T285" s="706">
        <v>2817.6</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24187.47</v>
      </c>
      <c r="AM285" s="905">
        <f t="shared" si="26"/>
        <v>1170.8999999999978</v>
      </c>
      <c r="AN285" s="905">
        <f>INDEX(G285:R285,1,MATCH(Parametres!$B$3,G$1:R$1,0))*IF(OR(F285="L",F285="S",F285="I"),-1,1)</f>
        <v>25358.37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16385.09</v>
      </c>
      <c r="P286" s="706">
        <v>16769.09</v>
      </c>
      <c r="Q286" s="706">
        <v>0</v>
      </c>
      <c r="R286" s="706">
        <v>0</v>
      </c>
      <c r="S286" s="706">
        <v>1820.57</v>
      </c>
      <c r="T286" s="706">
        <v>1820.57</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15604.49</v>
      </c>
      <c r="AM286" s="905">
        <f t="shared" si="26"/>
        <v>780.60000000000036</v>
      </c>
      <c r="AN286" s="905">
        <f>INDEX(G286:R286,1,MATCH(Parametres!$B$3,G$1:R$1,0))*IF(OR(F286="L",F286="S",F286="I"),-1,1)</f>
        <v>16385.09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32196.38</v>
      </c>
      <c r="P288" s="706">
        <v>32772.379999999997</v>
      </c>
      <c r="Q288" s="706">
        <v>0</v>
      </c>
      <c r="R288" s="706">
        <v>0</v>
      </c>
      <c r="S288" s="706">
        <v>3577.38</v>
      </c>
      <c r="T288" s="706">
        <v>3577.38</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30325.91</v>
      </c>
      <c r="AM288" s="905">
        <f t="shared" si="26"/>
        <v>1870.4700000000012</v>
      </c>
      <c r="AN288" s="905">
        <f>INDEX(G288:R288,1,MATCH(Parametres!$B$3,G$1:R$1,0))*IF(OR(F288="L",F288="S",F288="I"),-1,1)</f>
        <v>32196.38</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13398.2</v>
      </c>
      <c r="P289" s="706">
        <v>13590.2</v>
      </c>
      <c r="Q289" s="706">
        <v>0</v>
      </c>
      <c r="R289" s="706">
        <v>0</v>
      </c>
      <c r="S289" s="706">
        <v>1488.69</v>
      </c>
      <c r="T289" s="706">
        <v>1488.69</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12834.13</v>
      </c>
      <c r="AM289" s="905">
        <f t="shared" si="26"/>
        <v>564.07000000000153</v>
      </c>
      <c r="AN289" s="905">
        <f>INDEX(G289:R289,1,MATCH(Parametres!$B$3,G$1:R$1,0))*IF(OR(F289="L",F289="S",F289="I"),-1,1)</f>
        <v>13398.2</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10293.469999999999</v>
      </c>
      <c r="P290" s="706">
        <v>10485.469999999999</v>
      </c>
      <c r="Q290" s="706">
        <v>0</v>
      </c>
      <c r="R290" s="706">
        <v>0</v>
      </c>
      <c r="S290" s="706">
        <v>1143.72</v>
      </c>
      <c r="T290" s="706">
        <v>1143.72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9903.18</v>
      </c>
      <c r="AM290" s="905">
        <f t="shared" si="26"/>
        <v>390.28999999999905</v>
      </c>
      <c r="AN290" s="905">
        <f>INDEX(G290:R290,1,MATCH(Parametres!$B$3,G$1:R$1,0))*IF(OR(F290="L",F290="S",F290="I"),-1,1)</f>
        <v>10293.469999999999</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3429</v>
      </c>
      <c r="D291" s="706" t="s">
        <v>3430</v>
      </c>
      <c r="E291" s="706" t="s">
        <v>333</v>
      </c>
      <c r="F291" s="706" t="s">
        <v>1104</v>
      </c>
      <c r="G291" s="706">
        <v>0</v>
      </c>
      <c r="H291" s="706">
        <v>0</v>
      </c>
      <c r="I291" s="706">
        <v>0</v>
      </c>
      <c r="J291" s="706">
        <v>0</v>
      </c>
      <c r="K291" s="706">
        <v>0</v>
      </c>
      <c r="L291" s="706">
        <v>0</v>
      </c>
      <c r="M291" s="706">
        <v>0</v>
      </c>
      <c r="N291" s="706">
        <v>0</v>
      </c>
      <c r="O291" s="706">
        <v>567.63</v>
      </c>
      <c r="P291" s="706">
        <v>567.63</v>
      </c>
      <c r="Q291" s="706">
        <v>0</v>
      </c>
      <c r="R291" s="706">
        <v>0</v>
      </c>
      <c r="S291" s="706">
        <v>63.07</v>
      </c>
      <c r="T291" s="706">
        <v>63.07</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567.63</v>
      </c>
      <c r="AN291" s="905">
        <f>INDEX(G291:R291,1,MATCH(Parametres!$B$3,G$1:R$1,0))*IF(OR(F291="L",F291="S",F291="I"),-1,1)</f>
        <v>567.63</v>
      </c>
      <c r="AO291" s="487" t="str">
        <f>+VLOOKUP($AJ291,Data_Validation!$A:$D,1,0)</f>
        <v>G0827</v>
      </c>
      <c r="AP291" s="487" t="str">
        <f>+VLOOKUP($AJ291,Data_Validation!$A:$D,3,0)</f>
        <v>SAAQ</v>
      </c>
      <c r="AQ291" s="487" t="str">
        <f>+VLOOKUP($AJ291,Data_Validation!$A:$D,4,0)</f>
        <v>Services extérieurs</v>
      </c>
      <c r="AR291" s="487" t="s">
        <v>299</v>
      </c>
      <c r="AS291" s="487">
        <f>+VLOOKUP($AJ291,Data_Validation!$A:$E,5,0)</f>
        <v>0</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f>+VLOOKUP($AJ291,Data_Validation!$A:$E,5,0)</f>
        <v>0</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256.5</v>
      </c>
      <c r="P293" s="706">
        <v>256.5</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228</v>
      </c>
      <c r="AM293" s="905">
        <f t="shared" si="26"/>
        <v>28.5</v>
      </c>
      <c r="AN293" s="905">
        <f>INDEX(G293:R293,1,MATCH(Parametres!$B$3,G$1:R$1,0))*IF(OR(F293="L",F293="S",F293="I"),-1,1)</f>
        <v>256.5</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171</v>
      </c>
      <c r="P294" s="706">
        <v>171</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152</v>
      </c>
      <c r="AM294" s="905">
        <f t="shared" si="26"/>
        <v>19</v>
      </c>
      <c r="AN294" s="905">
        <f>INDEX(G294:R294,1,MATCH(Parametres!$B$3,G$1:R$1,0))*IF(OR(F294="L",F294="S",F294="I"),-1,1)</f>
        <v>171</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256.5</v>
      </c>
      <c r="P295" s="706">
        <v>256.5</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228</v>
      </c>
      <c r="AM295" s="905">
        <f t="shared" si="26"/>
        <v>28.5</v>
      </c>
      <c r="AN295" s="905">
        <f>INDEX(G295:R295,1,MATCH(Parametres!$B$3,G$1:R$1,0))*IF(OR(F295="L",F295="S",F295="I"),-1,1)</f>
        <v>256.5</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85.5</v>
      </c>
      <c r="P296" s="706">
        <v>85.5</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76</v>
      </c>
      <c r="AM296" s="905">
        <f t="shared" si="26"/>
        <v>9.5</v>
      </c>
      <c r="AN296" s="905">
        <f>INDEX(G296:R296,1,MATCH(Parametres!$B$3,G$1:R$1,0))*IF(OR(F296="L",F296="S",F296="I"),-1,1)</f>
        <v>85.5</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85.5</v>
      </c>
      <c r="P297" s="706">
        <v>85.5</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76</v>
      </c>
      <c r="AM297" s="905">
        <f t="shared" si="26"/>
        <v>9.5</v>
      </c>
      <c r="AN297" s="905">
        <f>INDEX(G297:R297,1,MATCH(Parametres!$B$3,G$1:R$1,0))*IF(OR(F297="L",F297="S",F297="I"),-1,1)</f>
        <v>85.5</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22548.51</v>
      </c>
      <c r="P299" s="706">
        <v>22548.51</v>
      </c>
      <c r="Q299" s="706">
        <v>0</v>
      </c>
      <c r="R299" s="706">
        <v>0</v>
      </c>
      <c r="S299" s="706">
        <v>2505.39</v>
      </c>
      <c r="T299" s="706">
        <v>2505.39</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20432.34</v>
      </c>
      <c r="AM299" s="905">
        <f t="shared" si="26"/>
        <v>2116.1699999999983</v>
      </c>
      <c r="AN299" s="905">
        <f>INDEX(G299:R299,1,MATCH(Parametres!$B$3,G$1:R$1,0))*IF(OR(F299="L",F299="S",F299="I"),-1,1)</f>
        <v>22548.51</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15032.34</v>
      </c>
      <c r="P300" s="706">
        <v>15032.34</v>
      </c>
      <c r="Q300" s="706">
        <v>0</v>
      </c>
      <c r="R300" s="706">
        <v>0</v>
      </c>
      <c r="S300" s="706">
        <v>1670.26</v>
      </c>
      <c r="T300" s="706">
        <v>1670.26</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13621.56</v>
      </c>
      <c r="AM300" s="905">
        <f t="shared" si="26"/>
        <v>1410.7800000000007</v>
      </c>
      <c r="AN300" s="905">
        <f>INDEX(G300:R300,1,MATCH(Parametres!$B$3,G$1:R$1,0))*IF(OR(F300="L",F300="S",F300="I"),-1,1)</f>
        <v>15032.34</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22548.51</v>
      </c>
      <c r="P301" s="706">
        <v>22548.51</v>
      </c>
      <c r="Q301" s="706">
        <v>0</v>
      </c>
      <c r="R301" s="706">
        <v>0</v>
      </c>
      <c r="S301" s="706">
        <v>2505.39</v>
      </c>
      <c r="T301" s="706">
        <v>2505.39</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20432.34</v>
      </c>
      <c r="AM301" s="905">
        <f t="shared" si="26"/>
        <v>2116.1699999999983</v>
      </c>
      <c r="AN301" s="905">
        <f>INDEX(G301:R301,1,MATCH(Parametres!$B$3,G$1:R$1,0))*IF(OR(F301="L",F301="S",F301="I"),-1,1)</f>
        <v>22548.51</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7516.17</v>
      </c>
      <c r="P302" s="706">
        <v>7516.17</v>
      </c>
      <c r="Q302" s="706">
        <v>0</v>
      </c>
      <c r="R302" s="706">
        <v>0</v>
      </c>
      <c r="S302" s="706">
        <v>835.13</v>
      </c>
      <c r="T302" s="706">
        <v>835.13</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6810.78</v>
      </c>
      <c r="AM302" s="905">
        <f t="shared" si="26"/>
        <v>705.39000000000033</v>
      </c>
      <c r="AN302" s="905">
        <f>INDEX(G302:R302,1,MATCH(Parametres!$B$3,G$1:R$1,0))*IF(OR(F302="L",F302="S",F302="I"),-1,1)</f>
        <v>7516.17</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7516.14</v>
      </c>
      <c r="P303" s="706">
        <v>7516.14</v>
      </c>
      <c r="Q303" s="706">
        <v>0</v>
      </c>
      <c r="R303" s="706">
        <v>0</v>
      </c>
      <c r="S303" s="706">
        <v>835.13</v>
      </c>
      <c r="T303" s="706">
        <v>835.13</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6810.76</v>
      </c>
      <c r="AM303" s="905">
        <f t="shared" si="26"/>
        <v>705.38000000000011</v>
      </c>
      <c r="AN303" s="905">
        <f>INDEX(G303:R303,1,MATCH(Parametres!$B$3,G$1:R$1,0))*IF(OR(F303="L",F303="S",F303="I"),-1,1)</f>
        <v>7516.14</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19155.21</v>
      </c>
      <c r="P305" s="706">
        <v>19155.21</v>
      </c>
      <c r="Q305" s="706">
        <v>0</v>
      </c>
      <c r="R305" s="706">
        <v>0</v>
      </c>
      <c r="S305" s="706">
        <v>2128.36</v>
      </c>
      <c r="T305" s="706">
        <v>2128.36</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16802.82</v>
      </c>
      <c r="AM305" s="905">
        <f t="shared" si="26"/>
        <v>2352.3899999999994</v>
      </c>
      <c r="AN305" s="905">
        <f>INDEX(G305:R305,1,MATCH(Parametres!$B$3,G$1:R$1,0))*IF(OR(F305="L",F305="S",F305="I"),-1,1)</f>
        <v>19155.21</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12805</v>
      </c>
      <c r="P306" s="706">
        <v>12805</v>
      </c>
      <c r="Q306" s="706">
        <v>0</v>
      </c>
      <c r="R306" s="706">
        <v>0</v>
      </c>
      <c r="S306" s="706">
        <v>1422.78</v>
      </c>
      <c r="T306" s="706">
        <v>1422.78</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11236.74</v>
      </c>
      <c r="AM306" s="905">
        <f t="shared" si="26"/>
        <v>1568.2600000000002</v>
      </c>
      <c r="AN306" s="905">
        <f>INDEX(G306:R306,1,MATCH(Parametres!$B$3,G$1:R$1,0))*IF(OR(F306="L",F306="S",F306="I"),-1,1)</f>
        <v>12805</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19155.21</v>
      </c>
      <c r="P307" s="706">
        <v>19155.21</v>
      </c>
      <c r="Q307" s="706">
        <v>0</v>
      </c>
      <c r="R307" s="706">
        <v>0</v>
      </c>
      <c r="S307" s="706">
        <v>2128.36</v>
      </c>
      <c r="T307" s="706">
        <v>2128.36</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16802.82</v>
      </c>
      <c r="AM307" s="905">
        <f t="shared" si="26"/>
        <v>2352.3899999999994</v>
      </c>
      <c r="AN307" s="905">
        <f>INDEX(G307:R307,1,MATCH(Parametres!$B$3,G$1:R$1,0))*IF(OR(F307="L",F307="S",F307="I"),-1,1)</f>
        <v>19155.21</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6385.05</v>
      </c>
      <c r="P308" s="706">
        <v>6385.05</v>
      </c>
      <c r="Q308" s="706">
        <v>0</v>
      </c>
      <c r="R308" s="706">
        <v>0</v>
      </c>
      <c r="S308" s="706">
        <v>709.45</v>
      </c>
      <c r="T308" s="706">
        <v>709.45</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5600.92</v>
      </c>
      <c r="AM308" s="905">
        <f t="shared" si="26"/>
        <v>784.13000000000011</v>
      </c>
      <c r="AN308" s="905">
        <f>INDEX(G308:R308,1,MATCH(Parametres!$B$3,G$1:R$1,0))*IF(OR(F308="L",F308="S",F308="I"),-1,1)</f>
        <v>6385.05</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6385.04</v>
      </c>
      <c r="P309" s="706">
        <v>6385.04</v>
      </c>
      <c r="Q309" s="706">
        <v>0</v>
      </c>
      <c r="R309" s="706">
        <v>0</v>
      </c>
      <c r="S309" s="706">
        <v>709.45</v>
      </c>
      <c r="T309" s="706">
        <v>709.45</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5600.92</v>
      </c>
      <c r="AM309" s="905">
        <f t="shared" si="26"/>
        <v>784.11999999999989</v>
      </c>
      <c r="AN309" s="905">
        <f>INDEX(G309:R309,1,MATCH(Parametres!$B$3,G$1:R$1,0))*IF(OR(F309="L",F309="S",F309="I"),-1,1)</f>
        <v>6385.04</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29970</v>
      </c>
      <c r="P311" s="706">
        <v>29970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26640</v>
      </c>
      <c r="AM311" s="905">
        <f t="shared" si="26"/>
        <v>3330</v>
      </c>
      <c r="AN311" s="905">
        <f>INDEX(G311:R311,1,MATCH(Parametres!$B$3,G$1:R$1,0))*IF(OR(F311="L",F311="S",F311="I"),-1,1)</f>
        <v>29970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19980</v>
      </c>
      <c r="P312" s="706">
        <v>19980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17760</v>
      </c>
      <c r="AM312" s="905">
        <f t="shared" si="26"/>
        <v>2220</v>
      </c>
      <c r="AN312" s="905">
        <f>INDEX(G312:R312,1,MATCH(Parametres!$B$3,G$1:R$1,0))*IF(OR(F312="L",F312="S",F312="I"),-1,1)</f>
        <v>19980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29970</v>
      </c>
      <c r="P313" s="706">
        <v>29970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26640</v>
      </c>
      <c r="AM313" s="905">
        <f t="shared" si="26"/>
        <v>3330</v>
      </c>
      <c r="AN313" s="905">
        <f>INDEX(G313:R313,1,MATCH(Parametres!$B$3,G$1:R$1,0))*IF(OR(F313="L",F313="S",F313="I"),-1,1)</f>
        <v>29970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9990</v>
      </c>
      <c r="P314" s="706">
        <v>9990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8880</v>
      </c>
      <c r="AM314" s="905">
        <f t="shared" si="26"/>
        <v>1110</v>
      </c>
      <c r="AN314" s="905">
        <f>INDEX(G314:R314,1,MATCH(Parametres!$B$3,G$1:R$1,0))*IF(OR(F314="L",F314="S",F314="I"),-1,1)</f>
        <v>9990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9990</v>
      </c>
      <c r="P315" s="706">
        <v>9990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8880</v>
      </c>
      <c r="AM315" s="905">
        <f t="shared" si="26"/>
        <v>1110</v>
      </c>
      <c r="AN315" s="905">
        <f>INDEX(G315:R315,1,MATCH(Parametres!$B$3,G$1:R$1,0))*IF(OR(F315="L",F315="S",F315="I"),-1,1)</f>
        <v>9990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35509.68</v>
      </c>
      <c r="P323" s="706">
        <v>35509.68</v>
      </c>
      <c r="Q323" s="706">
        <v>0</v>
      </c>
      <c r="R323" s="706">
        <v>0</v>
      </c>
      <c r="S323" s="706">
        <v>3945.52</v>
      </c>
      <c r="T323" s="706">
        <v>3945.52</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31091.4</v>
      </c>
      <c r="AM323" s="905">
        <f t="shared" si="26"/>
        <v>4418.2799999999988</v>
      </c>
      <c r="AN323" s="905">
        <f>INDEX(G323:R323,1,MATCH(Parametres!$B$3,G$1:R$1,0))*IF(OR(F323="L",F323="S",F323="I"),-1,1)</f>
        <v>35509.68</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23673.119999999999</v>
      </c>
      <c r="P324" s="706">
        <v>23673.119999999999</v>
      </c>
      <c r="Q324" s="706">
        <v>0</v>
      </c>
      <c r="R324" s="706">
        <v>0</v>
      </c>
      <c r="S324" s="706">
        <v>2630.35</v>
      </c>
      <c r="T324" s="706">
        <v>2630.35</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20727.599999999999</v>
      </c>
      <c r="AM324" s="905">
        <f t="shared" ref="AM324:AM387" si="32">AN324-AL324</f>
        <v>2945.5200000000004</v>
      </c>
      <c r="AN324" s="905">
        <f>INDEX(G324:R324,1,MATCH(Parametres!$B$3,G$1:R$1,0))*IF(OR(F324="L",F324="S",F324="I"),-1,1)</f>
        <v>23673.119999999999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35509.68</v>
      </c>
      <c r="P326" s="706">
        <v>35509.68</v>
      </c>
      <c r="Q326" s="706">
        <v>0</v>
      </c>
      <c r="R326" s="706">
        <v>0</v>
      </c>
      <c r="S326" s="706">
        <v>3945.52</v>
      </c>
      <c r="T326" s="706">
        <v>3945.52</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31091.4</v>
      </c>
      <c r="AM326" s="905">
        <f t="shared" si="32"/>
        <v>4418.2799999999988</v>
      </c>
      <c r="AN326" s="905">
        <f>INDEX(G326:R326,1,MATCH(Parametres!$B$3,G$1:R$1,0))*IF(OR(F326="L",F326="S",F326="I"),-1,1)</f>
        <v>35509.68</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11836.56</v>
      </c>
      <c r="P327" s="706">
        <v>11836.56</v>
      </c>
      <c r="Q327" s="706">
        <v>0</v>
      </c>
      <c r="R327" s="706">
        <v>0</v>
      </c>
      <c r="S327" s="706">
        <v>1315.17</v>
      </c>
      <c r="T327" s="706">
        <v>1315.17</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10363.799999999999</v>
      </c>
      <c r="AM327" s="905">
        <f t="shared" si="32"/>
        <v>1472.7600000000002</v>
      </c>
      <c r="AN327" s="905">
        <f>INDEX(G327:R327,1,MATCH(Parametres!$B$3,G$1:R$1,0))*IF(OR(F327="L",F327="S",F327="I"),-1,1)</f>
        <v>11836.56</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11836.62</v>
      </c>
      <c r="P328" s="706">
        <v>11836.62</v>
      </c>
      <c r="Q328" s="706">
        <v>0</v>
      </c>
      <c r="R328" s="706">
        <v>0</v>
      </c>
      <c r="S328" s="706">
        <v>1315.18</v>
      </c>
      <c r="T328" s="706">
        <v>1315.18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10363.85</v>
      </c>
      <c r="AM328" s="905">
        <f t="shared" si="32"/>
        <v>1472.7700000000004</v>
      </c>
      <c r="AN328" s="905">
        <f>INDEX(G328:R328,1,MATCH(Parametres!$B$3,G$1:R$1,0))*IF(OR(F328="L",F328="S",F328="I"),-1,1)</f>
        <v>11836.62</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1000.57</v>
      </c>
      <c r="P330" s="706">
        <v>1000.57</v>
      </c>
      <c r="Q330" s="706">
        <v>0</v>
      </c>
      <c r="R330" s="706">
        <v>0</v>
      </c>
      <c r="S330" s="706">
        <v>111.17</v>
      </c>
      <c r="T330" s="706">
        <v>111.17</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1000.57</v>
      </c>
      <c r="AN330" s="905">
        <f>INDEX(G330:R330,1,MATCH(Parametres!$B$3,G$1:R$1,0))*IF(OR(F330="L",F330="S",F330="I"),-1,1)</f>
        <v>1000.57</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20979.13</v>
      </c>
      <c r="P332" s="706">
        <v>20979.13</v>
      </c>
      <c r="Q332" s="706">
        <v>0</v>
      </c>
      <c r="R332" s="706">
        <v>0</v>
      </c>
      <c r="S332" s="706">
        <v>2331.0100000000002</v>
      </c>
      <c r="T332" s="706">
        <v>2331.0100000000002</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11292.74</v>
      </c>
      <c r="AM332" s="905">
        <f t="shared" si="32"/>
        <v>9686.3900000000012</v>
      </c>
      <c r="AN332" s="905">
        <f>INDEX(G332:R332,1,MATCH(Parametres!$B$3,G$1:R$1,0))*IF(OR(F332="L",F332="S",F332="I"),-1,1)</f>
        <v>20979.13</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13138.82</v>
      </c>
      <c r="P333" s="706">
        <v>13138.82</v>
      </c>
      <c r="Q333" s="706">
        <v>0</v>
      </c>
      <c r="R333" s="706">
        <v>0</v>
      </c>
      <c r="S333" s="706">
        <v>1459.87</v>
      </c>
      <c r="T333" s="706">
        <v>1459.87</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8557.15</v>
      </c>
      <c r="AM333" s="905">
        <f t="shared" si="32"/>
        <v>4581.67</v>
      </c>
      <c r="AN333" s="905">
        <f>INDEX(G333:R333,1,MATCH(Parametres!$B$3,G$1:R$1,0))*IF(OR(F333="L",F333="S",F333="I"),-1,1)</f>
        <v>13138.82</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82</v>
      </c>
      <c r="Q334" s="706">
        <v>0</v>
      </c>
      <c r="R334" s="706">
        <v>0</v>
      </c>
      <c r="S334" s="706">
        <v>9.11</v>
      </c>
      <c r="T334" s="706">
        <v>9.11</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1121.6300000000001</v>
      </c>
      <c r="Q335" s="706">
        <v>0</v>
      </c>
      <c r="R335" s="706">
        <v>0</v>
      </c>
      <c r="S335" s="706">
        <v>124.63</v>
      </c>
      <c r="T335" s="706">
        <v>124.63</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28930.5</v>
      </c>
      <c r="P337" s="706">
        <v>28930.5</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25716</v>
      </c>
      <c r="AM337" s="905">
        <f t="shared" si="32"/>
        <v>3214.5</v>
      </c>
      <c r="AN337" s="905">
        <f>INDEX(G337:R337,1,MATCH(Parametres!$B$3,G$1:R$1,0))*IF(OR(F337="L",F337="S",F337="I"),-1,1)</f>
        <v>28930.5</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19287</v>
      </c>
      <c r="P338" s="706">
        <v>19287</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17144</v>
      </c>
      <c r="AM338" s="905">
        <f t="shared" si="32"/>
        <v>2143</v>
      </c>
      <c r="AN338" s="905">
        <f>INDEX(G338:R338,1,MATCH(Parametres!$B$3,G$1:R$1,0))*IF(OR(F338="L",F338="S",F338="I"),-1,1)</f>
        <v>19287</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28930.5</v>
      </c>
      <c r="P339" s="706">
        <v>28930.5</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25716</v>
      </c>
      <c r="AM339" s="905">
        <f t="shared" si="32"/>
        <v>3214.5</v>
      </c>
      <c r="AN339" s="905">
        <f>INDEX(G339:R339,1,MATCH(Parametres!$B$3,G$1:R$1,0))*IF(OR(F339="L",F339="S",F339="I"),-1,1)</f>
        <v>28930.5</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9643.5</v>
      </c>
      <c r="P340" s="706">
        <v>9643.5</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8572</v>
      </c>
      <c r="AM340" s="905">
        <f t="shared" si="32"/>
        <v>1071.5</v>
      </c>
      <c r="AN340" s="905">
        <f>INDEX(G340:R340,1,MATCH(Parametres!$B$3,G$1:R$1,0))*IF(OR(F340="L",F340="S",F340="I"),-1,1)</f>
        <v>9643.5</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9643.5</v>
      </c>
      <c r="P341" s="706">
        <v>9643.5</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8572</v>
      </c>
      <c r="AM341" s="905">
        <f t="shared" si="32"/>
        <v>1071.5</v>
      </c>
      <c r="AN341" s="905">
        <f>INDEX(G341:R341,1,MATCH(Parametres!$B$3,G$1:R$1,0))*IF(OR(F341="L",F341="S",F341="I"),-1,1)</f>
        <v>9643.5</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1599.63</v>
      </c>
      <c r="P343" s="706">
        <v>1599.63</v>
      </c>
      <c r="Q343" s="706">
        <v>0</v>
      </c>
      <c r="R343" s="706">
        <v>0</v>
      </c>
      <c r="S343" s="706">
        <v>177.74</v>
      </c>
      <c r="T343" s="706">
        <v>177.74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1470.36</v>
      </c>
      <c r="AM343" s="905">
        <f t="shared" si="32"/>
        <v>129.27000000000021</v>
      </c>
      <c r="AN343" s="905">
        <f>INDEX(G343:R343,1,MATCH(Parametres!$B$3,G$1:R$1,0))*IF(OR(F343="L",F343="S",F343="I"),-1,1)</f>
        <v>1599.63</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568.36</v>
      </c>
      <c r="P344" s="706">
        <v>568.36</v>
      </c>
      <c r="Q344" s="706">
        <v>0</v>
      </c>
      <c r="R344" s="706">
        <v>0</v>
      </c>
      <c r="S344" s="706">
        <v>63.15</v>
      </c>
      <c r="T344" s="706">
        <v>63.15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484.68</v>
      </c>
      <c r="AM344" s="905">
        <f t="shared" si="32"/>
        <v>83.68</v>
      </c>
      <c r="AN344" s="905">
        <f>INDEX(G344:R344,1,MATCH(Parametres!$B$3,G$1:R$1,0))*IF(OR(F344="L",F344="S",F344="I"),-1,1)</f>
        <v>568.36</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6119.03</v>
      </c>
      <c r="P345" s="706">
        <v>6577.39</v>
      </c>
      <c r="Q345" s="706">
        <v>0</v>
      </c>
      <c r="R345" s="706">
        <v>0</v>
      </c>
      <c r="S345" s="706">
        <v>679.89</v>
      </c>
      <c r="T345" s="706">
        <v>679.89</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5561.39</v>
      </c>
      <c r="AM345" s="905">
        <f t="shared" si="32"/>
        <v>557.63999999999942</v>
      </c>
      <c r="AN345" s="905">
        <f>INDEX(G345:R345,1,MATCH(Parametres!$B$3,G$1:R$1,0))*IF(OR(F345="L",F345="S",F345="I"),-1,1)</f>
        <v>6119.03</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447</v>
      </c>
      <c r="P346" s="706">
        <v>447</v>
      </c>
      <c r="Q346" s="706">
        <v>0</v>
      </c>
      <c r="R346" s="706">
        <v>0</v>
      </c>
      <c r="S346" s="706">
        <v>49.67</v>
      </c>
      <c r="T346" s="706">
        <v>49.67</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416.4</v>
      </c>
      <c r="AM346" s="905">
        <f t="shared" si="32"/>
        <v>30.600000000000023</v>
      </c>
      <c r="AN346" s="905">
        <f>INDEX(G346:R346,1,MATCH(Parametres!$B$3,G$1:R$1,0))*IF(OR(F346="L",F346="S",F346="I"),-1,1)</f>
        <v>447</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324.57</v>
      </c>
      <c r="P347" s="706">
        <v>324.57</v>
      </c>
      <c r="Q347" s="706">
        <v>0</v>
      </c>
      <c r="R347" s="706">
        <v>0</v>
      </c>
      <c r="S347" s="706">
        <v>36.06</v>
      </c>
      <c r="T347" s="706">
        <v>36.06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270</v>
      </c>
      <c r="AM347" s="905">
        <f t="shared" si="32"/>
        <v>54.569999999999993</v>
      </c>
      <c r="AN347" s="905">
        <f>INDEX(G347:R347,1,MATCH(Parametres!$B$3,G$1:R$1,0))*IF(OR(F347="L",F347="S",F347="I"),-1,1)</f>
        <v>324.57</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3100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2429261.48</v>
      </c>
      <c r="P356" s="706">
        <v>2302804.35</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2352206.81</v>
      </c>
      <c r="AM356" s="905">
        <f t="shared" si="32"/>
        <v>77054.669999999925</v>
      </c>
      <c r="AN356" s="905">
        <f>INDEX(G356:R356,1,MATCH(Parametres!$B$3,G$1:R$1,0))*IF(OR(F356="L",F356="S",F356="I"),-1,1)</f>
        <v>2429261.48</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956.15</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628529.84</v>
      </c>
      <c r="P363" s="706">
        <v>157101.74</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570763.31000000006</v>
      </c>
      <c r="AM363" s="905">
        <f t="shared" si="32"/>
        <v>57766.529999999912</v>
      </c>
      <c r="AN363" s="905">
        <f>INDEX(G363:R363,1,MATCH(Parametres!$B$3,G$1:R$1,0))*IF(OR(F363="L",F363="S",F363="I"),-1,1)</f>
        <v>628529.84</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-2251.59</v>
      </c>
      <c r="P367" s="706">
        <v>33826.370000000003</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-4958.7700000000004</v>
      </c>
      <c r="AM367" s="905">
        <f t="shared" si="32"/>
        <v>2707.1800000000003</v>
      </c>
      <c r="AN367" s="905">
        <f>INDEX(G367:R367,1,MATCH(Parametres!$B$3,G$1:R$1,0))*IF(OR(F367="L",F367="S",F367="I"),-1,1)</f>
        <v>-2251.59</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536469.68999999994</v>
      </c>
      <c r="P369" s="706">
        <v>556718.25</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506847.22</v>
      </c>
      <c r="AM369" s="905">
        <f t="shared" si="32"/>
        <v>29622.469999999972</v>
      </c>
      <c r="AN369" s="905">
        <f>INDEX(G369:R369,1,MATCH(Parametres!$B$3,G$1:R$1,0))*IF(OR(F369="L",F369="S",F369="I"),-1,1)</f>
        <v>536469.68999999994</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65994.22</v>
      </c>
      <c r="P370" s="706">
        <v>-14144.26</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-91273.1</v>
      </c>
      <c r="AM370" s="905">
        <f t="shared" si="32"/>
        <v>157267.32</v>
      </c>
      <c r="AN370" s="905">
        <f>INDEX(G370:R370,1,MATCH(Parametres!$B$3,G$1:R$1,0))*IF(OR(F370="L",F370="S",F370="I"),-1,1)</f>
        <v>65994.22</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37994.54</v>
      </c>
      <c r="P371" s="706">
        <v>43671.98</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-22926.36</v>
      </c>
      <c r="AM371" s="905">
        <f t="shared" si="32"/>
        <v>60920.9</v>
      </c>
      <c r="AN371" s="905">
        <f>INDEX(G371:R371,1,MATCH(Parametres!$B$3,G$1:R$1,0))*IF(OR(F371="L",F371="S",F371="I"),-1,1)</f>
        <v>37994.54</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51111.18</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53468.59</v>
      </c>
      <c r="P373" s="706">
        <v>64785.67</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63379.1</v>
      </c>
      <c r="AM373" s="905">
        <f t="shared" si="32"/>
        <v>-9910.510000000002</v>
      </c>
      <c r="AN373" s="905">
        <f>INDEX(G373:R373,1,MATCH(Parametres!$B$3,G$1:R$1,0))*IF(OR(F373="L",F373="S",F373="I"),-1,1)</f>
        <v>53468.59</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618661.72</v>
      </c>
      <c r="P374" s="706">
        <v>936890.87</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536219.31999999995</v>
      </c>
      <c r="AM374" s="905">
        <f t="shared" si="32"/>
        <v>82442.400000000023</v>
      </c>
      <c r="AN374" s="905">
        <f>INDEX(G374:R374,1,MATCH(Parametres!$B$3,G$1:R$1,0))*IF(OR(F374="L",F374="S",F374="I"),-1,1)</f>
        <v>618661.72</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16999.060000000001</v>
      </c>
      <c r="P375" s="706">
        <v>17924.060000000001</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11068.63</v>
      </c>
      <c r="AM375" s="905">
        <f t="shared" si="32"/>
        <v>5930.4300000000021</v>
      </c>
      <c r="AN375" s="905">
        <f>INDEX(G375:R375,1,MATCH(Parametres!$B$3,G$1:R$1,0))*IF(OR(F375="L",F375="S",F375="I"),-1,1)</f>
        <v>16999.060000000001</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195291.53</v>
      </c>
      <c r="P376" s="706">
        <v>-735583.82</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411592.18</v>
      </c>
      <c r="AM376" s="905">
        <f t="shared" si="32"/>
        <v>-216300.65</v>
      </c>
      <c r="AN376" s="905">
        <f>INDEX(G376:R376,1,MATCH(Parametres!$B$3,G$1:R$1,0))*IF(OR(F376="L",F376="S",F376="I"),-1,1)</f>
        <v>195291.53</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474705.02</v>
      </c>
      <c r="P377" s="706">
        <v>244766.03</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447211.82</v>
      </c>
      <c r="AM377" s="905">
        <f t="shared" si="32"/>
        <v>27493.200000000012</v>
      </c>
      <c r="AN377" s="905">
        <f>INDEX(G377:R377,1,MATCH(Parametres!$B$3,G$1:R$1,0))*IF(OR(F377="L",F377="S",F377="I"),-1,1)</f>
        <v>474705.02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209812.45</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469723.22</v>
      </c>
      <c r="AM379" s="905">
        <f t="shared" si="32"/>
        <v>-259910.76999999996</v>
      </c>
      <c r="AN379" s="905">
        <f>INDEX(G379:R379,1,MATCH(Parametres!$B$3,G$1:R$1,0))*IF(OR(F379="L",F379="S",F379="I"),-1,1)</f>
        <v>209812.45</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105128.72</v>
      </c>
      <c r="P380" s="706">
        <v>19778.66</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184701.51</v>
      </c>
      <c r="AM380" s="905">
        <f t="shared" si="32"/>
        <v>-79572.790000000008</v>
      </c>
      <c r="AN380" s="905">
        <f>INDEX(G380:R380,1,MATCH(Parametres!$B$3,G$1:R$1,0))*IF(OR(F380="L",F380="S",F380="I"),-1,1)</f>
        <v>105128.72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-59948.02</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439550.09</v>
      </c>
      <c r="P383" s="706">
        <v>126718.36</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155734.04999999999</v>
      </c>
      <c r="AM383" s="905">
        <f t="shared" si="32"/>
        <v>283816.04000000004</v>
      </c>
      <c r="AN383" s="905">
        <f>INDEX(G383:R383,1,MATCH(Parametres!$B$3,G$1:R$1,0))*IF(OR(F383="L",F383="S",F383="I"),-1,1)</f>
        <v>439550.09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44131.040000000001</v>
      </c>
      <c r="P388" s="706">
        <v>44131.040000000001</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453908.4</v>
      </c>
      <c r="AM388" s="905">
        <f t="shared" ref="AM388:AM451" si="38">AN388-AL388</f>
        <v>-409777.36000000004</v>
      </c>
      <c r="AN388" s="905">
        <f>INDEX(G388:R388,1,MATCH(Parametres!$B$3,G$1:R$1,0))*IF(OR(F388="L",F388="S",F388="I"),-1,1)</f>
        <v>44131.040000000001</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360387.84000000003</v>
      </c>
      <c r="P390" s="706">
        <v>360387.84000000003</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994793.66</v>
      </c>
      <c r="AM390" s="905">
        <f t="shared" si="38"/>
        <v>-634405.82000000007</v>
      </c>
      <c r="AN390" s="905">
        <f>INDEX(G390:R390,1,MATCH(Parametres!$B$3,G$1:R$1,0))*IF(OR(F390="L",F390="S",F390="I"),-1,1)</f>
        <v>360387.84000000003</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4024.12</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68823.3</v>
      </c>
      <c r="P397" s="706">
        <v>-525</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147425.25</v>
      </c>
      <c r="AM397" s="905">
        <f t="shared" si="38"/>
        <v>-78601.95</v>
      </c>
      <c r="AN397" s="905">
        <f>INDEX(G397:R397,1,MATCH(Parametres!$B$3,G$1:R$1,0))*IF(OR(F397="L",F397="S",F397="I"),-1,1)</f>
        <v>68823.3</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-238048.88</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221873.37</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221873.37</v>
      </c>
      <c r="AM401" s="905">
        <f t="shared" si="38"/>
        <v>0</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49999.54</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760.09</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760.09</v>
      </c>
      <c r="AM404" s="905">
        <f t="shared" si="38"/>
        <v>0</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7247576.54</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759893.57</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575000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952468.87</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5.5799999999580905</v>
      </c>
      <c r="AN410" s="905">
        <f>INDEX(G410:R410,1,MATCH(Parametres!$B$3,G$1:R$1,0))*IF(OR(F410="L",F410="S",F410="I"),-1,1)</f>
        <v>952468.87</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2141282</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-714257.94</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-5633.78</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40241.25</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0</v>
      </c>
      <c r="AM420" s="905">
        <f t="shared" si="38"/>
        <v>0</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99560.18</v>
      </c>
      <c r="P424" s="706">
        <v>99560.18</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298160.40000000002</v>
      </c>
      <c r="AM424" s="905">
        <f t="shared" si="38"/>
        <v>-198600.22000000003</v>
      </c>
      <c r="AN424" s="905">
        <f>INDEX(G424:R424,1,MATCH(Parametres!$B$3,G$1:R$1,0))*IF(OR(F424="L",F424="S",F424="I"),-1,1)</f>
        <v>99560.18</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15807546.970000001</v>
      </c>
      <c r="P426" s="706">
        <v>21259345.710000001</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15936608.33</v>
      </c>
      <c r="AM426" s="905">
        <f t="shared" si="38"/>
        <v>-129061.3599999994</v>
      </c>
      <c r="AN426" s="905">
        <f>INDEX(G426:R426,1,MATCH(Parametres!$B$3,G$1:R$1,0))*IF(OR(F426="L",F426="S",F426="I"),-1,1)</f>
        <v>15807546.970000001</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213856.59</v>
      </c>
      <c r="P427" s="706">
        <v>247300.59</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242764.61</v>
      </c>
      <c r="AM427" s="905">
        <f t="shared" si="38"/>
        <v>-28908.01999999999</v>
      </c>
      <c r="AN427" s="905">
        <f>INDEX(G427:R427,1,MATCH(Parametres!$B$3,G$1:R$1,0))*IF(OR(F427="L",F427="S",F427="I"),-1,1)</f>
        <v>213856.59</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2229958.64</v>
      </c>
      <c r="P429" s="706">
        <v>2330637.96</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2484544.34</v>
      </c>
      <c r="AM429" s="905">
        <f t="shared" si="38"/>
        <v>-254585.69999999972</v>
      </c>
      <c r="AN429" s="905">
        <f>INDEX(G429:R429,1,MATCH(Parametres!$B$3,G$1:R$1,0))*IF(OR(F429="L",F429="S",F429="I"),-1,1)</f>
        <v>2229958.64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448666.94</v>
      </c>
      <c r="P430" s="706">
        <v>478557.49</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612927.80000000005</v>
      </c>
      <c r="AM430" s="905">
        <f t="shared" si="38"/>
        <v>-164260.86000000004</v>
      </c>
      <c r="AN430" s="905">
        <f>INDEX(G430:R430,1,MATCH(Parametres!$B$3,G$1:R$1,0))*IF(OR(F430="L",F430="S",F430="I"),-1,1)</f>
        <v>448666.94</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2545099.9900000002</v>
      </c>
      <c r="P431" s="706">
        <v>2487270.9</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3150620.23</v>
      </c>
      <c r="AM431" s="905">
        <f t="shared" si="38"/>
        <v>-605520.23999999976</v>
      </c>
      <c r="AN431" s="905">
        <f>INDEX(G431:R431,1,MATCH(Parametres!$B$3,G$1:R$1,0))*IF(OR(F431="L",F431="S",F431="I"),-1,1)</f>
        <v>2545099.9900000002</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800872.53</v>
      </c>
      <c r="P432" s="706">
        <v>800872.53</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14872.53</v>
      </c>
      <c r="AM432" s="905">
        <f t="shared" si="38"/>
        <v>786000</v>
      </c>
      <c r="AN432" s="905">
        <f>INDEX(G432:R432,1,MATCH(Parametres!$B$3,G$1:R$1,0))*IF(OR(F432="L",F432="S",F432="I"),-1,1)</f>
        <v>800872.53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559816.31999999995</v>
      </c>
      <c r="P434" s="706">
        <v>467749.32</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515573.48</v>
      </c>
      <c r="AM434" s="905">
        <f t="shared" si="38"/>
        <v>44242.839999999967</v>
      </c>
      <c r="AN434" s="905">
        <f>INDEX(G434:R434,1,MATCH(Parametres!$B$3,G$1:R$1,0))*IF(OR(F434="L",F434="S",F434="I"),-1,1)</f>
        <v>559816.31999999995</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74782.679999999993</v>
      </c>
      <c r="P435" s="706">
        <v>71974.05</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54011.1</v>
      </c>
      <c r="AM435" s="905">
        <f t="shared" si="38"/>
        <v>20771.579999999994</v>
      </c>
      <c r="AN435" s="905">
        <f>INDEX(G435:R435,1,MATCH(Parametres!$B$3,G$1:R$1,0))*IF(OR(F435="L",F435="S",F435="I"),-1,1)</f>
        <v>74782.679999999993</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20822.57</v>
      </c>
      <c r="P438" s="706">
        <v>20124.560000000001</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13667.62</v>
      </c>
      <c r="AM438" s="905">
        <f t="shared" si="38"/>
        <v>7154.9499999999989</v>
      </c>
      <c r="AN438" s="905">
        <f>INDEX(G438:R438,1,MATCH(Parametres!$B$3,G$1:R$1,0))*IF(OR(F438="L",F438="S",F438="I"),-1,1)</f>
        <v>20822.57</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1716.95</v>
      </c>
      <c r="P439" s="706">
        <v>887.89</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-5922.52</v>
      </c>
      <c r="AM439" s="905">
        <f t="shared" si="38"/>
        <v>7639.47</v>
      </c>
      <c r="AN439" s="905">
        <f>INDEX(G439:R439,1,MATCH(Parametres!$B$3,G$1:R$1,0))*IF(OR(F439="L",F439="S",F439="I"),-1,1)</f>
        <v>1716.95</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-31654.58</v>
      </c>
      <c r="P440" s="706">
        <v>-33103.26</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-22105.919999999998</v>
      </c>
      <c r="AM440" s="905">
        <f t="shared" si="38"/>
        <v>-9548.6600000000035</v>
      </c>
      <c r="AN440" s="905">
        <f>INDEX(G440:R440,1,MATCH(Parametres!$B$3,G$1:R$1,0))*IF(OR(F440="L",F440="S",F440="I"),-1,1)</f>
        <v>-31654.58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3435</v>
      </c>
      <c r="D441" s="706" t="s">
        <v>3436</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hidden="1"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2511.16</v>
      </c>
      <c r="P442" s="706">
        <v>5542.71</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721.24</v>
      </c>
      <c r="AM442" s="905">
        <f t="shared" si="38"/>
        <v>1789.9199999999998</v>
      </c>
      <c r="AN442" s="905">
        <f>INDEX(G442:R442,1,MATCH(Parametres!$B$3,G$1:R$1,0))*IF(OR(F442="L",F442="S",F442="I"),-1,1)</f>
        <v>2511.16</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1604.16</v>
      </c>
      <c r="P443" s="706">
        <v>1604.16</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1300.9000000000001</v>
      </c>
      <c r="AM443" s="905">
        <f t="shared" si="38"/>
        <v>303.26</v>
      </c>
      <c r="AN443" s="905">
        <f>INDEX(G443:R443,1,MATCH(Parametres!$B$3,G$1:R$1,0))*IF(OR(F443="L",F443="S",F443="I"),-1,1)</f>
        <v>1604.16</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340</v>
      </c>
      <c r="P444" s="706">
        <v>506.25</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510</v>
      </c>
      <c r="AM444" s="905">
        <f t="shared" si="38"/>
        <v>-170</v>
      </c>
      <c r="AN444" s="905">
        <f>INDEX(G444:R444,1,MATCH(Parametres!$B$3,G$1:R$1,0))*IF(OR(F444="L",F444="S",F444="I"),-1,1)</f>
        <v>340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32563.48</v>
      </c>
      <c r="P445" s="706">
        <v>30690.720000000001</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27387.17</v>
      </c>
      <c r="AM445" s="905">
        <f t="shared" si="38"/>
        <v>5176.3100000000013</v>
      </c>
      <c r="AN445" s="905">
        <f>INDEX(G445:R445,1,MATCH(Parametres!$B$3,G$1:R$1,0))*IF(OR(F445="L",F445="S",F445="I"),-1,1)</f>
        <v>32563.48</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-9718.07</v>
      </c>
      <c r="P447" s="706">
        <v>-17263.88</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14154.92</v>
      </c>
      <c r="AM447" s="905">
        <f t="shared" si="38"/>
        <v>-23872.989999999998</v>
      </c>
      <c r="AN447" s="905">
        <f>INDEX(G447:R447,1,MATCH(Parametres!$B$3,G$1:R$1,0))*IF(OR(F447="L",F447="S",F447="I"),-1,1)</f>
        <v>-9718.07</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6227.68</v>
      </c>
      <c r="P448" s="706">
        <v>5266.1</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316.14</v>
      </c>
      <c r="AM448" s="905">
        <f t="shared" si="38"/>
        <v>5911.54</v>
      </c>
      <c r="AN448" s="905">
        <f>INDEX(G448:R448,1,MATCH(Parametres!$B$3,G$1:R$1,0))*IF(OR(F448="L",F448="S",F448="I"),-1,1)</f>
        <v>6227.68</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-6053.7</v>
      </c>
      <c r="P449" s="706">
        <v>-7715.87</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7330.93</v>
      </c>
      <c r="AM449" s="905">
        <f t="shared" si="38"/>
        <v>-13384.630000000001</v>
      </c>
      <c r="AN449" s="905">
        <f>INDEX(G449:R449,1,MATCH(Parametres!$B$3,G$1:R$1,0))*IF(OR(F449="L",F449="S",F449="I"),-1,1)</f>
        <v>-6053.7</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-9902.49</v>
      </c>
      <c r="P450" s="706">
        <v>-14026.78</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477.05</v>
      </c>
      <c r="AM450" s="905">
        <f t="shared" si="38"/>
        <v>-10379.539999999999</v>
      </c>
      <c r="AN450" s="905">
        <f>INDEX(G450:R450,1,MATCH(Parametres!$B$3,G$1:R$1,0))*IF(OR(F450="L",F450="S",F450="I"),-1,1)</f>
        <v>-9902.49</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419500</v>
      </c>
      <c r="P451" s="706">
        <v>378000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397000</v>
      </c>
      <c r="AM451" s="905">
        <f t="shared" si="38"/>
        <v>22500</v>
      </c>
      <c r="AN451" s="905">
        <f>INDEX(G451:R451,1,MATCH(Parametres!$B$3,G$1:R$1,0))*IF(OR(F451="L",F451="S",F451="I"),-1,1)</f>
        <v>419500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hidden="1"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hidden="1"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124974.69</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-18871.38</v>
      </c>
      <c r="P455" s="706">
        <v>-17674.96</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-13144.21</v>
      </c>
      <c r="AM455" s="905">
        <f t="shared" si="44"/>
        <v>-5727.1700000000019</v>
      </c>
      <c r="AN455" s="905">
        <f>INDEX(G455:R455,1,MATCH(Parametres!$B$3,G$1:R$1,0))*IF(OR(F455="L",F455="S",F455="I"),-1,1)</f>
        <v>-18871.38</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95815.35</v>
      </c>
      <c r="P456" s="706">
        <v>62595.64</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120284.47</v>
      </c>
      <c r="AM456" s="905">
        <f t="shared" si="44"/>
        <v>-24469.119999999995</v>
      </c>
      <c r="AN456" s="905">
        <f>INDEX(G456:R456,1,MATCH(Parametres!$B$3,G$1:R$1,0))*IF(OR(F456="L",F456="S",F456="I"),-1,1)</f>
        <v>95815.35</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134843.82</v>
      </c>
      <c r="P457" s="706">
        <v>137359.89000000001</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138480.95000000001</v>
      </c>
      <c r="AM457" s="905">
        <f t="shared" si="44"/>
        <v>-3637.1300000000047</v>
      </c>
      <c r="AN457" s="905">
        <f>INDEX(G457:R457,1,MATCH(Parametres!$B$3,G$1:R$1,0))*IF(OR(F457="L",F457="S",F457="I"),-1,1)</f>
        <v>134843.82</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3550</v>
      </c>
      <c r="D458" s="706" t="s">
        <v>3551</v>
      </c>
      <c r="E458" s="706" t="s">
        <v>1139</v>
      </c>
      <c r="F458" s="706" t="s">
        <v>1136</v>
      </c>
      <c r="G458" s="706">
        <v>0</v>
      </c>
      <c r="H458" s="706">
        <v>0</v>
      </c>
      <c r="I458" s="706">
        <v>0</v>
      </c>
      <c r="J458" s="706">
        <v>0</v>
      </c>
      <c r="K458" s="706">
        <v>0</v>
      </c>
      <c r="L458" s="706">
        <v>0</v>
      </c>
      <c r="M458" s="706">
        <v>0</v>
      </c>
      <c r="N458" s="706">
        <v>0</v>
      </c>
      <c r="O458" s="706">
        <v>2300</v>
      </c>
      <c r="P458" s="706">
        <v>2300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G26105</v>
      </c>
      <c r="AK458" s="905" t="str">
        <f t="shared" si="43"/>
        <v>RECTIFICATION A VENIR</v>
      </c>
      <c r="AL458" s="905">
        <f>IFERROR(INDEX(G458:R458,1,MATCH(Parametres!$B$3,G$1:R$1,0)-1)*IF(OR(F458="L",F458="S",F458="I"),-1,1),"")</f>
        <v>0</v>
      </c>
      <c r="AM458" s="905">
        <f t="shared" si="44"/>
        <v>2300</v>
      </c>
      <c r="AN458" s="905">
        <f>INDEX(G458:R458,1,MATCH(Parametres!$B$3,G$1:R$1,0))*IF(OR(F458="L",F458="S",F458="I"),-1,1)</f>
        <v>2300</v>
      </c>
      <c r="AO458" s="487" t="str">
        <f>+VLOOKUP($AJ458,Data_Validation!$A:$D,1,0)</f>
        <v>G26105</v>
      </c>
      <c r="AP458" s="487" t="str">
        <f>+VLOOKUP($AJ458,Data_Validation!$A:$D,3,0)</f>
        <v>Bilan</v>
      </c>
      <c r="AQ458" s="487" t="str">
        <f>+VLOOKUP($AJ458,Data_Validation!$A:$D,4,0)</f>
        <v>Frais Payés d'Avance</v>
      </c>
      <c r="AR458" s="487" t="s">
        <v>299</v>
      </c>
      <c r="AS458" s="487">
        <f>+VLOOKUP($AJ458,Data_Validation!$A:$E,5,0)</f>
        <v>0</v>
      </c>
      <c r="AT458" s="904" t="str">
        <f t="shared" si="45"/>
        <v>G26105</v>
      </c>
      <c r="AU458" s="488" t="str">
        <f t="shared" si="46"/>
        <v>RECTIFICATION A VENIR</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1979</v>
      </c>
      <c r="D459" s="706" t="s">
        <v>1980</v>
      </c>
      <c r="E459" s="706" t="s">
        <v>333</v>
      </c>
      <c r="F459" s="706" t="s">
        <v>1136</v>
      </c>
      <c r="G459" s="706">
        <v>15471.14</v>
      </c>
      <c r="H459" s="706">
        <v>12865.94</v>
      </c>
      <c r="I459" s="706">
        <v>9569.19</v>
      </c>
      <c r="J459" s="706">
        <v>6234.69</v>
      </c>
      <c r="K459" s="706">
        <v>3129.69</v>
      </c>
      <c r="L459" s="706">
        <v>213.69</v>
      </c>
      <c r="M459" s="706">
        <v>-2756.31</v>
      </c>
      <c r="N459" s="706">
        <v>11209.44</v>
      </c>
      <c r="O459" s="706">
        <v>8401.44</v>
      </c>
      <c r="P459" s="706">
        <v>7962.69</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G26155</v>
      </c>
      <c r="AK459" s="905" t="str">
        <f t="shared" si="43"/>
        <v>VIGNETTES AUTO / CAMIONS</v>
      </c>
      <c r="AL459" s="905">
        <f>IFERROR(INDEX(G459:R459,1,MATCH(Parametres!$B$3,G$1:R$1,0)-1)*IF(OR(F459="L",F459="S",F459="I"),-1,1),"")</f>
        <v>11209.44</v>
      </c>
      <c r="AM459" s="905">
        <f t="shared" si="44"/>
        <v>-2808</v>
      </c>
      <c r="AN459" s="905">
        <f>INDEX(G459:R459,1,MATCH(Parametres!$B$3,G$1:R$1,0))*IF(OR(F459="L",F459="S",F459="I"),-1,1)</f>
        <v>8401.44</v>
      </c>
      <c r="AO459" s="487" t="str">
        <f>+VLOOKUP($AJ459,Data_Validation!$A:$D,1,0)</f>
        <v>G26155</v>
      </c>
      <c r="AP459" s="487" t="str">
        <f>+VLOOKUP($AJ459,Data_Validation!$A:$D,3,0)</f>
        <v>Bilan</v>
      </c>
      <c r="AQ459" s="487" t="str">
        <f>+VLOOKUP($AJ459,Data_Validation!$A:$D,4,0)</f>
        <v>Frais Payés d'Avance</v>
      </c>
      <c r="AR459" s="487" t="s">
        <v>299</v>
      </c>
      <c r="AS459" s="487">
        <f>+VLOOKUP($AJ459,Data_Validation!$A:$E,5,0)</f>
        <v>0</v>
      </c>
      <c r="AT459" s="904" t="str">
        <f t="shared" si="45"/>
        <v>G26155</v>
      </c>
      <c r="AU459" s="488" t="str">
        <f t="shared" si="46"/>
        <v>VIGNETTES AUTO / CAMIONS</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hidden="1" customHeight="1">
      <c r="A460" s="706" t="s">
        <v>1148</v>
      </c>
      <c r="B460" s="706">
        <v>2026</v>
      </c>
      <c r="C460" s="706" t="s">
        <v>1981</v>
      </c>
      <c r="D460" s="706" t="s">
        <v>1982</v>
      </c>
      <c r="E460" s="706" t="s">
        <v>1135</v>
      </c>
      <c r="F460" s="706" t="s">
        <v>1136</v>
      </c>
      <c r="G460" s="706">
        <v>32.19</v>
      </c>
      <c r="H460" s="706">
        <v>22215.22</v>
      </c>
      <c r="I460" s="706">
        <v>25872.63</v>
      </c>
      <c r="J460" s="706">
        <v>9272.42</v>
      </c>
      <c r="K460" s="706">
        <v>-16776.28</v>
      </c>
      <c r="L460" s="706">
        <v>17695.38</v>
      </c>
      <c r="M460" s="706">
        <v>-2517.75</v>
      </c>
      <c r="N460" s="706">
        <v>51423.38</v>
      </c>
      <c r="O460" s="706">
        <v>522.34</v>
      </c>
      <c r="P460" s="706">
        <v>-957.98</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G26300</v>
      </c>
      <c r="AK460" s="905" t="str">
        <f t="shared" si="43"/>
        <v>RECLAMATION EN GARANTIE</v>
      </c>
      <c r="AL460" s="905">
        <f>IFERROR(INDEX(G460:R460,1,MATCH(Parametres!$B$3,G$1:R$1,0)-1)*IF(OR(F460="L",F460="S",F460="I"),-1,1),"")</f>
        <v>51423.38</v>
      </c>
      <c r="AM460" s="905">
        <f t="shared" si="44"/>
        <v>-50901.04</v>
      </c>
      <c r="AN460" s="905">
        <f>INDEX(G460:R460,1,MATCH(Parametres!$B$3,G$1:R$1,0))*IF(OR(F460="L",F460="S",F460="I"),-1,1)</f>
        <v>522.34</v>
      </c>
      <c r="AO460" s="487" t="str">
        <f>+VLOOKUP($AJ460,Data_Validation!$A:$D,1,0)</f>
        <v>G26300</v>
      </c>
      <c r="AP460" s="487" t="str">
        <f>+VLOOKUP($AJ460,Data_Validation!$A:$D,3,0)</f>
        <v>Bilan</v>
      </c>
      <c r="AQ460" s="487" t="str">
        <f>+VLOOKUP($AJ460,Data_Validation!$A:$D,4,0)</f>
        <v>Recevables Garantie Manufacturier</v>
      </c>
      <c r="AR460" s="487" t="s">
        <v>299</v>
      </c>
      <c r="AS460" s="487">
        <f>+VLOOKUP($AJ460,Data_Validation!$A:$E,5,0)</f>
        <v>0</v>
      </c>
      <c r="AT460" s="904" t="str">
        <f t="shared" si="45"/>
        <v>G26300</v>
      </c>
      <c r="AU460" s="488" t="str">
        <f t="shared" si="46"/>
        <v>RECLAMATION EN GARANTIE</v>
      </c>
      <c r="AV460" s="899">
        <f>IFERROR(INDEX(V460:AG460,1,MATCH(Parametres!$B$3,V$1:AG$1,0)-1)*IF(OR(C460="L",C460="S",C460="I"),-1,1),"")</f>
        <v>0</v>
      </c>
      <c r="AW460" s="899">
        <f t="shared" si="47"/>
        <v>0</v>
      </c>
      <c r="AX460" s="899">
        <f>INDEX(V460:AG460,1,MATCH(Parametres!$B$3,V$1:AG$1,0))*IF(OR(C460="L",C460="S",C460="I"),-1,1)</f>
        <v>0</v>
      </c>
      <c r="AY460" s="487" t="s">
        <v>337</v>
      </c>
      <c r="AZ460" s="487">
        <f>+VLOOKUP($AJ460,Data_Validation!$A:$E,5,0)</f>
        <v>0</v>
      </c>
    </row>
    <row r="461" spans="1:52" ht="15" hidden="1" customHeight="1">
      <c r="A461" s="706" t="s">
        <v>1148</v>
      </c>
      <c r="B461" s="706">
        <v>2026</v>
      </c>
      <c r="C461" s="706" t="s">
        <v>1983</v>
      </c>
      <c r="D461" s="706" t="s">
        <v>1984</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G26302</v>
      </c>
      <c r="AK461" s="905" t="str">
        <f t="shared" si="43"/>
        <v>RECLAMATIONS P.P.C.</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G26302</v>
      </c>
      <c r="AU461" s="488" t="str">
        <f t="shared" si="46"/>
        <v>RECLAMATIONS P.P.C.</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1985</v>
      </c>
      <c r="D462" s="706" t="s">
        <v>1986</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G26303</v>
      </c>
      <c r="AK462" s="905" t="str">
        <f t="shared" si="43"/>
        <v>DEDUCTIBLE CLAIMS</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G26303</v>
      </c>
      <c r="AU462" s="488" t="str">
        <f t="shared" si="46"/>
        <v>DEDUCTIBLE CLAIMS</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hidden="1" customHeight="1">
      <c r="A463" s="706" t="s">
        <v>1148</v>
      </c>
      <c r="B463" s="706">
        <v>2026</v>
      </c>
      <c r="C463" s="706" t="s">
        <v>1987</v>
      </c>
      <c r="D463" s="706" t="s">
        <v>1988</v>
      </c>
      <c r="E463" s="706" t="s">
        <v>1135</v>
      </c>
      <c r="F463" s="706" t="s">
        <v>1136</v>
      </c>
      <c r="G463" s="706">
        <v>0</v>
      </c>
      <c r="H463" s="706">
        <v>0</v>
      </c>
      <c r="I463" s="706">
        <v>0</v>
      </c>
      <c r="J463" s="706">
        <v>0</v>
      </c>
      <c r="K463" s="706">
        <v>0</v>
      </c>
      <c r="L463" s="706">
        <v>0</v>
      </c>
      <c r="M463" s="706">
        <v>0</v>
      </c>
      <c r="N463" s="706">
        <v>0</v>
      </c>
      <c r="O463" s="706">
        <v>0</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G26310</v>
      </c>
      <c r="AK463" s="905" t="str">
        <f t="shared" si="43"/>
        <v>TRANSPORT-TELECON</v>
      </c>
      <c r="AL463" s="905">
        <f>IFERROR(INDEX(G463:R463,1,MATCH(Parametres!$B$3,G$1:R$1,0)-1)*IF(OR(F463="L",F463="S",F463="I"),-1,1),"")</f>
        <v>0</v>
      </c>
      <c r="AM463" s="905">
        <f t="shared" si="44"/>
        <v>0</v>
      </c>
      <c r="AN463" s="905">
        <f>INDEX(G463:R463,1,MATCH(Parametres!$B$3,G$1:R$1,0))*IF(OR(F463="L",F463="S",F463="I"),-1,1)</f>
        <v>0</v>
      </c>
      <c r="AO463" s="487" t="e">
        <f>+VLOOKUP($AJ463,Data_Validation!$A:$D,1,0)</f>
        <v>#N/A</v>
      </c>
      <c r="AP463" s="487" t="e">
        <f>+VLOOKUP($AJ463,Data_Validation!$A:$D,3,0)</f>
        <v>#N/A</v>
      </c>
      <c r="AQ463" s="487" t="e">
        <f>+VLOOKUP($AJ463,Data_Validation!$A:$D,4,0)</f>
        <v>#N/A</v>
      </c>
      <c r="AR463" s="487" t="s">
        <v>299</v>
      </c>
      <c r="AS463" s="487" t="e">
        <f>+VLOOKUP($AJ463,Data_Validation!$A:$E,5,0)</f>
        <v>#N/A</v>
      </c>
      <c r="AT463" s="904" t="str">
        <f t="shared" si="45"/>
        <v>G26310</v>
      </c>
      <c r="AU463" s="488" t="str">
        <f t="shared" si="46"/>
        <v>TRANSPORT-TELECON</v>
      </c>
      <c r="AV463" s="899">
        <f>IFERROR(INDEX(V463:AG463,1,MATCH(Parametres!$B$3,V$1:AG$1,0)-1)*IF(OR(C463="L",C463="S",C463="I"),-1,1),"")</f>
        <v>0</v>
      </c>
      <c r="AW463" s="899">
        <f t="shared" si="47"/>
        <v>0</v>
      </c>
      <c r="AX463" s="899">
        <f>INDEX(V463:AG463,1,MATCH(Parametres!$B$3,V$1:AG$1,0))*IF(OR(C463="L",C463="S",C463="I"),-1,1)</f>
        <v>0</v>
      </c>
      <c r="AY463" s="487" t="s">
        <v>337</v>
      </c>
      <c r="AZ463" s="487" t="e">
        <f>+VLOOKUP($AJ463,Data_Validation!$A:$E,5,0)</f>
        <v>#N/A</v>
      </c>
    </row>
    <row r="464" spans="1:52" ht="15" hidden="1" customHeight="1">
      <c r="A464" s="706" t="s">
        <v>1148</v>
      </c>
      <c r="B464" s="706">
        <v>2026</v>
      </c>
      <c r="C464" s="706" t="s">
        <v>1989</v>
      </c>
      <c r="D464" s="706" t="s">
        <v>1990</v>
      </c>
      <c r="E464" s="706" t="s">
        <v>333</v>
      </c>
      <c r="F464" s="706" t="s">
        <v>1136</v>
      </c>
      <c r="G464" s="706">
        <v>2387030.44</v>
      </c>
      <c r="H464" s="706">
        <v>2383593.9700000002</v>
      </c>
      <c r="I464" s="706">
        <v>621662.51</v>
      </c>
      <c r="J464" s="706">
        <v>1147588.6599999999</v>
      </c>
      <c r="K464" s="706">
        <v>1872312.81</v>
      </c>
      <c r="L464" s="706">
        <v>856501.22</v>
      </c>
      <c r="M464" s="706">
        <v>856501.22</v>
      </c>
      <c r="N464" s="706">
        <v>803801.16</v>
      </c>
      <c r="O464" s="706">
        <v>724724.15</v>
      </c>
      <c r="P464" s="706">
        <v>724724.15</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G26500</v>
      </c>
      <c r="AK464" s="905" t="str">
        <f t="shared" si="43"/>
        <v>TPS TVH TVQ À RECEVOIR</v>
      </c>
      <c r="AL464" s="905">
        <f>IFERROR(INDEX(G464:R464,1,MATCH(Parametres!$B$3,G$1:R$1,0)-1)*IF(OR(F464="L",F464="S",F464="I"),-1,1),"")</f>
        <v>803801.16</v>
      </c>
      <c r="AM464" s="905">
        <f t="shared" si="44"/>
        <v>-79077.010000000009</v>
      </c>
      <c r="AN464" s="905">
        <f>INDEX(G464:R464,1,MATCH(Parametres!$B$3,G$1:R$1,0))*IF(OR(F464="L",F464="S",F464="I"),-1,1)</f>
        <v>724724.15</v>
      </c>
      <c r="AO464" s="487" t="str">
        <f>+VLOOKUP($AJ464,Data_Validation!$A:$D,1,0)</f>
        <v>G26500</v>
      </c>
      <c r="AP464" s="487" t="str">
        <f>+VLOOKUP($AJ464,Data_Validation!$A:$D,3,0)</f>
        <v>Bilan</v>
      </c>
      <c r="AQ464" s="487" t="str">
        <f>+VLOOKUP($AJ464,Data_Validation!$A:$D,4,0)</f>
        <v>Recevables Autres</v>
      </c>
      <c r="AR464" s="487" t="s">
        <v>299</v>
      </c>
      <c r="AS464" s="487">
        <f>+VLOOKUP($AJ464,Data_Validation!$A:$E,5,0)</f>
        <v>0</v>
      </c>
      <c r="AT464" s="904" t="str">
        <f t="shared" si="45"/>
        <v>G26500</v>
      </c>
      <c r="AU464" s="488" t="str">
        <f t="shared" si="46"/>
        <v>TPS TVH TVQ À RECEVOIR</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1991</v>
      </c>
      <c r="D465" s="706" t="s">
        <v>1992</v>
      </c>
      <c r="E465" s="706" t="s">
        <v>333</v>
      </c>
      <c r="F465" s="706" t="s">
        <v>1136</v>
      </c>
      <c r="G465" s="706">
        <v>-12300</v>
      </c>
      <c r="H465" s="706">
        <v>68962.92</v>
      </c>
      <c r="I465" s="706">
        <v>61612.92</v>
      </c>
      <c r="J465" s="706">
        <v>-15909.27</v>
      </c>
      <c r="K465" s="706">
        <v>-23259.27</v>
      </c>
      <c r="L465" s="706">
        <v>-7218.54</v>
      </c>
      <c r="M465" s="706">
        <v>-8751.59</v>
      </c>
      <c r="N465" s="706">
        <v>7585.25</v>
      </c>
      <c r="O465" s="706">
        <v>23922.09</v>
      </c>
      <c r="P465" s="706">
        <v>23922.09</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G27000</v>
      </c>
      <c r="AK465" s="905" t="str">
        <f t="shared" si="43"/>
        <v>TAXES PAYEES D'AVANCE</v>
      </c>
      <c r="AL465" s="905">
        <f>IFERROR(INDEX(G465:R465,1,MATCH(Parametres!$B$3,G$1:R$1,0)-1)*IF(OR(F465="L",F465="S",F465="I"),-1,1),"")</f>
        <v>7585.25</v>
      </c>
      <c r="AM465" s="905">
        <f t="shared" si="44"/>
        <v>16336.84</v>
      </c>
      <c r="AN465" s="905">
        <f>INDEX(G465:R465,1,MATCH(Parametres!$B$3,G$1:R$1,0))*IF(OR(F465="L",F465="S",F465="I"),-1,1)</f>
        <v>23922.09</v>
      </c>
      <c r="AO465" s="487" t="str">
        <f>+VLOOKUP($AJ465,Data_Validation!$A:$D,1,0)</f>
        <v>G27000</v>
      </c>
      <c r="AP465" s="487" t="str">
        <f>+VLOOKUP($AJ465,Data_Validation!$A:$D,3,0)</f>
        <v>Bilan</v>
      </c>
      <c r="AQ465" s="487" t="str">
        <f>+VLOOKUP($AJ465,Data_Validation!$A:$D,4,0)</f>
        <v>Frais Payés d'Avance</v>
      </c>
      <c r="AR465" s="487" t="s">
        <v>299</v>
      </c>
      <c r="AS465" s="487">
        <f>+VLOOKUP($AJ465,Data_Validation!$A:$E,5,0)</f>
        <v>0</v>
      </c>
      <c r="AT465" s="904" t="str">
        <f t="shared" si="45"/>
        <v>G27000</v>
      </c>
      <c r="AU465" s="488" t="str">
        <f t="shared" si="46"/>
        <v>TAXES PAYEES D'AVANCE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1993</v>
      </c>
      <c r="D466" s="706" t="s">
        <v>1994</v>
      </c>
      <c r="E466" s="706" t="s">
        <v>333</v>
      </c>
      <c r="F466" s="706" t="s">
        <v>1136</v>
      </c>
      <c r="G466" s="706">
        <v>0</v>
      </c>
      <c r="H466" s="706">
        <v>0</v>
      </c>
      <c r="I466" s="706">
        <v>0</v>
      </c>
      <c r="J466" s="706">
        <v>-4727.6099999999997</v>
      </c>
      <c r="K466" s="706">
        <v>33093.25</v>
      </c>
      <c r="L466" s="706">
        <v>28365.64</v>
      </c>
      <c r="M466" s="706">
        <v>23638.03</v>
      </c>
      <c r="N466" s="706">
        <v>18910.419999999998</v>
      </c>
      <c r="O466" s="706">
        <v>14182.81</v>
      </c>
      <c r="P466" s="706">
        <v>14182.81</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G27010</v>
      </c>
      <c r="AK466" s="905" t="str">
        <f t="shared" si="43"/>
        <v>FPA TAXES TERRAIN</v>
      </c>
      <c r="AL466" s="905">
        <f>IFERROR(INDEX(G466:R466,1,MATCH(Parametres!$B$3,G$1:R$1,0)-1)*IF(OR(F466="L",F466="S",F466="I"),-1,1),"")</f>
        <v>18910.419999999998</v>
      </c>
      <c r="AM466" s="905">
        <f t="shared" si="44"/>
        <v>-4727.6099999999988</v>
      </c>
      <c r="AN466" s="905">
        <f>INDEX(G466:R466,1,MATCH(Parametres!$B$3,G$1:R$1,0))*IF(OR(F466="L",F466="S",F466="I"),-1,1)</f>
        <v>14182.81</v>
      </c>
      <c r="AO466" s="487" t="str">
        <f>+VLOOKUP($AJ466,Data_Validation!$A:$D,1,0)</f>
        <v>G27010</v>
      </c>
      <c r="AP466" s="487" t="str">
        <f>+VLOOKUP($AJ466,Data_Validation!$A:$D,3,0)</f>
        <v>Bilan</v>
      </c>
      <c r="AQ466" s="487" t="str">
        <f>+VLOOKUP($AJ466,Data_Validation!$A:$D,4,0)</f>
        <v>Frais Payés d'Avance</v>
      </c>
      <c r="AR466" s="487" t="s">
        <v>299</v>
      </c>
      <c r="AS466" s="487">
        <f>+VLOOKUP($AJ466,Data_Validation!$A:$E,5,0)</f>
        <v>0</v>
      </c>
      <c r="AT466" s="904" t="str">
        <f t="shared" si="45"/>
        <v>G27010</v>
      </c>
      <c r="AU466" s="488" t="str">
        <f t="shared" si="46"/>
        <v>FPA TAXES TERRAIN</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1995</v>
      </c>
      <c r="D467" s="706" t="s">
        <v>1996</v>
      </c>
      <c r="E467" s="706" t="s">
        <v>333</v>
      </c>
      <c r="F467" s="706" t="s">
        <v>1136</v>
      </c>
      <c r="G467" s="706">
        <v>73932.25</v>
      </c>
      <c r="H467" s="706">
        <v>67211.13</v>
      </c>
      <c r="I467" s="706">
        <v>60490.01</v>
      </c>
      <c r="J467" s="706">
        <v>53768.89</v>
      </c>
      <c r="K467" s="706">
        <v>47047.77</v>
      </c>
      <c r="L467" s="706">
        <v>40326.65</v>
      </c>
      <c r="M467" s="706">
        <v>32485.34</v>
      </c>
      <c r="N467" s="706">
        <v>24644.05</v>
      </c>
      <c r="O467" s="706">
        <v>16802.759999999998</v>
      </c>
      <c r="P467" s="706">
        <v>16802.759999999998</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G27100</v>
      </c>
      <c r="AK467" s="905" t="str">
        <f t="shared" ref="AK467:AK530" si="49">D467</f>
        <v>ASSURANCES PAYEES AVANCE</v>
      </c>
      <c r="AL467" s="905">
        <f>IFERROR(INDEX(G467:R467,1,MATCH(Parametres!$B$3,G$1:R$1,0)-1)*IF(OR(F467="L",F467="S",F467="I"),-1,1),"")</f>
        <v>24644.05</v>
      </c>
      <c r="AM467" s="905">
        <f t="shared" si="44"/>
        <v>-7841.2900000000009</v>
      </c>
      <c r="AN467" s="905">
        <f>INDEX(G467:R467,1,MATCH(Parametres!$B$3,G$1:R$1,0))*IF(OR(F467="L",F467="S",F467="I"),-1,1)</f>
        <v>16802.759999999998</v>
      </c>
      <c r="AO467" s="487" t="str">
        <f>+VLOOKUP($AJ467,Data_Validation!$A:$D,1,0)</f>
        <v>G27100</v>
      </c>
      <c r="AP467" s="487" t="str">
        <f>+VLOOKUP($AJ467,Data_Validation!$A:$D,3,0)</f>
        <v>Bilan</v>
      </c>
      <c r="AQ467" s="487" t="str">
        <f>+VLOOKUP($AJ467,Data_Validation!$A:$D,4,0)</f>
        <v>Frais Payés d'Avance</v>
      </c>
      <c r="AR467" s="487" t="s">
        <v>299</v>
      </c>
      <c r="AS467" s="487">
        <f>+VLOOKUP($AJ467,Data_Validation!$A:$E,5,0)</f>
        <v>0</v>
      </c>
      <c r="AT467" s="904" t="str">
        <f t="shared" si="45"/>
        <v>G27100</v>
      </c>
      <c r="AU467" s="488" t="str">
        <f t="shared" si="46"/>
        <v>ASSURANCES PAYEES AVANCE</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hidden="1" customHeight="1">
      <c r="A468" s="706" t="s">
        <v>1148</v>
      </c>
      <c r="B468" s="706">
        <v>2026</v>
      </c>
      <c r="C468" s="706" t="s">
        <v>1997</v>
      </c>
      <c r="D468" s="706" t="s">
        <v>1998</v>
      </c>
      <c r="E468" s="706" t="s">
        <v>333</v>
      </c>
      <c r="F468" s="706" t="s">
        <v>1136</v>
      </c>
      <c r="G468" s="706">
        <v>412825.86</v>
      </c>
      <c r="H468" s="706">
        <v>435676.05</v>
      </c>
      <c r="I468" s="706">
        <v>411403.29</v>
      </c>
      <c r="J468" s="706">
        <v>324485.84999999998</v>
      </c>
      <c r="K468" s="706">
        <v>301673.56</v>
      </c>
      <c r="L468" s="706">
        <v>299000.81</v>
      </c>
      <c r="M468" s="706">
        <v>279422.89</v>
      </c>
      <c r="N468" s="706">
        <v>190615.76</v>
      </c>
      <c r="O468" s="706">
        <v>212526.85</v>
      </c>
      <c r="P468" s="706">
        <v>221792.6</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G27400</v>
      </c>
      <c r="AK468" s="905" t="str">
        <f t="shared" si="49"/>
        <v>FRAIS PAYES AVANCE AUTRES</v>
      </c>
      <c r="AL468" s="905">
        <f>IFERROR(INDEX(G468:R468,1,MATCH(Parametres!$B$3,G$1:R$1,0)-1)*IF(OR(F468="L",F468="S",F468="I"),-1,1),"")</f>
        <v>190615.76</v>
      </c>
      <c r="AM468" s="905">
        <f t="shared" si="44"/>
        <v>21911.089999999997</v>
      </c>
      <c r="AN468" s="905">
        <f>INDEX(G468:R468,1,MATCH(Parametres!$B$3,G$1:R$1,0))*IF(OR(F468="L",F468="S",F468="I"),-1,1)</f>
        <v>212526.85</v>
      </c>
      <c r="AO468" s="487" t="str">
        <f>+VLOOKUP($AJ468,Data_Validation!$A:$D,1,0)</f>
        <v>G27400</v>
      </c>
      <c r="AP468" s="487" t="str">
        <f>+VLOOKUP($AJ468,Data_Validation!$A:$D,3,0)</f>
        <v>Bilan</v>
      </c>
      <c r="AQ468" s="487" t="str">
        <f>+VLOOKUP($AJ468,Data_Validation!$A:$D,4,0)</f>
        <v>Frais Payés d'Avance</v>
      </c>
      <c r="AR468" s="487" t="s">
        <v>299</v>
      </c>
      <c r="AS468" s="487">
        <f>+VLOOKUP($AJ468,Data_Validation!$A:$E,5,0)</f>
        <v>0</v>
      </c>
      <c r="AT468" s="904" t="str">
        <f t="shared" si="45"/>
        <v>G27400</v>
      </c>
      <c r="AU468" s="488" t="str">
        <f t="shared" si="46"/>
        <v>FRAIS PAYES AVANCE AUTRES</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hidden="1" customHeight="1">
      <c r="A469" s="706" t="s">
        <v>1148</v>
      </c>
      <c r="B469" s="706">
        <v>2026</v>
      </c>
      <c r="C469" s="706" t="s">
        <v>1999</v>
      </c>
      <c r="D469" s="706" t="s">
        <v>2000</v>
      </c>
      <c r="E469" s="706" t="s">
        <v>1142</v>
      </c>
      <c r="F469" s="706" t="s">
        <v>1136</v>
      </c>
      <c r="G469" s="706">
        <v>0</v>
      </c>
      <c r="H469" s="706">
        <v>0</v>
      </c>
      <c r="I469" s="706">
        <v>0</v>
      </c>
      <c r="J469" s="706">
        <v>0</v>
      </c>
      <c r="K469" s="706">
        <v>0</v>
      </c>
      <c r="L469" s="706">
        <v>0</v>
      </c>
      <c r="M469" s="706">
        <v>0</v>
      </c>
      <c r="N469" s="706">
        <v>0</v>
      </c>
      <c r="O469" s="706">
        <v>0</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G27401</v>
      </c>
      <c r="AK469" s="905" t="str">
        <f t="shared" si="49"/>
        <v>DEPOT PAYÉ D'AVANCE</v>
      </c>
      <c r="AL469" s="905">
        <f>IFERROR(INDEX(G469:R469,1,MATCH(Parametres!$B$3,G$1:R$1,0)-1)*IF(OR(F469="L",F469="S",F469="I"),-1,1),"")</f>
        <v>0</v>
      </c>
      <c r="AM469" s="905">
        <f t="shared" si="44"/>
        <v>0</v>
      </c>
      <c r="AN469" s="905">
        <f>INDEX(G469:R469,1,MATCH(Parametres!$B$3,G$1:R$1,0))*IF(OR(F469="L",F469="S",F469="I"),-1,1)</f>
        <v>0</v>
      </c>
      <c r="AO469" s="487" t="e">
        <f>+VLOOKUP($AJ469,Data_Validation!$A:$D,1,0)</f>
        <v>#N/A</v>
      </c>
      <c r="AP469" s="487" t="e">
        <f>+VLOOKUP($AJ469,Data_Validation!$A:$D,3,0)</f>
        <v>#N/A</v>
      </c>
      <c r="AQ469" s="487" t="e">
        <f>+VLOOKUP($AJ469,Data_Validation!$A:$D,4,0)</f>
        <v>#N/A</v>
      </c>
      <c r="AR469" s="487" t="s">
        <v>299</v>
      </c>
      <c r="AS469" s="487" t="e">
        <f>+VLOOKUP($AJ469,Data_Validation!$A:$E,5,0)</f>
        <v>#N/A</v>
      </c>
      <c r="AT469" s="904" t="str">
        <f t="shared" si="45"/>
        <v>G27401</v>
      </c>
      <c r="AU469" s="488" t="str">
        <f t="shared" si="46"/>
        <v>DEPOT PAYÉ D'AVANCE</v>
      </c>
      <c r="AV469" s="899">
        <f>IFERROR(INDEX(V469:AG469,1,MATCH(Parametres!$B$3,V$1:AG$1,0)-1)*IF(OR(C469="L",C469="S",C469="I"),-1,1),"")</f>
        <v>0</v>
      </c>
      <c r="AW469" s="899">
        <f t="shared" si="47"/>
        <v>0</v>
      </c>
      <c r="AX469" s="899">
        <f>INDEX(V469:AG469,1,MATCH(Parametres!$B$3,V$1:AG$1,0))*IF(OR(C469="L",C469="S",C469="I"),-1,1)</f>
        <v>0</v>
      </c>
      <c r="AY469" s="487" t="s">
        <v>337</v>
      </c>
      <c r="AZ469" s="487" t="e">
        <f>+VLOOKUP($AJ469,Data_Validation!$A:$E,5,0)</f>
        <v>#N/A</v>
      </c>
    </row>
    <row r="470" spans="1:52" ht="15" hidden="1" customHeight="1">
      <c r="A470" s="706" t="s">
        <v>1148</v>
      </c>
      <c r="B470" s="706">
        <v>2026</v>
      </c>
      <c r="C470" s="706" t="s">
        <v>2001</v>
      </c>
      <c r="D470" s="706" t="s">
        <v>2002</v>
      </c>
      <c r="E470" s="706" t="s">
        <v>333</v>
      </c>
      <c r="F470" s="706" t="s">
        <v>1136</v>
      </c>
      <c r="G470" s="706">
        <v>0</v>
      </c>
      <c r="H470" s="706">
        <v>0</v>
      </c>
      <c r="I470" s="706">
        <v>0</v>
      </c>
      <c r="J470" s="706">
        <v>0</v>
      </c>
      <c r="K470" s="706">
        <v>-2657.94</v>
      </c>
      <c r="L470" s="706">
        <v>-2854.19</v>
      </c>
      <c r="M470" s="706">
        <v>-3375.66</v>
      </c>
      <c r="N470" s="706">
        <v>-3277.66</v>
      </c>
      <c r="O470" s="706">
        <v>-3084.08</v>
      </c>
      <c r="P470" s="706">
        <v>-3084.08</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G27410</v>
      </c>
      <c r="AK470" s="905" t="str">
        <f t="shared" si="49"/>
        <v>HYDRO-QUEBEC</v>
      </c>
      <c r="AL470" s="905">
        <f>IFERROR(INDEX(G470:R470,1,MATCH(Parametres!$B$3,G$1:R$1,0)-1)*IF(OR(F470="L",F470="S",F470="I"),-1,1),"")</f>
        <v>-3277.66</v>
      </c>
      <c r="AM470" s="905">
        <f t="shared" si="44"/>
        <v>193.57999999999993</v>
      </c>
      <c r="AN470" s="905">
        <f>INDEX(G470:R470,1,MATCH(Parametres!$B$3,G$1:R$1,0))*IF(OR(F470="L",F470="S",F470="I"),-1,1)</f>
        <v>-3084.08</v>
      </c>
      <c r="AO470" s="487" t="str">
        <f>+VLOOKUP($AJ470,Data_Validation!$A:$D,1,0)</f>
        <v>G27410</v>
      </c>
      <c r="AP470" s="487" t="str">
        <f>+VLOOKUP($AJ470,Data_Validation!$A:$D,3,0)</f>
        <v>Bilan</v>
      </c>
      <c r="AQ470" s="487" t="str">
        <f>+VLOOKUP($AJ470,Data_Validation!$A:$D,4,0)</f>
        <v>Frais Payés d'Avance</v>
      </c>
      <c r="AR470" s="487" t="s">
        <v>299</v>
      </c>
      <c r="AS470" s="487">
        <f>+VLOOKUP($AJ470,Data_Validation!$A:$E,5,0)</f>
        <v>0</v>
      </c>
      <c r="AT470" s="904" t="str">
        <f t="shared" si="45"/>
        <v>G27410</v>
      </c>
      <c r="AU470" s="488" t="str">
        <f t="shared" si="46"/>
        <v>HYDRO-QUEBEC</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2003</v>
      </c>
      <c r="D471" s="706" t="s">
        <v>2004</v>
      </c>
      <c r="E471" s="706" t="s">
        <v>333</v>
      </c>
      <c r="F471" s="706" t="s">
        <v>1136</v>
      </c>
      <c r="G471" s="706">
        <v>0</v>
      </c>
      <c r="H471" s="706">
        <v>0</v>
      </c>
      <c r="I471" s="706">
        <v>0</v>
      </c>
      <c r="J471" s="706">
        <v>0</v>
      </c>
      <c r="K471" s="706">
        <v>14369.24</v>
      </c>
      <c r="L471" s="706">
        <v>10282.67</v>
      </c>
      <c r="M471" s="706">
        <v>5957.48</v>
      </c>
      <c r="N471" s="706">
        <v>1652.18</v>
      </c>
      <c r="O471" s="706">
        <v>-2466.9</v>
      </c>
      <c r="P471" s="706">
        <v>-2466.9</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G27411</v>
      </c>
      <c r="AK471" s="905" t="str">
        <f t="shared" si="49"/>
        <v>ENERGIR</v>
      </c>
      <c r="AL471" s="905">
        <f>IFERROR(INDEX(G471:R471,1,MATCH(Parametres!$B$3,G$1:R$1,0)-1)*IF(OR(F471="L",F471="S",F471="I"),-1,1),"")</f>
        <v>1652.18</v>
      </c>
      <c r="AM471" s="905">
        <f t="shared" si="44"/>
        <v>-4119.08</v>
      </c>
      <c r="AN471" s="905">
        <f>INDEX(G471:R471,1,MATCH(Parametres!$B$3,G$1:R$1,0))*IF(OR(F471="L",F471="S",F471="I"),-1,1)</f>
        <v>-2466.9</v>
      </c>
      <c r="AO471" s="487" t="str">
        <f>+VLOOKUP($AJ471,Data_Validation!$A:$D,1,0)</f>
        <v>G27411</v>
      </c>
      <c r="AP471" s="487" t="str">
        <f>+VLOOKUP($AJ471,Data_Validation!$A:$D,3,0)</f>
        <v>Bilan</v>
      </c>
      <c r="AQ471" s="487" t="str">
        <f>+VLOOKUP($AJ471,Data_Validation!$A:$D,4,0)</f>
        <v>Frais Payés d'Avance</v>
      </c>
      <c r="AR471" s="487" t="s">
        <v>299</v>
      </c>
      <c r="AS471" s="487">
        <f>+VLOOKUP($AJ471,Data_Validation!$A:$E,5,0)</f>
        <v>0</v>
      </c>
      <c r="AT471" s="904" t="str">
        <f t="shared" si="45"/>
        <v>G27411</v>
      </c>
      <c r="AU471" s="488" t="str">
        <f t="shared" si="46"/>
        <v>ENERGIR</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2005</v>
      </c>
      <c r="D472" s="706" t="s">
        <v>2006</v>
      </c>
      <c r="E472" s="706" t="s">
        <v>333</v>
      </c>
      <c r="F472" s="706" t="s">
        <v>1136</v>
      </c>
      <c r="G472" s="706">
        <v>0</v>
      </c>
      <c r="H472" s="706">
        <v>0</v>
      </c>
      <c r="I472" s="706">
        <v>0</v>
      </c>
      <c r="J472" s="706">
        <v>0</v>
      </c>
      <c r="K472" s="706">
        <v>1515.5</v>
      </c>
      <c r="L472" s="706">
        <v>1299</v>
      </c>
      <c r="M472" s="706">
        <v>1082.5</v>
      </c>
      <c r="N472" s="706">
        <v>866</v>
      </c>
      <c r="O472" s="706">
        <v>649.5</v>
      </c>
      <c r="P472" s="706">
        <v>649.5</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G27420</v>
      </c>
      <c r="AK472" s="905" t="str">
        <f t="shared" si="49"/>
        <v>COTISATION CCAQ</v>
      </c>
      <c r="AL472" s="905">
        <f>IFERROR(INDEX(G472:R472,1,MATCH(Parametres!$B$3,G$1:R$1,0)-1)*IF(OR(F472="L",F472="S",F472="I"),-1,1),"")</f>
        <v>866</v>
      </c>
      <c r="AM472" s="905">
        <f t="shared" si="44"/>
        <v>-216.5</v>
      </c>
      <c r="AN472" s="905">
        <f>INDEX(G472:R472,1,MATCH(Parametres!$B$3,G$1:R$1,0))*IF(OR(F472="L",F472="S",F472="I"),-1,1)</f>
        <v>649.5</v>
      </c>
      <c r="AO472" s="487" t="str">
        <f>+VLOOKUP($AJ472,Data_Validation!$A:$D,1,0)</f>
        <v>G27420</v>
      </c>
      <c r="AP472" s="487" t="str">
        <f>+VLOOKUP($AJ472,Data_Validation!$A:$D,3,0)</f>
        <v>Bilan</v>
      </c>
      <c r="AQ472" s="487" t="str">
        <f>+VLOOKUP($AJ472,Data_Validation!$A:$D,4,0)</f>
        <v>Frais Payés d'Avance</v>
      </c>
      <c r="AR472" s="487" t="s">
        <v>299</v>
      </c>
      <c r="AS472" s="487">
        <f>+VLOOKUP($AJ472,Data_Validation!$A:$E,5,0)</f>
        <v>0</v>
      </c>
      <c r="AT472" s="904" t="str">
        <f t="shared" si="45"/>
        <v>G27420</v>
      </c>
      <c r="AU472" s="488" t="str">
        <f t="shared" si="46"/>
        <v>COTISATION CCAQ</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2007</v>
      </c>
      <c r="D473" s="706" t="s">
        <v>2008</v>
      </c>
      <c r="E473" s="706" t="s">
        <v>333</v>
      </c>
      <c r="F473" s="706" t="s">
        <v>1136</v>
      </c>
      <c r="G473" s="706">
        <v>0</v>
      </c>
      <c r="H473" s="706">
        <v>0</v>
      </c>
      <c r="I473" s="706">
        <v>0</v>
      </c>
      <c r="J473" s="706">
        <v>0</v>
      </c>
      <c r="K473" s="706">
        <v>1590.4</v>
      </c>
      <c r="L473" s="706">
        <v>1363.2</v>
      </c>
      <c r="M473" s="706">
        <v>1136</v>
      </c>
      <c r="N473" s="706">
        <v>908.8</v>
      </c>
      <c r="O473" s="706">
        <v>681.6</v>
      </c>
      <c r="P473" s="706">
        <v>681.6</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G27421</v>
      </c>
      <c r="AK473" s="905" t="str">
        <f t="shared" si="49"/>
        <v>COTISATION CARRXPERT</v>
      </c>
      <c r="AL473" s="905">
        <f>IFERROR(INDEX(G473:R473,1,MATCH(Parametres!$B$3,G$1:R$1,0)-1)*IF(OR(F473="L",F473="S",F473="I"),-1,1),"")</f>
        <v>908.8</v>
      </c>
      <c r="AM473" s="905">
        <f t="shared" si="44"/>
        <v>-227.19999999999993</v>
      </c>
      <c r="AN473" s="905">
        <f>INDEX(G473:R473,1,MATCH(Parametres!$B$3,G$1:R$1,0))*IF(OR(F473="L",F473="S",F473="I"),-1,1)</f>
        <v>681.6</v>
      </c>
      <c r="AO473" s="487" t="str">
        <f>+VLOOKUP($AJ473,Data_Validation!$A:$D,1,0)</f>
        <v>G27421</v>
      </c>
      <c r="AP473" s="487" t="str">
        <f>+VLOOKUP($AJ473,Data_Validation!$A:$D,3,0)</f>
        <v>Bilan</v>
      </c>
      <c r="AQ473" s="487" t="str">
        <f>+VLOOKUP($AJ473,Data_Validation!$A:$D,4,0)</f>
        <v>Frais Payés d'Avance</v>
      </c>
      <c r="AR473" s="487" t="s">
        <v>299</v>
      </c>
      <c r="AS473" s="487">
        <f>+VLOOKUP($AJ473,Data_Validation!$A:$E,5,0)</f>
        <v>0</v>
      </c>
      <c r="AT473" s="904" t="str">
        <f t="shared" si="45"/>
        <v>G27421</v>
      </c>
      <c r="AU473" s="488" t="str">
        <f t="shared" si="46"/>
        <v>COTISATION CARRXPERT</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2009</v>
      </c>
      <c r="D474" s="706" t="s">
        <v>2010</v>
      </c>
      <c r="E474" s="706" t="s">
        <v>333</v>
      </c>
      <c r="F474" s="706" t="s">
        <v>1136</v>
      </c>
      <c r="G474" s="706">
        <v>0</v>
      </c>
      <c r="H474" s="706">
        <v>0</v>
      </c>
      <c r="I474" s="706">
        <v>0</v>
      </c>
      <c r="J474" s="706">
        <v>0</v>
      </c>
      <c r="K474" s="706">
        <v>-49627.99</v>
      </c>
      <c r="L474" s="706">
        <v>-60176.6</v>
      </c>
      <c r="M474" s="706">
        <v>-61835.39</v>
      </c>
      <c r="N474" s="706">
        <v>-78548.19</v>
      </c>
      <c r="O474" s="706">
        <v>-95819.95</v>
      </c>
      <c r="P474" s="706">
        <v>-95819.95</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G27430</v>
      </c>
      <c r="AK474" s="905" t="str">
        <f t="shared" si="49"/>
        <v>PLAQUE PAYE D'AVANCE</v>
      </c>
      <c r="AL474" s="905">
        <f>IFERROR(INDEX(G474:R474,1,MATCH(Parametres!$B$3,G$1:R$1,0)-1)*IF(OR(F474="L",F474="S",F474="I"),-1,1),"")</f>
        <v>-78548.19</v>
      </c>
      <c r="AM474" s="905">
        <f t="shared" si="44"/>
        <v>-17271.759999999995</v>
      </c>
      <c r="AN474" s="905">
        <f>INDEX(G474:R474,1,MATCH(Parametres!$B$3,G$1:R$1,0))*IF(OR(F474="L",F474="S",F474="I"),-1,1)</f>
        <v>-95819.95</v>
      </c>
      <c r="AO474" s="487" t="str">
        <f>+VLOOKUP($AJ474,Data_Validation!$A:$D,1,0)</f>
        <v>G27430</v>
      </c>
      <c r="AP474" s="487" t="str">
        <f>+VLOOKUP($AJ474,Data_Validation!$A:$D,3,0)</f>
        <v>Bilan</v>
      </c>
      <c r="AQ474" s="487" t="str">
        <f>+VLOOKUP($AJ474,Data_Validation!$A:$D,4,0)</f>
        <v>Frais Payés d'Avance</v>
      </c>
      <c r="AR474" s="487" t="s">
        <v>299</v>
      </c>
      <c r="AS474" s="487">
        <f>+VLOOKUP($AJ474,Data_Validation!$A:$E,5,0)</f>
        <v>0</v>
      </c>
      <c r="AT474" s="904" t="str">
        <f t="shared" si="45"/>
        <v>G27430</v>
      </c>
      <c r="AU474" s="488" t="str">
        <f t="shared" si="46"/>
        <v>PLAQUE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hidden="1" customHeight="1">
      <c r="A475" s="706" t="s">
        <v>1148</v>
      </c>
      <c r="B475" s="706">
        <v>2026</v>
      </c>
      <c r="C475" s="706" t="s">
        <v>2011</v>
      </c>
      <c r="D475" s="706" t="s">
        <v>2012</v>
      </c>
      <c r="E475" s="706" t="s">
        <v>333</v>
      </c>
      <c r="F475" s="706" t="s">
        <v>1136</v>
      </c>
      <c r="G475" s="706">
        <v>0</v>
      </c>
      <c r="H475" s="706">
        <v>0</v>
      </c>
      <c r="I475" s="706">
        <v>0</v>
      </c>
      <c r="J475" s="706">
        <v>0</v>
      </c>
      <c r="K475" s="706">
        <v>5445</v>
      </c>
      <c r="L475" s="706">
        <v>3645</v>
      </c>
      <c r="M475" s="706">
        <v>-2002.5</v>
      </c>
      <c r="N475" s="706">
        <v>-2790</v>
      </c>
      <c r="O475" s="706">
        <v>-3577.5</v>
      </c>
      <c r="P475" s="706">
        <v>-3577.5</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G27440</v>
      </c>
      <c r="AK475" s="905" t="str">
        <f t="shared" si="49"/>
        <v>DENEIGEMENT PAYE D'AVANCE</v>
      </c>
      <c r="AL475" s="905">
        <f>IFERROR(INDEX(G475:R475,1,MATCH(Parametres!$B$3,G$1:R$1,0)-1)*IF(OR(F475="L",F475="S",F475="I"),-1,1),"")</f>
        <v>-2790</v>
      </c>
      <c r="AM475" s="905">
        <f t="shared" si="44"/>
        <v>-787.5</v>
      </c>
      <c r="AN475" s="905">
        <f>INDEX(G475:R475,1,MATCH(Parametres!$B$3,G$1:R$1,0))*IF(OR(F475="L",F475="S",F475="I"),-1,1)</f>
        <v>-3577.5</v>
      </c>
      <c r="AO475" s="487" t="str">
        <f>+VLOOKUP($AJ475,Data_Validation!$A:$D,1,0)</f>
        <v>G27440</v>
      </c>
      <c r="AP475" s="487" t="str">
        <f>+VLOOKUP($AJ475,Data_Validation!$A:$D,3,0)</f>
        <v>Bilan</v>
      </c>
      <c r="AQ475" s="487" t="str">
        <f>+VLOOKUP($AJ475,Data_Validation!$A:$D,4,0)</f>
        <v>Frais Payés d'Avance</v>
      </c>
      <c r="AR475" s="487" t="s">
        <v>299</v>
      </c>
      <c r="AS475" s="487">
        <f>+VLOOKUP($AJ475,Data_Validation!$A:$E,5,0)</f>
        <v>0</v>
      </c>
      <c r="AT475" s="904" t="str">
        <f t="shared" si="45"/>
        <v>G27440</v>
      </c>
      <c r="AU475" s="488" t="str">
        <f t="shared" si="46"/>
        <v>DENEIGEMENT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hidden="1" customHeight="1">
      <c r="A476" s="706" t="s">
        <v>1148</v>
      </c>
      <c r="B476" s="706">
        <v>2026</v>
      </c>
      <c r="C476" s="706" t="s">
        <v>3440</v>
      </c>
      <c r="D476" s="706" t="s">
        <v>3441</v>
      </c>
      <c r="E476" s="706" t="s">
        <v>333</v>
      </c>
      <c r="F476" s="706" t="s">
        <v>1136</v>
      </c>
      <c r="G476" s="706">
        <v>0</v>
      </c>
      <c r="H476" s="706">
        <v>0</v>
      </c>
      <c r="I476" s="706">
        <v>0</v>
      </c>
      <c r="J476" s="706">
        <v>0</v>
      </c>
      <c r="K476" s="706">
        <v>0</v>
      </c>
      <c r="L476" s="706">
        <v>0</v>
      </c>
      <c r="M476" s="706">
        <v>0</v>
      </c>
      <c r="N476" s="706">
        <v>30252</v>
      </c>
      <c r="O476" s="706">
        <v>22688</v>
      </c>
      <c r="P476" s="706">
        <v>22688</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G27450</v>
      </c>
      <c r="AK476" s="905" t="str">
        <f t="shared" si="49"/>
        <v>RRI PAYE D'AVANCE</v>
      </c>
      <c r="AL476" s="905">
        <f>IFERROR(INDEX(G476:R476,1,MATCH(Parametres!$B$3,G$1:R$1,0)-1)*IF(OR(F476="L",F476="S",F476="I"),-1,1),"")</f>
        <v>30252</v>
      </c>
      <c r="AM476" s="905">
        <f t="shared" si="44"/>
        <v>-7564</v>
      </c>
      <c r="AN476" s="905">
        <f>INDEX(G476:R476,1,MATCH(Parametres!$B$3,G$1:R$1,0))*IF(OR(F476="L",F476="S",F476="I"),-1,1)</f>
        <v>22688</v>
      </c>
      <c r="AO476" s="487" t="str">
        <f>+VLOOKUP($AJ476,Data_Validation!$A:$D,1,0)</f>
        <v>G27450</v>
      </c>
      <c r="AP476" s="487" t="str">
        <f>+VLOOKUP($AJ476,Data_Validation!$A:$D,3,0)</f>
        <v>Bilan</v>
      </c>
      <c r="AQ476" s="487" t="str">
        <f>+VLOOKUP($AJ476,Data_Validation!$A:$D,4,0)</f>
        <v>Frais Payés d'Avance</v>
      </c>
      <c r="AR476" s="487" t="s">
        <v>299</v>
      </c>
      <c r="AS476" s="487">
        <f>+VLOOKUP($AJ476,Data_Validation!$A:$E,5,0)</f>
        <v>0</v>
      </c>
      <c r="AT476" s="904" t="str">
        <f t="shared" si="45"/>
        <v>G27450</v>
      </c>
      <c r="AU476" s="488" t="str">
        <f t="shared" si="46"/>
        <v>RRI PAYE D'AVANCE</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hidden="1" customHeight="1">
      <c r="A477" s="706" t="s">
        <v>1148</v>
      </c>
      <c r="B477" s="706">
        <v>2026</v>
      </c>
      <c r="C477" s="706" t="s">
        <v>2013</v>
      </c>
      <c r="D477" s="706" t="s">
        <v>2014</v>
      </c>
      <c r="E477" s="706" t="s">
        <v>1143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G27700</v>
      </c>
      <c r="AK477" s="905" t="str">
        <f t="shared" si="49"/>
        <v>INV VEHICULE EN LOCATION</v>
      </c>
      <c r="AL477" s="905">
        <f>IFERROR(INDEX(G477:R477,1,MATCH(Parametres!$B$3,G$1:R$1,0)-1)*IF(OR(F477="L",F477="S",F477="I"),-1,1),"")</f>
        <v>0</v>
      </c>
      <c r="AM477" s="905">
        <f t="shared" si="44"/>
        <v>0</v>
      </c>
      <c r="AN477" s="905">
        <f>INDEX(G477:R477,1,MATCH(Parametres!$B$3,G$1:R$1,0))*IF(OR(F477="L",F477="S",F477="I"),-1,1)</f>
        <v>0</v>
      </c>
      <c r="AO477" s="487" t="e">
        <f>+VLOOKUP($AJ477,Data_Validation!$A:$D,1,0)</f>
        <v>#N/A</v>
      </c>
      <c r="AP477" s="487" t="e">
        <f>+VLOOKUP($AJ477,Data_Validation!$A:$D,3,0)</f>
        <v>#N/A</v>
      </c>
      <c r="AQ477" s="487" t="e">
        <f>+VLOOKUP($AJ477,Data_Validation!$A:$D,4,0)</f>
        <v>#N/A</v>
      </c>
      <c r="AR477" s="487" t="s">
        <v>299</v>
      </c>
      <c r="AS477" s="487" t="e">
        <f>+VLOOKUP($AJ477,Data_Validation!$A:$E,5,0)</f>
        <v>#N/A</v>
      </c>
      <c r="AT477" s="904" t="str">
        <f t="shared" si="45"/>
        <v>G27700</v>
      </c>
      <c r="AU477" s="488" t="str">
        <f t="shared" si="46"/>
        <v>INV VEHICULE EN LOCATION</v>
      </c>
      <c r="AV477" s="899">
        <f>IFERROR(INDEX(V477:AG477,1,MATCH(Parametres!$B$3,V$1:AG$1,0)-1)*IF(OR(C477="L",C477="S",C477="I"),-1,1),"")</f>
        <v>0</v>
      </c>
      <c r="AW477" s="899">
        <f t="shared" si="47"/>
        <v>0</v>
      </c>
      <c r="AX477" s="899">
        <f>INDEX(V477:AG477,1,MATCH(Parametres!$B$3,V$1:AG$1,0))*IF(OR(C477="L",C477="S",C477="I"),-1,1)</f>
        <v>0</v>
      </c>
      <c r="AY477" s="487" t="s">
        <v>337</v>
      </c>
      <c r="AZ477" s="487" t="e">
        <f>+VLOOKUP($AJ477,Data_Validation!$A:$E,5,0)</f>
        <v>#N/A</v>
      </c>
    </row>
    <row r="478" spans="1:52" ht="15" hidden="1" customHeight="1">
      <c r="A478" s="706" t="s">
        <v>1148</v>
      </c>
      <c r="B478" s="706">
        <v>2026</v>
      </c>
      <c r="C478" s="706" t="s">
        <v>2015</v>
      </c>
      <c r="D478" s="706" t="s">
        <v>2016</v>
      </c>
      <c r="E478" s="706" t="s">
        <v>333</v>
      </c>
      <c r="F478" s="706" t="s">
        <v>1136</v>
      </c>
      <c r="G478" s="706">
        <v>0</v>
      </c>
      <c r="H478" s="706">
        <v>0</v>
      </c>
      <c r="I478" s="706">
        <v>0</v>
      </c>
      <c r="J478" s="706">
        <v>0</v>
      </c>
      <c r="K478" s="706">
        <v>0</v>
      </c>
      <c r="L478" s="706">
        <v>0</v>
      </c>
      <c r="M478" s="706">
        <v>0</v>
      </c>
      <c r="N478" s="706">
        <v>0</v>
      </c>
      <c r="O478" s="706">
        <v>0</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G27701</v>
      </c>
      <c r="AK478" s="905" t="str">
        <f t="shared" si="49"/>
        <v>AMORT. ACC. VEH. LOCATION</v>
      </c>
      <c r="AL478" s="905">
        <f>IFERROR(INDEX(G478:R478,1,MATCH(Parametres!$B$3,G$1:R$1,0)-1)*IF(OR(F478="L",F478="S",F478="I"),-1,1),"")</f>
        <v>0</v>
      </c>
      <c r="AM478" s="905">
        <f t="shared" si="44"/>
        <v>0</v>
      </c>
      <c r="AN478" s="905">
        <f>INDEX(G478:R478,1,MATCH(Parametres!$B$3,G$1:R$1,0))*IF(OR(F478="L",F478="S",F478="I"),-1,1)</f>
        <v>0</v>
      </c>
      <c r="AO478" s="487" t="str">
        <f>+VLOOKUP($AJ478,Data_Validation!$A:$D,1,0)</f>
        <v>G27701</v>
      </c>
      <c r="AP478" s="487">
        <f>+VLOOKUP($AJ478,Data_Validation!$A:$D,3,0)</f>
        <v>0</v>
      </c>
      <c r="AQ478" s="487">
        <f>+VLOOKUP($AJ478,Data_Validation!$A:$D,4,0)</f>
        <v>0</v>
      </c>
      <c r="AR478" s="487" t="s">
        <v>299</v>
      </c>
      <c r="AS478" s="487">
        <f>+VLOOKUP($AJ478,Data_Validation!$A:$E,5,0)</f>
        <v>0</v>
      </c>
      <c r="AT478" s="904" t="str">
        <f t="shared" si="45"/>
        <v>G27701</v>
      </c>
      <c r="AU478" s="488" t="str">
        <f t="shared" si="46"/>
        <v>AMORT. ACC. VEH. LOCATION</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2017</v>
      </c>
      <c r="D479" s="706" t="s">
        <v>2018</v>
      </c>
      <c r="E479" s="706" t="s">
        <v>333</v>
      </c>
      <c r="F479" s="706" t="s">
        <v>1136</v>
      </c>
      <c r="G479" s="706">
        <v>1718553.45</v>
      </c>
      <c r="H479" s="706">
        <v>1718553.45</v>
      </c>
      <c r="I479" s="706">
        <v>1718553.45</v>
      </c>
      <c r="J479" s="706">
        <v>1718553.45</v>
      </c>
      <c r="K479" s="706">
        <v>1718553.45</v>
      </c>
      <c r="L479" s="706">
        <v>1718553.45</v>
      </c>
      <c r="M479" s="706">
        <v>1718553.45</v>
      </c>
      <c r="N479" s="706">
        <v>1718553.45</v>
      </c>
      <c r="O479" s="706">
        <v>1718553.45</v>
      </c>
      <c r="P479" s="706">
        <v>1718553.45</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G28200</v>
      </c>
      <c r="AK479" s="905" t="str">
        <f t="shared" si="49"/>
        <v>MACHINERIE EQUIP. ATELIER</v>
      </c>
      <c r="AL479" s="905">
        <f>IFERROR(INDEX(G479:R479,1,MATCH(Parametres!$B$3,G$1:R$1,0)-1)*IF(OR(F479="L",F479="S",F479="I"),-1,1),"")</f>
        <v>1718553.45</v>
      </c>
      <c r="AM479" s="905">
        <f t="shared" si="44"/>
        <v>0</v>
      </c>
      <c r="AN479" s="905">
        <f>INDEX(G479:R479,1,MATCH(Parametres!$B$3,G$1:R$1,0))*IF(OR(F479="L",F479="S",F479="I"),-1,1)</f>
        <v>1718553.45</v>
      </c>
      <c r="AO479" s="487" t="str">
        <f>+VLOOKUP($AJ479,Data_Validation!$A:$D,1,0)</f>
        <v>G28200</v>
      </c>
      <c r="AP479" s="487" t="str">
        <f>+VLOOKUP($AJ479,Data_Validation!$A:$D,3,0)</f>
        <v>Bilan</v>
      </c>
      <c r="AQ479" s="487" t="str">
        <f>+VLOOKUP($AJ479,Data_Validation!$A:$D,4,0)</f>
        <v>Équipements Service</v>
      </c>
      <c r="AR479" s="487" t="s">
        <v>299</v>
      </c>
      <c r="AS479" s="487">
        <f>+VLOOKUP($AJ479,Data_Validation!$A:$E,5,0)</f>
        <v>0</v>
      </c>
      <c r="AT479" s="904" t="str">
        <f t="shared" si="45"/>
        <v>G28200</v>
      </c>
      <c r="AU479" s="488" t="str">
        <f t="shared" si="46"/>
        <v>MACHINERIE EQUIP. ATELIER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2019</v>
      </c>
      <c r="D480" s="706" t="s">
        <v>2020</v>
      </c>
      <c r="E480" s="706" t="s">
        <v>333</v>
      </c>
      <c r="F480" s="706" t="s">
        <v>1136</v>
      </c>
      <c r="G480" s="706">
        <v>0</v>
      </c>
      <c r="H480" s="706">
        <v>0</v>
      </c>
      <c r="I480" s="706">
        <v>13498.78</v>
      </c>
      <c r="J480" s="706">
        <v>13498.78</v>
      </c>
      <c r="K480" s="706">
        <v>13498.78</v>
      </c>
      <c r="L480" s="706">
        <v>13498.78</v>
      </c>
      <c r="M480" s="706">
        <v>13498.78</v>
      </c>
      <c r="N480" s="706">
        <v>13498.78</v>
      </c>
      <c r="O480" s="706">
        <v>13498.78</v>
      </c>
      <c r="P480" s="706">
        <v>13498.78</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G28210</v>
      </c>
      <c r="AK480" s="905" t="str">
        <f t="shared" si="49"/>
        <v>MACHINERIE EQUIP. CARR</v>
      </c>
      <c r="AL480" s="905">
        <f>IFERROR(INDEX(G480:R480,1,MATCH(Parametres!$B$3,G$1:R$1,0)-1)*IF(OR(F480="L",F480="S",F480="I"),-1,1),"")</f>
        <v>13498.78</v>
      </c>
      <c r="AM480" s="905">
        <f t="shared" si="44"/>
        <v>0</v>
      </c>
      <c r="AN480" s="905">
        <f>INDEX(G480:R480,1,MATCH(Parametres!$B$3,G$1:R$1,0))*IF(OR(F480="L",F480="S",F480="I"),-1,1)</f>
        <v>13498.78</v>
      </c>
      <c r="AO480" s="487" t="str">
        <f>+VLOOKUP($AJ480,Data_Validation!$A:$D,1,0)</f>
        <v>G28210</v>
      </c>
      <c r="AP480" s="487" t="str">
        <f>+VLOOKUP($AJ480,Data_Validation!$A:$D,3,0)</f>
        <v>Bilan</v>
      </c>
      <c r="AQ480" s="487" t="str">
        <f>+VLOOKUP($AJ480,Data_Validation!$A:$D,4,0)</f>
        <v>Équipements Service</v>
      </c>
      <c r="AR480" s="487" t="s">
        <v>299</v>
      </c>
      <c r="AS480" s="487">
        <f>+VLOOKUP($AJ480,Data_Validation!$A:$E,5,0)</f>
        <v>0</v>
      </c>
      <c r="AT480" s="904" t="str">
        <f t="shared" si="45"/>
        <v>G28210</v>
      </c>
      <c r="AU480" s="488" t="str">
        <f t="shared" si="46"/>
        <v>MACHINERIE EQUIP. CARR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2021</v>
      </c>
      <c r="D481" s="706" t="s">
        <v>2022</v>
      </c>
      <c r="E481" s="706" t="s">
        <v>333</v>
      </c>
      <c r="F481" s="706" t="s">
        <v>1136</v>
      </c>
      <c r="G481" s="706">
        <v>7077.33</v>
      </c>
      <c r="H481" s="706">
        <v>7077.33</v>
      </c>
      <c r="I481" s="706">
        <v>7077.33</v>
      </c>
      <c r="J481" s="706">
        <v>7077.33</v>
      </c>
      <c r="K481" s="706">
        <v>7077.33</v>
      </c>
      <c r="L481" s="706">
        <v>7077.33</v>
      </c>
      <c r="M481" s="706">
        <v>7077.33</v>
      </c>
      <c r="N481" s="706">
        <v>7077.33</v>
      </c>
      <c r="O481" s="706">
        <v>7077.33</v>
      </c>
      <c r="P481" s="706">
        <v>7077.33</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G28300</v>
      </c>
      <c r="AK481" s="905" t="str">
        <f t="shared" si="49"/>
        <v>PNEUS ET ACC.DEMO/COURT</v>
      </c>
      <c r="AL481" s="905">
        <f>IFERROR(INDEX(G481:R481,1,MATCH(Parametres!$B$3,G$1:R$1,0)-1)*IF(OR(F481="L",F481="S",F481="I"),-1,1),"")</f>
        <v>7077.33</v>
      </c>
      <c r="AM481" s="905">
        <f t="shared" si="44"/>
        <v>0</v>
      </c>
      <c r="AN481" s="905">
        <f>INDEX(G481:R481,1,MATCH(Parametres!$B$3,G$1:R$1,0))*IF(OR(F481="L",F481="S",F481="I"),-1,1)</f>
        <v>7077.33</v>
      </c>
      <c r="AO481" s="487" t="str">
        <f>+VLOOKUP($AJ481,Data_Validation!$A:$D,1,0)</f>
        <v>G28300</v>
      </c>
      <c r="AP481" s="487" t="str">
        <f>+VLOOKUP($AJ481,Data_Validation!$A:$D,3,0)</f>
        <v>Bilan</v>
      </c>
      <c r="AQ481" s="487" t="str">
        <f>+VLOOKUP($AJ481,Data_Validation!$A:$D,4,0)</f>
        <v>Équipements Service</v>
      </c>
      <c r="AR481" s="487" t="s">
        <v>299</v>
      </c>
      <c r="AS481" s="487">
        <f>+VLOOKUP($AJ481,Data_Validation!$A:$E,5,0)</f>
        <v>0</v>
      </c>
      <c r="AT481" s="904" t="str">
        <f t="shared" si="45"/>
        <v>G28300</v>
      </c>
      <c r="AU481" s="488" t="str">
        <f t="shared" si="46"/>
        <v>PNEUS ET ACC.DEMO/COURT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2023</v>
      </c>
      <c r="D482" s="706" t="s">
        <v>2024</v>
      </c>
      <c r="E482" s="706" t="s">
        <v>333</v>
      </c>
      <c r="F482" s="706" t="s">
        <v>1136</v>
      </c>
      <c r="G482" s="706">
        <v>368778.01</v>
      </c>
      <c r="H482" s="706">
        <v>368778.01</v>
      </c>
      <c r="I482" s="706">
        <v>368778.01</v>
      </c>
      <c r="J482" s="706">
        <v>368778.01</v>
      </c>
      <c r="K482" s="706">
        <v>368778.01</v>
      </c>
      <c r="L482" s="706">
        <v>368778.01</v>
      </c>
      <c r="M482" s="706">
        <v>368778.01</v>
      </c>
      <c r="N482" s="706">
        <v>368778.01</v>
      </c>
      <c r="O482" s="706">
        <v>379282.62</v>
      </c>
      <c r="P482" s="706">
        <v>379282.62</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G28400</v>
      </c>
      <c r="AK482" s="905" t="str">
        <f t="shared" si="49"/>
        <v>MOBILIER &amp; EQUIP BUREAU</v>
      </c>
      <c r="AL482" s="905">
        <f>IFERROR(INDEX(G482:R482,1,MATCH(Parametres!$B$3,G$1:R$1,0)-1)*IF(OR(F482="L",F482="S",F482="I"),-1,1),"")</f>
        <v>368778.01</v>
      </c>
      <c r="AM482" s="905">
        <f t="shared" si="44"/>
        <v>10504.609999999986</v>
      </c>
      <c r="AN482" s="905">
        <f>INDEX(G482:R482,1,MATCH(Parametres!$B$3,G$1:R$1,0))*IF(OR(F482="L",F482="S",F482="I"),-1,1)</f>
        <v>379282.62</v>
      </c>
      <c r="AO482" s="487" t="str">
        <f>+VLOOKUP($AJ482,Data_Validation!$A:$D,1,0)</f>
        <v>G28400</v>
      </c>
      <c r="AP482" s="487" t="str">
        <f>+VLOOKUP($AJ482,Data_Validation!$A:$D,3,0)</f>
        <v>Bilan</v>
      </c>
      <c r="AQ482" s="487" t="str">
        <f>+VLOOKUP($AJ482,Data_Validation!$A:$D,4,0)</f>
        <v>Mobilier</v>
      </c>
      <c r="AR482" s="487" t="s">
        <v>299</v>
      </c>
      <c r="AS482" s="487">
        <f>+VLOOKUP($AJ482,Data_Validation!$A:$E,5,0)</f>
        <v>0</v>
      </c>
      <c r="AT482" s="904" t="str">
        <f t="shared" si="45"/>
        <v>G28400</v>
      </c>
      <c r="AU482" s="488" t="str">
        <f t="shared" si="46"/>
        <v>MOBILIER &amp; EQUIP BUREAU</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2025</v>
      </c>
      <c r="D483" s="706" t="s">
        <v>2026</v>
      </c>
      <c r="E483" s="706" t="s">
        <v>333</v>
      </c>
      <c r="F483" s="706" t="s">
        <v>1136</v>
      </c>
      <c r="G483" s="706">
        <v>125277.95</v>
      </c>
      <c r="H483" s="706">
        <v>125277.95</v>
      </c>
      <c r="I483" s="706">
        <v>125277.95</v>
      </c>
      <c r="J483" s="706">
        <v>125277.95</v>
      </c>
      <c r="K483" s="706">
        <v>125277.95</v>
      </c>
      <c r="L483" s="706">
        <v>125277.95</v>
      </c>
      <c r="M483" s="706">
        <v>135777.95000000001</v>
      </c>
      <c r="N483" s="706">
        <v>135777.95000000001</v>
      </c>
      <c r="O483" s="706">
        <v>135777.95000000001</v>
      </c>
      <c r="P483" s="706">
        <v>135777.95000000001</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G28500</v>
      </c>
      <c r="AK483" s="905" t="str">
        <f t="shared" si="49"/>
        <v>LIFT PIECES / TRACTEUR</v>
      </c>
      <c r="AL483" s="905">
        <f>IFERROR(INDEX(G483:R483,1,MATCH(Parametres!$B$3,G$1:R$1,0)-1)*IF(OR(F483="L",F483="S",F483="I"),-1,1),"")</f>
        <v>135777.95000000001</v>
      </c>
      <c r="AM483" s="905">
        <f t="shared" si="44"/>
        <v>0</v>
      </c>
      <c r="AN483" s="905">
        <f>INDEX(G483:R483,1,MATCH(Parametres!$B$3,G$1:R$1,0))*IF(OR(F483="L",F483="S",F483="I"),-1,1)</f>
        <v>135777.95000000001</v>
      </c>
      <c r="AO483" s="487" t="str">
        <f>+VLOOKUP($AJ483,Data_Validation!$A:$D,1,0)</f>
        <v>G28500</v>
      </c>
      <c r="AP483" s="487" t="str">
        <f>+VLOOKUP($AJ483,Data_Validation!$A:$D,3,0)</f>
        <v>Bilan</v>
      </c>
      <c r="AQ483" s="487" t="str">
        <f>+VLOOKUP($AJ483,Data_Validation!$A:$D,4,0)</f>
        <v>Équipements Service</v>
      </c>
      <c r="AR483" s="487" t="s">
        <v>299</v>
      </c>
      <c r="AS483" s="487">
        <f>+VLOOKUP($AJ483,Data_Validation!$A:$E,5,0)</f>
        <v>0</v>
      </c>
      <c r="AT483" s="904" t="str">
        <f t="shared" si="45"/>
        <v>G28500</v>
      </c>
      <c r="AU483" s="488" t="str">
        <f t="shared" si="46"/>
        <v>LIFT PIECES / TRACTEUR</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2027</v>
      </c>
      <c r="D484" s="706" t="s">
        <v>2028</v>
      </c>
      <c r="E484" s="706" t="s">
        <v>333</v>
      </c>
      <c r="F484" s="706" t="s">
        <v>1136</v>
      </c>
      <c r="G484" s="706">
        <v>214593.95</v>
      </c>
      <c r="H484" s="706">
        <v>214593.95</v>
      </c>
      <c r="I484" s="706">
        <v>214593.95</v>
      </c>
      <c r="J484" s="706">
        <v>214593.95</v>
      </c>
      <c r="K484" s="706">
        <v>214593.95</v>
      </c>
      <c r="L484" s="706">
        <v>214593.95</v>
      </c>
      <c r="M484" s="706">
        <v>214593.95</v>
      </c>
      <c r="N484" s="706">
        <v>250530.55</v>
      </c>
      <c r="O484" s="706">
        <v>250530.55</v>
      </c>
      <c r="P484" s="706">
        <v>250530.55</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G28600</v>
      </c>
      <c r="AK484" s="905" t="str">
        <f t="shared" si="49"/>
        <v>BATIMENT</v>
      </c>
      <c r="AL484" s="905">
        <f>IFERROR(INDEX(G484:R484,1,MATCH(Parametres!$B$3,G$1:R$1,0)-1)*IF(OR(F484="L",F484="S",F484="I"),-1,1),"")</f>
        <v>250530.55</v>
      </c>
      <c r="AM484" s="905">
        <f t="shared" si="44"/>
        <v>0</v>
      </c>
      <c r="AN484" s="905">
        <f>INDEX(G484:R484,1,MATCH(Parametres!$B$3,G$1:R$1,0))*IF(OR(F484="L",F484="S",F484="I"),-1,1)</f>
        <v>250530.55</v>
      </c>
      <c r="AO484" s="487" t="str">
        <f>+VLOOKUP($AJ484,Data_Validation!$A:$D,1,0)</f>
        <v>G28600</v>
      </c>
      <c r="AP484" s="487" t="str">
        <f>+VLOOKUP($AJ484,Data_Validation!$A:$D,3,0)</f>
        <v>Bilan</v>
      </c>
      <c r="AQ484" s="487" t="str">
        <f>+VLOOKUP($AJ484,Data_Validation!$A:$D,4,0)</f>
        <v>Améliorations Locatives</v>
      </c>
      <c r="AR484" s="487" t="s">
        <v>299</v>
      </c>
      <c r="AS484" s="487">
        <f>+VLOOKUP($AJ484,Data_Validation!$A:$E,5,0)</f>
        <v>0</v>
      </c>
      <c r="AT484" s="904" t="str">
        <f t="shared" si="45"/>
        <v>G28600</v>
      </c>
      <c r="AU484" s="488" t="str">
        <f t="shared" si="46"/>
        <v>BATIMENT</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2029</v>
      </c>
      <c r="D485" s="706" t="s">
        <v>2030</v>
      </c>
      <c r="E485" s="706" t="s">
        <v>333</v>
      </c>
      <c r="F485" s="706" t="s">
        <v>1136</v>
      </c>
      <c r="G485" s="706">
        <v>264203.43</v>
      </c>
      <c r="H485" s="706">
        <v>264203.43</v>
      </c>
      <c r="I485" s="706">
        <v>264203.43</v>
      </c>
      <c r="J485" s="706">
        <v>267836.38</v>
      </c>
      <c r="K485" s="706">
        <v>267836.38</v>
      </c>
      <c r="L485" s="706">
        <v>267836.38</v>
      </c>
      <c r="M485" s="706">
        <v>267836.38</v>
      </c>
      <c r="N485" s="706">
        <v>268617.12</v>
      </c>
      <c r="O485" s="706">
        <v>270924.09999999998</v>
      </c>
      <c r="P485" s="706">
        <v>270924.09999999998</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G28700</v>
      </c>
      <c r="AK485" s="905" t="str">
        <f t="shared" si="49"/>
        <v>MATERIEL INFORMATIQUE</v>
      </c>
      <c r="AL485" s="905">
        <f>IFERROR(INDEX(G485:R485,1,MATCH(Parametres!$B$3,G$1:R$1,0)-1)*IF(OR(F485="L",F485="S",F485="I"),-1,1),"")</f>
        <v>268617.12</v>
      </c>
      <c r="AM485" s="905">
        <f t="shared" si="44"/>
        <v>2306.9799999999814</v>
      </c>
      <c r="AN485" s="905">
        <f>INDEX(G485:R485,1,MATCH(Parametres!$B$3,G$1:R$1,0))*IF(OR(F485="L",F485="S",F485="I"),-1,1)</f>
        <v>270924.09999999998</v>
      </c>
      <c r="AO485" s="487" t="str">
        <f>+VLOOKUP($AJ485,Data_Validation!$A:$D,1,0)</f>
        <v>G28700</v>
      </c>
      <c r="AP485" s="487" t="str">
        <f>+VLOOKUP($AJ485,Data_Validation!$A:$D,3,0)</f>
        <v>Bilan</v>
      </c>
      <c r="AQ485" s="487" t="str">
        <f>+VLOOKUP($AJ485,Data_Validation!$A:$D,4,0)</f>
        <v>Équipements Informatique</v>
      </c>
      <c r="AR485" s="487" t="s">
        <v>299</v>
      </c>
      <c r="AS485" s="487">
        <f>+VLOOKUP($AJ485,Data_Validation!$A:$E,5,0)</f>
        <v>0</v>
      </c>
      <c r="AT485" s="904" t="str">
        <f t="shared" si="45"/>
        <v>G28700</v>
      </c>
      <c r="AU485" s="488" t="str">
        <f t="shared" si="46"/>
        <v>MATERIEL INFORMATIQUE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2031</v>
      </c>
      <c r="D486" s="706" t="s">
        <v>647</v>
      </c>
      <c r="E486" s="706" t="s">
        <v>333</v>
      </c>
      <c r="F486" s="706" t="s">
        <v>1136</v>
      </c>
      <c r="G486" s="706">
        <v>55976.71</v>
      </c>
      <c r="H486" s="706">
        <v>55976.71</v>
      </c>
      <c r="I486" s="706">
        <v>55976.71</v>
      </c>
      <c r="J486" s="706">
        <v>55976.71</v>
      </c>
      <c r="K486" s="706">
        <v>55976.71</v>
      </c>
      <c r="L486" s="706">
        <v>55976.71</v>
      </c>
      <c r="M486" s="706">
        <v>55976.71</v>
      </c>
      <c r="N486" s="706">
        <v>55976.71</v>
      </c>
      <c r="O486" s="706">
        <v>55976.71</v>
      </c>
      <c r="P486" s="706">
        <v>55976.71</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G28800</v>
      </c>
      <c r="AK486" s="905" t="str">
        <f t="shared" si="49"/>
        <v>ENSEIGNES</v>
      </c>
      <c r="AL486" s="905">
        <f>IFERROR(INDEX(G486:R486,1,MATCH(Parametres!$B$3,G$1:R$1,0)-1)*IF(OR(F486="L",F486="S",F486="I"),-1,1),"")</f>
        <v>55976.71</v>
      </c>
      <c r="AM486" s="905">
        <f t="shared" si="44"/>
        <v>0</v>
      </c>
      <c r="AN486" s="905">
        <f>INDEX(G486:R486,1,MATCH(Parametres!$B$3,G$1:R$1,0))*IF(OR(F486="L",F486="S",F486="I"),-1,1)</f>
        <v>55976.71</v>
      </c>
      <c r="AO486" s="487" t="str">
        <f>+VLOOKUP($AJ486,Data_Validation!$A:$D,1,0)</f>
        <v>G28800</v>
      </c>
      <c r="AP486" s="487" t="str">
        <f>+VLOOKUP($AJ486,Data_Validation!$A:$D,3,0)</f>
        <v>Bilan</v>
      </c>
      <c r="AQ486" s="487" t="str">
        <f>+VLOOKUP($AJ486,Data_Validation!$A:$D,4,0)</f>
        <v>Enseigne</v>
      </c>
      <c r="AR486" s="487" t="s">
        <v>299</v>
      </c>
      <c r="AS486" s="487">
        <f>+VLOOKUP($AJ486,Data_Validation!$A:$E,5,0)</f>
        <v>0</v>
      </c>
      <c r="AT486" s="904" t="str">
        <f t="shared" si="45"/>
        <v>G28800</v>
      </c>
      <c r="AU486" s="488" t="str">
        <f t="shared" si="46"/>
        <v>ENSEIGNES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2032</v>
      </c>
      <c r="D487" s="706" t="s">
        <v>2033</v>
      </c>
      <c r="E487" s="706" t="s">
        <v>333</v>
      </c>
      <c r="F487" s="706" t="s">
        <v>1136</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G28900</v>
      </c>
      <c r="AK487" s="905" t="str">
        <f t="shared" si="49"/>
        <v>ASPHALTE</v>
      </c>
      <c r="AL487" s="905">
        <f>IFERROR(INDEX(G487:R487,1,MATCH(Parametres!$B$3,G$1:R$1,0)-1)*IF(OR(F487="L",F487="S",F487="I"),-1,1),"")</f>
        <v>0</v>
      </c>
      <c r="AM487" s="905">
        <f t="shared" si="44"/>
        <v>0</v>
      </c>
      <c r="AN487" s="905">
        <f>INDEX(G487:R487,1,MATCH(Parametres!$B$3,G$1:R$1,0))*IF(OR(F487="L",F487="S",F487="I"),-1,1)</f>
        <v>0</v>
      </c>
      <c r="AO487" s="487" t="str">
        <f>+VLOOKUP($AJ487,Data_Validation!$A:$D,1,0)</f>
        <v>G28900</v>
      </c>
      <c r="AP487" s="487">
        <f>+VLOOKUP($AJ487,Data_Validation!$A:$D,3,0)</f>
        <v>0</v>
      </c>
      <c r="AQ487" s="487">
        <f>+VLOOKUP($AJ487,Data_Validation!$A:$D,4,0)</f>
        <v>0</v>
      </c>
      <c r="AR487" s="487" t="s">
        <v>299</v>
      </c>
      <c r="AS487" s="487">
        <f>+VLOOKUP($AJ487,Data_Validation!$A:$E,5,0)</f>
        <v>0</v>
      </c>
      <c r="AT487" s="904" t="str">
        <f t="shared" si="45"/>
        <v>G28900</v>
      </c>
      <c r="AU487" s="488" t="str">
        <f t="shared" si="46"/>
        <v>ASPHALTE</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2034</v>
      </c>
      <c r="D488" s="706" t="s">
        <v>2035</v>
      </c>
      <c r="E488" s="706" t="s">
        <v>333</v>
      </c>
      <c r="F488" s="706" t="s">
        <v>1136</v>
      </c>
      <c r="G488" s="706">
        <v>12974</v>
      </c>
      <c r="H488" s="706">
        <v>12974</v>
      </c>
      <c r="I488" s="706">
        <v>12974</v>
      </c>
      <c r="J488" s="706">
        <v>12974</v>
      </c>
      <c r="K488" s="706">
        <v>12974</v>
      </c>
      <c r="L488" s="706">
        <v>12974</v>
      </c>
      <c r="M488" s="706">
        <v>12974</v>
      </c>
      <c r="N488" s="706">
        <v>12974</v>
      </c>
      <c r="O488" s="706">
        <v>12974</v>
      </c>
      <c r="P488" s="706">
        <v>12974</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G29300</v>
      </c>
      <c r="AK488" s="905" t="str">
        <f t="shared" si="49"/>
        <v>BILLETS &amp; C/R ADMINIS.</v>
      </c>
      <c r="AL488" s="905">
        <f>IFERROR(INDEX(G488:R488,1,MATCH(Parametres!$B$3,G$1:R$1,0)-1)*IF(OR(F488="L",F488="S",F488="I"),-1,1),"")</f>
        <v>12974</v>
      </c>
      <c r="AM488" s="905">
        <f t="shared" si="44"/>
        <v>0</v>
      </c>
      <c r="AN488" s="905">
        <f>INDEX(G488:R488,1,MATCH(Parametres!$B$3,G$1:R$1,0))*IF(OR(F488="L",F488="S",F488="I"),-1,1)</f>
        <v>12974</v>
      </c>
      <c r="AO488" s="487" t="str">
        <f>+VLOOKUP($AJ488,Data_Validation!$A:$D,1,0)</f>
        <v>G29300</v>
      </c>
      <c r="AP488" s="487" t="str">
        <f>+VLOOKUP($AJ488,Data_Validation!$A:$D,3,0)</f>
        <v>Bilan</v>
      </c>
      <c r="AQ488" s="487" t="str">
        <f>+VLOOKUP($AJ488,Data_Validation!$A:$D,4,0)</f>
        <v>Avances à Recevoir Long Terme</v>
      </c>
      <c r="AR488" s="487" t="s">
        <v>299</v>
      </c>
      <c r="AS488" s="487">
        <f>+VLOOKUP($AJ488,Data_Validation!$A:$E,5,0)</f>
        <v>0</v>
      </c>
      <c r="AT488" s="904" t="str">
        <f t="shared" si="45"/>
        <v>G29300</v>
      </c>
      <c r="AU488" s="488" t="str">
        <f t="shared" si="46"/>
        <v>BILLETS &amp; C/R ADMINIS.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2036</v>
      </c>
      <c r="D489" s="706" t="s">
        <v>2037</v>
      </c>
      <c r="E489" s="706" t="s">
        <v>333</v>
      </c>
      <c r="F489" s="706" t="s">
        <v>1136</v>
      </c>
      <c r="G489" s="706">
        <v>2000000</v>
      </c>
      <c r="H489" s="706">
        <v>0</v>
      </c>
      <c r="I489" s="706">
        <v>0</v>
      </c>
      <c r="J489" s="706">
        <v>1000000</v>
      </c>
      <c r="K489" s="706">
        <v>1000000</v>
      </c>
      <c r="L489" s="706">
        <v>500000</v>
      </c>
      <c r="M489" s="706">
        <v>0</v>
      </c>
      <c r="N489" s="706">
        <v>0</v>
      </c>
      <c r="O489" s="706">
        <v>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G29400</v>
      </c>
      <c r="AK489" s="905" t="str">
        <f t="shared" si="49"/>
        <v>EPARGNE BULK</v>
      </c>
      <c r="AL489" s="905">
        <f>IFERROR(INDEX(G489:R489,1,MATCH(Parametres!$B$3,G$1:R$1,0)-1)*IF(OR(F489="L",F489="S",F489="I"),-1,1),"")</f>
        <v>0</v>
      </c>
      <c r="AM489" s="905">
        <f t="shared" si="44"/>
        <v>0</v>
      </c>
      <c r="AN489" s="905">
        <f>INDEX(G489:R489,1,MATCH(Parametres!$B$3,G$1:R$1,0))*IF(OR(F489="L",F489="S",F489="I"),-1,1)</f>
        <v>0</v>
      </c>
      <c r="AO489" s="487" t="str">
        <f>+VLOOKUP($AJ489,Data_Validation!$A:$D,1,0)</f>
        <v>G29400</v>
      </c>
      <c r="AP489" s="487" t="str">
        <f>+VLOOKUP($AJ489,Data_Validation!$A:$D,3,0)</f>
        <v>Bilan</v>
      </c>
      <c r="AQ489" s="487" t="str">
        <f>+VLOOKUP($AJ489,Data_Validation!$A:$D,4,0)</f>
        <v>Encaisse</v>
      </c>
      <c r="AR489" s="487" t="s">
        <v>299</v>
      </c>
      <c r="AS489" s="487">
        <f>+VLOOKUP($AJ489,Data_Validation!$A:$E,5,0)</f>
        <v>0</v>
      </c>
      <c r="AT489" s="904" t="str">
        <f t="shared" si="45"/>
        <v>G29400</v>
      </c>
      <c r="AU489" s="488" t="str">
        <f t="shared" si="46"/>
        <v>EPARGNE BULK</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2038</v>
      </c>
      <c r="D490" s="706" t="s">
        <v>2039</v>
      </c>
      <c r="E490" s="706" t="s">
        <v>333</v>
      </c>
      <c r="F490" s="706" t="s">
        <v>1136</v>
      </c>
      <c r="G490" s="706">
        <v>2000</v>
      </c>
      <c r="H490" s="706">
        <v>2000</v>
      </c>
      <c r="I490" s="706">
        <v>2000</v>
      </c>
      <c r="J490" s="706">
        <v>2000</v>
      </c>
      <c r="K490" s="706">
        <v>2000</v>
      </c>
      <c r="L490" s="706">
        <v>2000</v>
      </c>
      <c r="M490" s="706">
        <v>2000</v>
      </c>
      <c r="N490" s="706">
        <v>2000</v>
      </c>
      <c r="O490" s="706">
        <v>2000</v>
      </c>
      <c r="P490" s="706">
        <v>2000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G29600</v>
      </c>
      <c r="AK490" s="905" t="str">
        <f t="shared" si="49"/>
        <v>AUTRES PLACEMENTS &amp; BIENS</v>
      </c>
      <c r="AL490" s="905">
        <f>IFERROR(INDEX(G490:R490,1,MATCH(Parametres!$B$3,G$1:R$1,0)-1)*IF(OR(F490="L",F490="S",F490="I"),-1,1),"")</f>
        <v>2000</v>
      </c>
      <c r="AM490" s="905">
        <f t="shared" si="44"/>
        <v>0</v>
      </c>
      <c r="AN490" s="905">
        <f>INDEX(G490:R490,1,MATCH(Parametres!$B$3,G$1:R$1,0))*IF(OR(F490="L",F490="S",F490="I"),-1,1)</f>
        <v>2000</v>
      </c>
      <c r="AO490" s="487" t="str">
        <f>+VLOOKUP($AJ490,Data_Validation!$A:$D,1,0)</f>
        <v>G29600</v>
      </c>
      <c r="AP490" s="487" t="str">
        <f>+VLOOKUP($AJ490,Data_Validation!$A:$D,3,0)</f>
        <v>Bilan</v>
      </c>
      <c r="AQ490" s="487" t="str">
        <f>+VLOOKUP($AJ490,Data_Validation!$A:$D,4,0)</f>
        <v>Avances à Recevoir Long Terme</v>
      </c>
      <c r="AR490" s="487" t="s">
        <v>299</v>
      </c>
      <c r="AS490" s="487">
        <f>+VLOOKUP($AJ490,Data_Validation!$A:$E,5,0)</f>
        <v>0</v>
      </c>
      <c r="AT490" s="904" t="str">
        <f t="shared" si="45"/>
        <v>G29600</v>
      </c>
      <c r="AU490" s="488" t="str">
        <f t="shared" si="46"/>
        <v>AUTRES PLACEMENTS &amp; BIENS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hidden="1" customHeight="1">
      <c r="A491" s="706" t="s">
        <v>1148</v>
      </c>
      <c r="B491" s="706">
        <v>2026</v>
      </c>
      <c r="C491" s="706" t="s">
        <v>2040</v>
      </c>
      <c r="D491" s="706" t="s">
        <v>2041</v>
      </c>
      <c r="E491" s="706" t="s">
        <v>333</v>
      </c>
      <c r="F491" s="706" t="s">
        <v>1136</v>
      </c>
      <c r="G491" s="706">
        <v>-66.849999999999994</v>
      </c>
      <c r="H491" s="706">
        <v>-66.849999999999994</v>
      </c>
      <c r="I491" s="706">
        <v>-66.849999999999994</v>
      </c>
      <c r="J491" s="706">
        <v>-66.849999999999994</v>
      </c>
      <c r="K491" s="706">
        <v>-66.849999999999994</v>
      </c>
      <c r="L491" s="706">
        <v>-66.849999999999994</v>
      </c>
      <c r="M491" s="706">
        <v>-66.849999999999994</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G29900</v>
      </c>
      <c r="AK491" s="905" t="str">
        <f t="shared" si="49"/>
        <v>INTER-DIVISION</v>
      </c>
      <c r="AL491" s="905">
        <f>IFERROR(INDEX(G491:R491,1,MATCH(Parametres!$B$3,G$1:R$1,0)-1)*IF(OR(F491="L",F491="S",F491="I"),-1,1),"")</f>
        <v>0</v>
      </c>
      <c r="AM491" s="905">
        <f t="shared" si="44"/>
        <v>0</v>
      </c>
      <c r="AN491" s="905">
        <f>INDEX(G491:R491,1,MATCH(Parametres!$B$3,G$1:R$1,0))*IF(OR(F491="L",F491="S",F491="I"),-1,1)</f>
        <v>0</v>
      </c>
      <c r="AO491" s="487" t="str">
        <f>+VLOOKUP($AJ491,Data_Validation!$A:$D,1,0)</f>
        <v>G29900</v>
      </c>
      <c r="AP491" s="487" t="str">
        <f>+VLOOKUP($AJ491,Data_Validation!$A:$D,3,0)</f>
        <v>Bilan</v>
      </c>
      <c r="AQ491" s="487" t="str">
        <f>+VLOOKUP($AJ491,Data_Validation!$A:$D,4,0)</f>
        <v>Avances à Recevoir Long Terme</v>
      </c>
      <c r="AR491" s="487" t="s">
        <v>299</v>
      </c>
      <c r="AS491" s="487">
        <f>+VLOOKUP($AJ491,Data_Validation!$A:$E,5,0)</f>
        <v>0</v>
      </c>
      <c r="AT491" s="904" t="str">
        <f t="shared" si="45"/>
        <v>G29900</v>
      </c>
      <c r="AU491" s="488" t="str">
        <f t="shared" si="46"/>
        <v>INTER-DIVISION</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hidden="1" customHeight="1">
      <c r="A492" s="706" t="s">
        <v>1148</v>
      </c>
      <c r="B492" s="706">
        <v>2026</v>
      </c>
      <c r="C492" s="706" t="s">
        <v>2042</v>
      </c>
      <c r="D492" s="706" t="s">
        <v>2043</v>
      </c>
      <c r="E492" s="706" t="s">
        <v>1146</v>
      </c>
      <c r="F492" s="706" t="s">
        <v>1135</v>
      </c>
      <c r="G492" s="706">
        <v>546497.76</v>
      </c>
      <c r="H492" s="706">
        <v>562323.41</v>
      </c>
      <c r="I492" s="706">
        <v>1708430.46</v>
      </c>
      <c r="J492" s="706">
        <v>4110330.37</v>
      </c>
      <c r="K492" s="706">
        <v>2543636.4300000002</v>
      </c>
      <c r="L492" s="706">
        <v>2478319.29</v>
      </c>
      <c r="M492" s="706">
        <v>2226444.64</v>
      </c>
      <c r="N492" s="706">
        <v>779504.96</v>
      </c>
      <c r="O492" s="706">
        <v>1336330.19</v>
      </c>
      <c r="P492" s="706">
        <v>412671.06</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G30000</v>
      </c>
      <c r="AK492" s="905" t="str">
        <f t="shared" si="49"/>
        <v>C/P FOURNISSEURS</v>
      </c>
      <c r="AL492" s="905">
        <f>IFERROR(INDEX(G492:R492,1,MATCH(Parametres!$B$3,G$1:R$1,0)-1)*IF(OR(F492="L",F492="S",F492="I"),-1,1),"")</f>
        <v>-779504.96</v>
      </c>
      <c r="AM492" s="905">
        <f t="shared" si="44"/>
        <v>-556825.23</v>
      </c>
      <c r="AN492" s="905">
        <f>INDEX(G492:R492,1,MATCH(Parametres!$B$3,G$1:R$1,0))*IF(OR(F492="L",F492="S",F492="I"),-1,1)</f>
        <v>-1336330.19</v>
      </c>
      <c r="AO492" s="487" t="str">
        <f>+VLOOKUP($AJ492,Data_Validation!$A:$D,1,0)</f>
        <v>G30000</v>
      </c>
      <c r="AP492" s="487" t="str">
        <f>+VLOOKUP($AJ492,Data_Validation!$A:$D,3,0)</f>
        <v>Bilan</v>
      </c>
      <c r="AQ492" s="487" t="str">
        <f>+VLOOKUP($AJ492,Data_Validation!$A:$D,4,0)</f>
        <v>Comptes à Payer Fournisseurs</v>
      </c>
      <c r="AR492" s="487" t="s">
        <v>299</v>
      </c>
      <c r="AS492" s="487">
        <f>+VLOOKUP($AJ492,Data_Validation!$A:$E,5,0)</f>
        <v>0</v>
      </c>
      <c r="AT492" s="904" t="str">
        <f t="shared" si="45"/>
        <v>G30000</v>
      </c>
      <c r="AU492" s="488" t="str">
        <f t="shared" si="46"/>
        <v>C/P FOURNISSEURS</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hidden="1" customHeight="1">
      <c r="A493" s="706" t="s">
        <v>1148</v>
      </c>
      <c r="B493" s="706">
        <v>2026</v>
      </c>
      <c r="C493" s="706" t="s">
        <v>2044</v>
      </c>
      <c r="D493" s="706" t="s">
        <v>3458</v>
      </c>
      <c r="E493" s="706" t="s">
        <v>1146</v>
      </c>
      <c r="F493" s="706" t="s">
        <v>1135</v>
      </c>
      <c r="G493" s="706">
        <v>0</v>
      </c>
      <c r="H493" s="706">
        <v>0</v>
      </c>
      <c r="I493" s="706">
        <v>0</v>
      </c>
      <c r="J493" s="706">
        <v>0</v>
      </c>
      <c r="K493" s="706">
        <v>0</v>
      </c>
      <c r="L493" s="706">
        <v>0</v>
      </c>
      <c r="M493" s="706">
        <v>0</v>
      </c>
      <c r="N493" s="706">
        <v>0</v>
      </c>
      <c r="O493" s="706">
        <v>0</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G30001</v>
      </c>
      <c r="AK493" s="905" t="str">
        <f t="shared" si="49"/>
        <v>DIVERS A PAYER</v>
      </c>
      <c r="AL493" s="905">
        <f>IFERROR(INDEX(G493:R493,1,MATCH(Parametres!$B$3,G$1:R$1,0)-1)*IF(OR(F493="L",F493="S",F493="I"),-1,1),"")</f>
        <v>0</v>
      </c>
      <c r="AM493" s="905">
        <f t="shared" si="44"/>
        <v>0</v>
      </c>
      <c r="AN493" s="905">
        <f>INDEX(G493:R493,1,MATCH(Parametres!$B$3,G$1:R$1,0))*IF(OR(F493="L",F493="S",F493="I"),-1,1)</f>
        <v>0</v>
      </c>
      <c r="AO493" s="487" t="e">
        <f>+VLOOKUP($AJ493,Data_Validation!$A:$D,1,0)</f>
        <v>#N/A</v>
      </c>
      <c r="AP493" s="487" t="e">
        <f>+VLOOKUP($AJ493,Data_Validation!$A:$D,3,0)</f>
        <v>#N/A</v>
      </c>
      <c r="AQ493" s="487" t="e">
        <f>+VLOOKUP($AJ493,Data_Validation!$A:$D,4,0)</f>
        <v>#N/A</v>
      </c>
      <c r="AR493" s="487" t="s">
        <v>299</v>
      </c>
      <c r="AS493" s="487" t="e">
        <f>+VLOOKUP($AJ493,Data_Validation!$A:$E,5,0)</f>
        <v>#N/A</v>
      </c>
      <c r="AT493" s="904" t="str">
        <f t="shared" si="45"/>
        <v>G30001</v>
      </c>
      <c r="AU493" s="488" t="str">
        <f t="shared" si="46"/>
        <v>DIVERS A PAYER</v>
      </c>
      <c r="AV493" s="899">
        <f>IFERROR(INDEX(V493:AG493,1,MATCH(Parametres!$B$3,V$1:AG$1,0)-1)*IF(OR(C493="L",C493="S",C493="I"),-1,1),"")</f>
        <v>0</v>
      </c>
      <c r="AW493" s="899">
        <f t="shared" si="47"/>
        <v>0</v>
      </c>
      <c r="AX493" s="899">
        <f>INDEX(V493:AG493,1,MATCH(Parametres!$B$3,V$1:AG$1,0))*IF(OR(C493="L",C493="S",C493="I"),-1,1)</f>
        <v>0</v>
      </c>
      <c r="AY493" s="487" t="s">
        <v>337</v>
      </c>
      <c r="AZ493" s="487" t="e">
        <f>+VLOOKUP($AJ493,Data_Validation!$A:$E,5,0)</f>
        <v>#N/A</v>
      </c>
    </row>
    <row r="494" spans="1:52" ht="15" hidden="1" customHeight="1">
      <c r="A494" s="706" t="s">
        <v>1148</v>
      </c>
      <c r="B494" s="706">
        <v>2026</v>
      </c>
      <c r="C494" s="706" t="s">
        <v>2046</v>
      </c>
      <c r="D494" s="706" t="s">
        <v>2047</v>
      </c>
      <c r="E494" s="706" t="s">
        <v>1139</v>
      </c>
      <c r="F494" s="706" t="s">
        <v>1135</v>
      </c>
      <c r="G494" s="706">
        <v>0</v>
      </c>
      <c r="H494" s="706">
        <v>0</v>
      </c>
      <c r="I494" s="706">
        <v>195</v>
      </c>
      <c r="J494" s="706">
        <v>195</v>
      </c>
      <c r="K494" s="706">
        <v>195</v>
      </c>
      <c r="L494" s="706">
        <v>195</v>
      </c>
      <c r="M494" s="706">
        <v>195</v>
      </c>
      <c r="N494" s="706">
        <v>195</v>
      </c>
      <c r="O494" s="706">
        <v>195</v>
      </c>
      <c r="P494" s="706">
        <v>195</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G30010</v>
      </c>
      <c r="AK494" s="905" t="str">
        <f t="shared" si="49"/>
        <v>CLAIMS G.M. DU AUX CLIENT</v>
      </c>
      <c r="AL494" s="905">
        <f>IFERROR(INDEX(G494:R494,1,MATCH(Parametres!$B$3,G$1:R$1,0)-1)*IF(OR(F494="L",F494="S",F494="I"),-1,1),"")</f>
        <v>-195</v>
      </c>
      <c r="AM494" s="905">
        <f t="shared" si="44"/>
        <v>0</v>
      </c>
      <c r="AN494" s="905">
        <f>INDEX(G494:R494,1,MATCH(Parametres!$B$3,G$1:R$1,0))*IF(OR(F494="L",F494="S",F494="I"),-1,1)</f>
        <v>-195</v>
      </c>
      <c r="AO494" s="487" t="str">
        <f>+VLOOKUP($AJ494,Data_Validation!$A:$D,1,0)</f>
        <v>G30010</v>
      </c>
      <c r="AP494" s="487" t="str">
        <f>+VLOOKUP($AJ494,Data_Validation!$A:$D,3,0)</f>
        <v>Bilan</v>
      </c>
      <c r="AQ494" s="487" t="str">
        <f>+VLOOKUP($AJ494,Data_Validation!$A:$D,4,0)</f>
        <v>Autres Comptes à Payer</v>
      </c>
      <c r="AR494" s="487" t="s">
        <v>299</v>
      </c>
      <c r="AS494" s="487">
        <f>+VLOOKUP($AJ494,Data_Validation!$A:$E,5,0)</f>
        <v>0</v>
      </c>
      <c r="AT494" s="904" t="str">
        <f t="shared" si="45"/>
        <v>G30010</v>
      </c>
      <c r="AU494" s="488" t="str">
        <f t="shared" si="46"/>
        <v>CLAIMS G.M. DU AUX CLIENT</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2048</v>
      </c>
      <c r="D495" s="706" t="s">
        <v>2049</v>
      </c>
      <c r="E495" s="706" t="s">
        <v>1139</v>
      </c>
      <c r="F495" s="706" t="s">
        <v>1135</v>
      </c>
      <c r="G495" s="706">
        <v>41747.69</v>
      </c>
      <c r="H495" s="706">
        <v>14473.42</v>
      </c>
      <c r="I495" s="706">
        <v>16879</v>
      </c>
      <c r="J495" s="706">
        <v>-836.15</v>
      </c>
      <c r="K495" s="706">
        <v>12556.56</v>
      </c>
      <c r="L495" s="706">
        <v>24569</v>
      </c>
      <c r="M495" s="706">
        <v>9647.8700000000008</v>
      </c>
      <c r="N495" s="706">
        <v>6154.77</v>
      </c>
      <c r="O495" s="706">
        <v>15339.07</v>
      </c>
      <c r="P495" s="706">
        <v>-2704.73</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G30020</v>
      </c>
      <c r="AK495" s="905" t="str">
        <f t="shared" si="49"/>
        <v>PLAN PROTECTION A PAYER</v>
      </c>
      <c r="AL495" s="905">
        <f>IFERROR(INDEX(G495:R495,1,MATCH(Parametres!$B$3,G$1:R$1,0)-1)*IF(OR(F495="L",F495="S",F495="I"),-1,1),"")</f>
        <v>-6154.77</v>
      </c>
      <c r="AM495" s="905">
        <f t="shared" si="44"/>
        <v>-9184.2999999999993</v>
      </c>
      <c r="AN495" s="905">
        <f>INDEX(G495:R495,1,MATCH(Parametres!$B$3,G$1:R$1,0))*IF(OR(F495="L",F495="S",F495="I"),-1,1)</f>
        <v>-15339.07</v>
      </c>
      <c r="AO495" s="487" t="str">
        <f>+VLOOKUP($AJ495,Data_Validation!$A:$D,1,0)</f>
        <v>G30020</v>
      </c>
      <c r="AP495" s="487" t="str">
        <f>+VLOOKUP($AJ495,Data_Validation!$A:$D,3,0)</f>
        <v>Bilan</v>
      </c>
      <c r="AQ495" s="487" t="str">
        <f>+VLOOKUP($AJ495,Data_Validation!$A:$D,4,0)</f>
        <v>Autres Comptes à Payer</v>
      </c>
      <c r="AR495" s="487" t="s">
        <v>299</v>
      </c>
      <c r="AS495" s="487">
        <f>+VLOOKUP($AJ495,Data_Validation!$A:$E,5,0)</f>
        <v>0</v>
      </c>
      <c r="AT495" s="904" t="str">
        <f t="shared" si="45"/>
        <v>G30020</v>
      </c>
      <c r="AU495" s="488" t="str">
        <f t="shared" si="46"/>
        <v>PLAN PROTECTION A PAYER</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hidden="1" customHeight="1">
      <c r="A496" s="706" t="s">
        <v>1148</v>
      </c>
      <c r="B496" s="706">
        <v>2026</v>
      </c>
      <c r="C496" s="706" t="s">
        <v>3459</v>
      </c>
      <c r="D496" s="706" t="s">
        <v>1808</v>
      </c>
      <c r="E496" s="706" t="s">
        <v>1142</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G30022</v>
      </c>
      <c r="AK496" s="905" t="str">
        <f t="shared" si="49"/>
        <v>DEDUCTIBLE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G30022</v>
      </c>
      <c r="AU496" s="488" t="str">
        <f t="shared" si="46"/>
        <v>DEDUCTIBLE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hidden="1" customHeight="1">
      <c r="A497" s="706" t="s">
        <v>1148</v>
      </c>
      <c r="B497" s="706">
        <v>2026</v>
      </c>
      <c r="C497" s="706" t="s">
        <v>3414</v>
      </c>
      <c r="D497" s="706" t="s">
        <v>3415</v>
      </c>
      <c r="E497" s="706" t="s">
        <v>1139</v>
      </c>
      <c r="F497" s="706" t="s">
        <v>1135</v>
      </c>
      <c r="G497" s="706">
        <v>0</v>
      </c>
      <c r="H497" s="706">
        <v>0</v>
      </c>
      <c r="I497" s="706">
        <v>0</v>
      </c>
      <c r="J497" s="706">
        <v>0</v>
      </c>
      <c r="K497" s="706">
        <v>0</v>
      </c>
      <c r="L497" s="706">
        <v>0</v>
      </c>
      <c r="M497" s="706">
        <v>1467.1</v>
      </c>
      <c r="N497" s="706">
        <v>664.1</v>
      </c>
      <c r="O497" s="706">
        <v>4821.1000000000004</v>
      </c>
      <c r="P497" s="706">
        <v>6368.1</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G30025</v>
      </c>
      <c r="AK497" s="905" t="str">
        <f t="shared" si="49"/>
        <v>PRODUITS F&amp;I - SERVICE</v>
      </c>
      <c r="AL497" s="905">
        <f>IFERROR(INDEX(G497:R497,1,MATCH(Parametres!$B$3,G$1:R$1,0)-1)*IF(OR(F497="L",F497="S",F497="I"),-1,1),"")</f>
        <v>-664.1</v>
      </c>
      <c r="AM497" s="905">
        <f t="shared" si="44"/>
        <v>-4157</v>
      </c>
      <c r="AN497" s="905">
        <f>INDEX(G497:R497,1,MATCH(Parametres!$B$3,G$1:R$1,0))*IF(OR(F497="L",F497="S",F497="I"),-1,1)</f>
        <v>-4821.1000000000004</v>
      </c>
      <c r="AO497" s="487" t="str">
        <f>+VLOOKUP($AJ497,Data_Validation!$A:$D,1,0)</f>
        <v>G30025</v>
      </c>
      <c r="AP497" s="487" t="str">
        <f>+VLOOKUP($AJ497,Data_Validation!$A:$D,3,0)</f>
        <v>Bilan</v>
      </c>
      <c r="AQ497" s="487" t="str">
        <f>+VLOOKUP($AJ497,Data_Validation!$A:$D,4,0)</f>
        <v>Autres Comptes à Payer</v>
      </c>
      <c r="AR497" s="487" t="s">
        <v>299</v>
      </c>
      <c r="AS497" s="487">
        <f>+VLOOKUP($AJ497,Data_Validation!$A:$E,5,0)</f>
        <v>0</v>
      </c>
      <c r="AT497" s="904" t="str">
        <f t="shared" si="45"/>
        <v>G30025</v>
      </c>
      <c r="AU497" s="488" t="str">
        <f t="shared" si="46"/>
        <v>PRODUITS F&amp;I - SERVICE</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hidden="1" customHeight="1">
      <c r="A498" s="706" t="s">
        <v>1148</v>
      </c>
      <c r="B498" s="706">
        <v>2026</v>
      </c>
      <c r="C498" s="706" t="s">
        <v>2050</v>
      </c>
      <c r="D498" s="706" t="s">
        <v>2051</v>
      </c>
      <c r="E498" s="706" t="s">
        <v>333</v>
      </c>
      <c r="F498" s="706" t="s">
        <v>1135</v>
      </c>
      <c r="G498" s="706">
        <v>1633.5</v>
      </c>
      <c r="H498" s="706">
        <v>2146.5</v>
      </c>
      <c r="I498" s="706">
        <v>1795.5</v>
      </c>
      <c r="J498" s="706">
        <v>2093</v>
      </c>
      <c r="K498" s="706">
        <v>2628</v>
      </c>
      <c r="L498" s="706">
        <v>1629</v>
      </c>
      <c r="M498" s="706">
        <v>1467</v>
      </c>
      <c r="N498" s="706">
        <v>1624.5</v>
      </c>
      <c r="O498" s="706">
        <v>2542.5</v>
      </c>
      <c r="P498" s="706">
        <v>2907</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G30030</v>
      </c>
      <c r="AK498" s="905" t="str">
        <f t="shared" si="49"/>
        <v>DROIT SPECIF. SUR PNEUS</v>
      </c>
      <c r="AL498" s="905">
        <f>IFERROR(INDEX(G498:R498,1,MATCH(Parametres!$B$3,G$1:R$1,0)-1)*IF(OR(F498="L",F498="S",F498="I"),-1,1),"")</f>
        <v>-1624.5</v>
      </c>
      <c r="AM498" s="905">
        <f t="shared" si="44"/>
        <v>-918</v>
      </c>
      <c r="AN498" s="905">
        <f>INDEX(G498:R498,1,MATCH(Parametres!$B$3,G$1:R$1,0))*IF(OR(F498="L",F498="S",F498="I"),-1,1)</f>
        <v>-2542.5</v>
      </c>
      <c r="AO498" s="487" t="str">
        <f>+VLOOKUP($AJ498,Data_Validation!$A:$D,1,0)</f>
        <v>G30030</v>
      </c>
      <c r="AP498" s="487" t="str">
        <f>+VLOOKUP($AJ498,Data_Validation!$A:$D,3,0)</f>
        <v>Bilan</v>
      </c>
      <c r="AQ498" s="487" t="str">
        <f>+VLOOKUP($AJ498,Data_Validation!$A:$D,4,0)</f>
        <v>Taxes de Vente à Payer</v>
      </c>
      <c r="AR498" s="487" t="s">
        <v>299</v>
      </c>
      <c r="AS498" s="487">
        <f>+VLOOKUP($AJ498,Data_Validation!$A:$E,5,0)</f>
        <v>0</v>
      </c>
      <c r="AT498" s="904" t="str">
        <f t="shared" si="45"/>
        <v>G30030</v>
      </c>
      <c r="AU498" s="488" t="str">
        <f t="shared" si="46"/>
        <v>DROIT SPECIF. SUR PNEUS</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hidden="1" customHeight="1">
      <c r="A499" s="706" t="s">
        <v>1148</v>
      </c>
      <c r="B499" s="706">
        <v>2026</v>
      </c>
      <c r="C499" s="706" t="s">
        <v>3321</v>
      </c>
      <c r="D499" s="706" t="s">
        <v>3322</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G30035</v>
      </c>
      <c r="AK499" s="905" t="str">
        <f t="shared" si="49"/>
        <v>AP VEH BMW SHERBROOKE</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G30035</v>
      </c>
      <c r="AU499" s="488" t="str">
        <f t="shared" si="46"/>
        <v>AP VEH BMW SHERBROOKE</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hidden="1" customHeight="1">
      <c r="A500" s="706" t="s">
        <v>1148</v>
      </c>
      <c r="B500" s="706">
        <v>2026</v>
      </c>
      <c r="C500" s="706" t="s">
        <v>2052</v>
      </c>
      <c r="D500" s="706" t="s">
        <v>2053</v>
      </c>
      <c r="E500" s="706" t="s">
        <v>333</v>
      </c>
      <c r="F500" s="706" t="s">
        <v>1135</v>
      </c>
      <c r="G500" s="706">
        <v>44500</v>
      </c>
      <c r="H500" s="706">
        <v>44500</v>
      </c>
      <c r="I500" s="706">
        <v>44500</v>
      </c>
      <c r="J500" s="706">
        <v>44500</v>
      </c>
      <c r="K500" s="706">
        <v>44500</v>
      </c>
      <c r="L500" s="706">
        <v>44500</v>
      </c>
      <c r="M500" s="706">
        <v>-55500</v>
      </c>
      <c r="N500" s="706">
        <v>-55500</v>
      </c>
      <c r="O500" s="706">
        <v>-55500</v>
      </c>
      <c r="P500" s="706">
        <v>-55500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G30040</v>
      </c>
      <c r="AK500" s="905" t="str">
        <f t="shared" si="49"/>
        <v>AVANCE REMARK. AUTO CANAD</v>
      </c>
      <c r="AL500" s="905">
        <f>IFERROR(INDEX(G500:R500,1,MATCH(Parametres!$B$3,G$1:R$1,0)-1)*IF(OR(F500="L",F500="S",F500="I"),-1,1),"")</f>
        <v>55500</v>
      </c>
      <c r="AM500" s="905">
        <f t="shared" si="44"/>
        <v>0</v>
      </c>
      <c r="AN500" s="905">
        <f>INDEX(G500:R500,1,MATCH(Parametres!$B$3,G$1:R$1,0))*IF(OR(F500="L",F500="S",F500="I"),-1,1)</f>
        <v>55500</v>
      </c>
      <c r="AO500" s="487" t="str">
        <f>+VLOOKUP($AJ500,Data_Validation!$A:$D,1,0)</f>
        <v>G30040</v>
      </c>
      <c r="AP500" s="487" t="str">
        <f>+VLOOKUP($AJ500,Data_Validation!$A:$D,3,0)</f>
        <v>Bilan</v>
      </c>
      <c r="AQ500" s="487" t="str">
        <f>+VLOOKUP($AJ500,Data_Validation!$A:$D,4,0)</f>
        <v>Payables Intercos</v>
      </c>
      <c r="AR500" s="487" t="s">
        <v>299</v>
      </c>
      <c r="AS500" s="487">
        <f>+VLOOKUP($AJ500,Data_Validation!$A:$E,5,0)</f>
        <v>0</v>
      </c>
      <c r="AT500" s="904" t="str">
        <f t="shared" si="45"/>
        <v>G30040</v>
      </c>
      <c r="AU500" s="488" t="str">
        <f t="shared" si="46"/>
        <v>AVANCE REMARK. AUTO CANAD</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hidden="1" customHeight="1">
      <c r="A501" s="706" t="s">
        <v>1148</v>
      </c>
      <c r="B501" s="706">
        <v>2026</v>
      </c>
      <c r="C501" s="706" t="s">
        <v>3323</v>
      </c>
      <c r="D501" s="706" t="s">
        <v>3324</v>
      </c>
      <c r="E501" s="706" t="s">
        <v>336</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G30041</v>
      </c>
      <c r="AK501" s="905" t="str">
        <f t="shared" si="49"/>
        <v>AP VEH LOCATION LMB</v>
      </c>
      <c r="AL501" s="905">
        <f>IFERROR(INDEX(G501:R501,1,MATCH(Parametres!$B$3,G$1:R$1,0)-1)*IF(OR(F501="L",F501="S",F501="I"),-1,1),"")</f>
        <v>0</v>
      </c>
      <c r="AM501" s="905">
        <f t="shared" si="44"/>
        <v>0</v>
      </c>
      <c r="AN501" s="905">
        <f>INDEX(G501:R501,1,MATCH(Parametres!$B$3,G$1:R$1,0))*IF(OR(F501="L",F501="S",F501="I"),-1,1)</f>
        <v>0</v>
      </c>
      <c r="AO501" s="487" t="e">
        <f>+VLOOKUP($AJ501,Data_Validation!$A:$D,1,0)</f>
        <v>#N/A</v>
      </c>
      <c r="AP501" s="487" t="e">
        <f>+VLOOKUP($AJ501,Data_Validation!$A:$D,3,0)</f>
        <v>#N/A</v>
      </c>
      <c r="AQ501" s="487" t="e">
        <f>+VLOOKUP($AJ501,Data_Validation!$A:$D,4,0)</f>
        <v>#N/A</v>
      </c>
      <c r="AR501" s="487" t="s">
        <v>299</v>
      </c>
      <c r="AS501" s="487" t="e">
        <f>+VLOOKUP($AJ501,Data_Validation!$A:$E,5,0)</f>
        <v>#N/A</v>
      </c>
      <c r="AT501" s="904" t="str">
        <f t="shared" si="45"/>
        <v>G30041</v>
      </c>
      <c r="AU501" s="488" t="str">
        <f t="shared" si="46"/>
        <v>AP VEH LOCATION LMB</v>
      </c>
      <c r="AV501" s="899">
        <f>IFERROR(INDEX(V501:AG501,1,MATCH(Parametres!$B$3,V$1:AG$1,0)-1)*IF(OR(C501="L",C501="S",C501="I"),-1,1),"")</f>
        <v>0</v>
      </c>
      <c r="AW501" s="899">
        <f t="shared" si="47"/>
        <v>0</v>
      </c>
      <c r="AX501" s="899">
        <f>INDEX(V501:AG501,1,MATCH(Parametres!$B$3,V$1:AG$1,0))*IF(OR(C501="L",C501="S",C501="I"),-1,1)</f>
        <v>0</v>
      </c>
      <c r="AY501" s="487" t="s">
        <v>337</v>
      </c>
      <c r="AZ501" s="487" t="e">
        <f>+VLOOKUP($AJ501,Data_Validation!$A:$E,5,0)</f>
        <v>#N/A</v>
      </c>
    </row>
    <row r="502" spans="1:52" ht="15" hidden="1" customHeight="1">
      <c r="A502" s="706" t="s">
        <v>1148</v>
      </c>
      <c r="B502" s="706">
        <v>2026</v>
      </c>
      <c r="C502" s="706" t="s">
        <v>2054</v>
      </c>
      <c r="D502" s="706" t="s">
        <v>2055</v>
      </c>
      <c r="E502" s="706" t="s">
        <v>333</v>
      </c>
      <c r="F502" s="706" t="s">
        <v>1135</v>
      </c>
      <c r="G502" s="706">
        <v>3562</v>
      </c>
      <c r="H502" s="706">
        <v>3562</v>
      </c>
      <c r="I502" s="706">
        <v>3562</v>
      </c>
      <c r="J502" s="706">
        <v>3562</v>
      </c>
      <c r="K502" s="706">
        <v>3562</v>
      </c>
      <c r="L502" s="706">
        <v>3562</v>
      </c>
      <c r="M502" s="706">
        <v>3562</v>
      </c>
      <c r="N502" s="706">
        <v>3562</v>
      </c>
      <c r="O502" s="706">
        <v>3562</v>
      </c>
      <c r="P502" s="706">
        <v>3562</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G30045</v>
      </c>
      <c r="AK502" s="905" t="str">
        <f t="shared" si="49"/>
        <v>AVANCE 9046-6640 QC INC</v>
      </c>
      <c r="AL502" s="905">
        <f>IFERROR(INDEX(G502:R502,1,MATCH(Parametres!$B$3,G$1:R$1,0)-1)*IF(OR(F502="L",F502="S",F502="I"),-1,1),"")</f>
        <v>-3562</v>
      </c>
      <c r="AM502" s="905">
        <f t="shared" si="44"/>
        <v>0</v>
      </c>
      <c r="AN502" s="905">
        <f>INDEX(G502:R502,1,MATCH(Parametres!$B$3,G$1:R$1,0))*IF(OR(F502="L",F502="S",F502="I"),-1,1)</f>
        <v>-3562</v>
      </c>
      <c r="AO502" s="487" t="str">
        <f>+VLOOKUP($AJ502,Data_Validation!$A:$D,1,0)</f>
        <v>G30045</v>
      </c>
      <c r="AP502" s="487" t="str">
        <f>+VLOOKUP($AJ502,Data_Validation!$A:$D,3,0)</f>
        <v>Bilan</v>
      </c>
      <c r="AQ502" s="487" t="str">
        <f>+VLOOKUP($AJ502,Data_Validation!$A:$D,4,0)</f>
        <v>Payables Intercos</v>
      </c>
      <c r="AR502" s="487" t="s">
        <v>299</v>
      </c>
      <c r="AS502" s="487">
        <f>+VLOOKUP($AJ502,Data_Validation!$A:$E,5,0)</f>
        <v>0</v>
      </c>
      <c r="AT502" s="904" t="str">
        <f t="shared" si="45"/>
        <v>G30045</v>
      </c>
      <c r="AU502" s="488" t="str">
        <f t="shared" si="46"/>
        <v>AVANCE 9046-6640 QC INC</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2056</v>
      </c>
      <c r="D503" s="706" t="s">
        <v>2057</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G30046</v>
      </c>
      <c r="AK503" s="905" t="str">
        <f t="shared" si="49"/>
        <v>AVANCE HYUNDAI ST-CONSTAN</v>
      </c>
      <c r="AL503" s="905">
        <f>IFERROR(INDEX(G503:R503,1,MATCH(Parametres!$B$3,G$1:R$1,0)-1)*IF(OR(F503="L",F503="S",F503="I"),-1,1),"")</f>
        <v>0</v>
      </c>
      <c r="AM503" s="905">
        <f t="shared" si="44"/>
        <v>0</v>
      </c>
      <c r="AN503" s="905">
        <f>INDEX(G503:R503,1,MATCH(Parametres!$B$3,G$1:R$1,0))*IF(OR(F503="L",F503="S",F503="I"),-1,1)</f>
        <v>0</v>
      </c>
      <c r="AO503" s="487" t="str">
        <f>+VLOOKUP($AJ503,Data_Validation!$A:$D,1,0)</f>
        <v>G30046</v>
      </c>
      <c r="AP503" s="487" t="str">
        <f>+VLOOKUP($AJ503,Data_Validation!$A:$D,3,0)</f>
        <v>Bilan</v>
      </c>
      <c r="AQ503" s="487" t="str">
        <f>+VLOOKUP($AJ503,Data_Validation!$A:$D,4,0)</f>
        <v>Payables Intercos</v>
      </c>
      <c r="AR503" s="487" t="s">
        <v>299</v>
      </c>
      <c r="AS503" s="487">
        <f>+VLOOKUP($AJ503,Data_Validation!$A:$E,5,0)</f>
        <v>0</v>
      </c>
      <c r="AT503" s="904" t="str">
        <f t="shared" si="45"/>
        <v>G30046</v>
      </c>
      <c r="AU503" s="488" t="str">
        <f t="shared" si="46"/>
        <v>AVANCE HYUNDAI ST-CONSTAN</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2058</v>
      </c>
      <c r="D504" s="706" t="s">
        <v>2059</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G30047</v>
      </c>
      <c r="AK504" s="905" t="str">
        <f t="shared" si="49"/>
        <v>AVANCE - PAUL LOISELLE</v>
      </c>
      <c r="AL504" s="905">
        <f>IFERROR(INDEX(G504:R504,1,MATCH(Parametres!$B$3,G$1:R$1,0)-1)*IF(OR(F504="L",F504="S",F504="I"),-1,1),"")</f>
        <v>0</v>
      </c>
      <c r="AM504" s="905">
        <f t="shared" si="44"/>
        <v>0</v>
      </c>
      <c r="AN504" s="905">
        <f>INDEX(G504:R504,1,MATCH(Parametres!$B$3,G$1:R$1,0))*IF(OR(F504="L",F504="S",F504="I"),-1,1)</f>
        <v>0</v>
      </c>
      <c r="AO504" s="487" t="str">
        <f>+VLOOKUP($AJ504,Data_Validation!$A:$D,1,0)</f>
        <v>G30047</v>
      </c>
      <c r="AP504" s="487" t="str">
        <f>+VLOOKUP($AJ504,Data_Validation!$A:$D,3,0)</f>
        <v>Bilan</v>
      </c>
      <c r="AQ504" s="487" t="str">
        <f>+VLOOKUP($AJ504,Data_Validation!$A:$D,4,0)</f>
        <v>Payables Intercos</v>
      </c>
      <c r="AR504" s="487" t="s">
        <v>299</v>
      </c>
      <c r="AS504" s="487">
        <f>+VLOOKUP($AJ504,Data_Validation!$A:$E,5,0)</f>
        <v>0</v>
      </c>
      <c r="AT504" s="904" t="str">
        <f t="shared" si="45"/>
        <v>G30047</v>
      </c>
      <c r="AU504" s="488" t="str">
        <f t="shared" si="46"/>
        <v>AVANCE - PAUL LOISELLE</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2060</v>
      </c>
      <c r="D505" s="706" t="s">
        <v>2061</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G30048</v>
      </c>
      <c r="AK505" s="905" t="str">
        <f t="shared" si="49"/>
        <v>AVANCE LUC POIRIER</v>
      </c>
      <c r="AL505" s="905">
        <f>IFERROR(INDEX(G505:R505,1,MATCH(Parametres!$B$3,G$1:R$1,0)-1)*IF(OR(F505="L",F505="S",F505="I"),-1,1),"")</f>
        <v>0</v>
      </c>
      <c r="AM505" s="905">
        <f t="shared" si="44"/>
        <v>0</v>
      </c>
      <c r="AN505" s="905">
        <f>INDEX(G505:R505,1,MATCH(Parametres!$B$3,G$1:R$1,0))*IF(OR(F505="L",F505="S",F505="I"),-1,1)</f>
        <v>0</v>
      </c>
      <c r="AO505" s="487" t="str">
        <f>+VLOOKUP($AJ505,Data_Validation!$A:$D,1,0)</f>
        <v>G30048</v>
      </c>
      <c r="AP505" s="487">
        <f>+VLOOKUP($AJ505,Data_Validation!$A:$D,3,0)</f>
        <v>0</v>
      </c>
      <c r="AQ505" s="487">
        <f>+VLOOKUP($AJ505,Data_Validation!$A:$D,4,0)</f>
        <v>0</v>
      </c>
      <c r="AR505" s="487" t="s">
        <v>299</v>
      </c>
      <c r="AS505" s="487">
        <f>+VLOOKUP($AJ505,Data_Validation!$A:$E,5,0)</f>
        <v>0</v>
      </c>
      <c r="AT505" s="904" t="str">
        <f t="shared" si="45"/>
        <v>G30048</v>
      </c>
      <c r="AU505" s="488" t="str">
        <f t="shared" si="46"/>
        <v>AVANCE LUC POIRIER</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2062</v>
      </c>
      <c r="D506" s="706" t="s">
        <v>2063</v>
      </c>
      <c r="E506" s="706" t="s">
        <v>1141</v>
      </c>
      <c r="F506" s="706" t="s">
        <v>1135</v>
      </c>
      <c r="G506" s="706">
        <v>0</v>
      </c>
      <c r="H506" s="706">
        <v>0</v>
      </c>
      <c r="I506" s="706">
        <v>991</v>
      </c>
      <c r="J506" s="706">
        <v>991</v>
      </c>
      <c r="K506" s="706">
        <v>991</v>
      </c>
      <c r="L506" s="706">
        <v>991</v>
      </c>
      <c r="M506" s="706">
        <v>-93508.06</v>
      </c>
      <c r="N506" s="706">
        <v>-100883.1</v>
      </c>
      <c r="O506" s="706">
        <v>-89700.56</v>
      </c>
      <c r="P506" s="706">
        <v>-89700.56</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G30050</v>
      </c>
      <c r="AK506" s="905" t="str">
        <f t="shared" si="49"/>
        <v>REVENUS DIFFERES</v>
      </c>
      <c r="AL506" s="905">
        <f>IFERROR(INDEX(G506:R506,1,MATCH(Parametres!$B$3,G$1:R$1,0)-1)*IF(OR(F506="L",F506="S",F506="I"),-1,1),"")</f>
        <v>100883.1</v>
      </c>
      <c r="AM506" s="905">
        <f t="shared" si="44"/>
        <v>-11182.540000000008</v>
      </c>
      <c r="AN506" s="905">
        <f>INDEX(G506:R506,1,MATCH(Parametres!$B$3,G$1:R$1,0))*IF(OR(F506="L",F506="S",F506="I"),-1,1)</f>
        <v>89700.56</v>
      </c>
      <c r="AO506" s="487" t="str">
        <f>+VLOOKUP($AJ506,Data_Validation!$A:$D,1,0)</f>
        <v>G30050</v>
      </c>
      <c r="AP506" s="487" t="str">
        <f>+VLOOKUP($AJ506,Data_Validation!$A:$D,3,0)</f>
        <v>Bilan</v>
      </c>
      <c r="AQ506" s="487" t="str">
        <f>+VLOOKUP($AJ506,Data_Validation!$A:$D,4,0)</f>
        <v>Autres Courus</v>
      </c>
      <c r="AR506" s="487" t="s">
        <v>299</v>
      </c>
      <c r="AS506" s="487">
        <f>+VLOOKUP($AJ506,Data_Validation!$A:$E,5,0)</f>
        <v>0</v>
      </c>
      <c r="AT506" s="904" t="str">
        <f t="shared" si="45"/>
        <v>G30050</v>
      </c>
      <c r="AU506" s="488" t="str">
        <f t="shared" si="46"/>
        <v>REVENUS DIFFERES</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2064</v>
      </c>
      <c r="D507" s="706" t="s">
        <v>2065</v>
      </c>
      <c r="E507" s="706" t="s">
        <v>1141</v>
      </c>
      <c r="F507" s="706" t="s">
        <v>1135</v>
      </c>
      <c r="G507" s="706">
        <v>289413.49</v>
      </c>
      <c r="H507" s="706">
        <v>363152.12</v>
      </c>
      <c r="I507" s="706">
        <v>480330.18</v>
      </c>
      <c r="J507" s="706">
        <v>469909.63</v>
      </c>
      <c r="K507" s="706">
        <v>549896.92000000004</v>
      </c>
      <c r="L507" s="706">
        <v>611748.11</v>
      </c>
      <c r="M507" s="706">
        <v>664272.38</v>
      </c>
      <c r="N507" s="706">
        <v>564818.21</v>
      </c>
      <c r="O507" s="706">
        <v>578170.39</v>
      </c>
      <c r="P507" s="706">
        <v>578470.39</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G30051</v>
      </c>
      <c r="AK507" s="905" t="str">
        <f t="shared" si="49"/>
        <v>REVENUS DIFFERÉS II</v>
      </c>
      <c r="AL507" s="905">
        <f>IFERROR(INDEX(G507:R507,1,MATCH(Parametres!$B$3,G$1:R$1,0)-1)*IF(OR(F507="L",F507="S",F507="I"),-1,1),"")</f>
        <v>-564818.21</v>
      </c>
      <c r="AM507" s="905">
        <f t="shared" si="44"/>
        <v>-13352.180000000051</v>
      </c>
      <c r="AN507" s="905">
        <f>INDEX(G507:R507,1,MATCH(Parametres!$B$3,G$1:R$1,0))*IF(OR(F507="L",F507="S",F507="I"),-1,1)</f>
        <v>-578170.39</v>
      </c>
      <c r="AO507" s="487" t="str">
        <f>+VLOOKUP($AJ507,Data_Validation!$A:$D,1,0)</f>
        <v>G30051</v>
      </c>
      <c r="AP507" s="487" t="str">
        <f>+VLOOKUP($AJ507,Data_Validation!$A:$D,3,0)</f>
        <v>Bilan</v>
      </c>
      <c r="AQ507" s="487" t="str">
        <f>+VLOOKUP($AJ507,Data_Validation!$A:$D,4,0)</f>
        <v>Autres Courus</v>
      </c>
      <c r="AR507" s="487" t="s">
        <v>299</v>
      </c>
      <c r="AS507" s="487">
        <f>+VLOOKUP($AJ507,Data_Validation!$A:$E,5,0)</f>
        <v>0</v>
      </c>
      <c r="AT507" s="904" t="str">
        <f t="shared" si="45"/>
        <v>G30051</v>
      </c>
      <c r="AU507" s="488" t="str">
        <f t="shared" si="46"/>
        <v>REVENUS DIFFERÉS II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2066</v>
      </c>
      <c r="D508" s="706" t="s">
        <v>2067</v>
      </c>
      <c r="E508" s="706" t="s">
        <v>333</v>
      </c>
      <c r="F508" s="706" t="s">
        <v>1135</v>
      </c>
      <c r="G508" s="706">
        <v>185658.82</v>
      </c>
      <c r="H508" s="706">
        <v>143527.18</v>
      </c>
      <c r="I508" s="706">
        <v>-83147.490000000005</v>
      </c>
      <c r="J508" s="706">
        <v>37749.65</v>
      </c>
      <c r="K508" s="706">
        <v>54764.9</v>
      </c>
      <c r="L508" s="706">
        <v>-112099.49</v>
      </c>
      <c r="M508" s="706">
        <v>-170929.61</v>
      </c>
      <c r="N508" s="706">
        <v>-189007.11</v>
      </c>
      <c r="O508" s="706">
        <v>-78660.86</v>
      </c>
      <c r="P508" s="706">
        <v>-78660.86</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G30055</v>
      </c>
      <c r="AK508" s="905" t="str">
        <f t="shared" si="49"/>
        <v>RESERVE US-GAMMA</v>
      </c>
      <c r="AL508" s="905">
        <f>IFERROR(INDEX(G508:R508,1,MATCH(Parametres!$B$3,G$1:R$1,0)-1)*IF(OR(F508="L",F508="S",F508="I"),-1,1),"")</f>
        <v>189007.11</v>
      </c>
      <c r="AM508" s="905">
        <f t="shared" si="44"/>
        <v>-110346.24999999999</v>
      </c>
      <c r="AN508" s="905">
        <f>INDEX(G508:R508,1,MATCH(Parametres!$B$3,G$1:R$1,0))*IF(OR(F508="L",F508="S",F508="I"),-1,1)</f>
        <v>78660.86</v>
      </c>
      <c r="AO508" s="487" t="str">
        <f>+VLOOKUP($AJ508,Data_Validation!$A:$D,1,0)</f>
        <v>G30055</v>
      </c>
      <c r="AP508" s="487" t="str">
        <f>+VLOOKUP($AJ508,Data_Validation!$A:$D,3,0)</f>
        <v>Bilan</v>
      </c>
      <c r="AQ508" s="487" t="str">
        <f>+VLOOKUP($AJ508,Data_Validation!$A:$D,4,0)</f>
        <v>Autres Courus</v>
      </c>
      <c r="AR508" s="487" t="s">
        <v>299</v>
      </c>
      <c r="AS508" s="487">
        <f>+VLOOKUP($AJ508,Data_Validation!$A:$E,5,0)</f>
        <v>0</v>
      </c>
      <c r="AT508" s="904" t="str">
        <f t="shared" si="45"/>
        <v>G30055</v>
      </c>
      <c r="AU508" s="488" t="str">
        <f t="shared" si="46"/>
        <v>RESERVE US-GAMMA</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2068</v>
      </c>
      <c r="D509" s="706" t="s">
        <v>2069</v>
      </c>
      <c r="E509" s="706" t="s">
        <v>333</v>
      </c>
      <c r="F509" s="706" t="s">
        <v>1135</v>
      </c>
      <c r="G509" s="706">
        <v>2000000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G30070</v>
      </c>
      <c r="AK509" s="905" t="str">
        <f t="shared" si="49"/>
        <v>AVANCES HAWKSBERY CHEV</v>
      </c>
      <c r="AL509" s="905">
        <f>IFERROR(INDEX(G509:R509,1,MATCH(Parametres!$B$3,G$1:R$1,0)-1)*IF(OR(F509="L",F509="S",F509="I"),-1,1),"")</f>
        <v>0</v>
      </c>
      <c r="AM509" s="905">
        <f t="shared" si="44"/>
        <v>0</v>
      </c>
      <c r="AN509" s="905">
        <f>INDEX(G509:R509,1,MATCH(Parametres!$B$3,G$1:R$1,0))*IF(OR(F509="L",F509="S",F509="I"),-1,1)</f>
        <v>0</v>
      </c>
      <c r="AO509" s="487" t="str">
        <f>+VLOOKUP($AJ509,Data_Validation!$A:$D,1,0)</f>
        <v>G30070</v>
      </c>
      <c r="AP509" s="487" t="str">
        <f>+VLOOKUP($AJ509,Data_Validation!$A:$D,3,0)</f>
        <v>Bilan</v>
      </c>
      <c r="AQ509" s="487" t="str">
        <f>+VLOOKUP($AJ509,Data_Validation!$A:$D,4,0)</f>
        <v>Payables Intercos</v>
      </c>
      <c r="AR509" s="487" t="s">
        <v>299</v>
      </c>
      <c r="AS509" s="487">
        <f>+VLOOKUP($AJ509,Data_Validation!$A:$E,5,0)</f>
        <v>0</v>
      </c>
      <c r="AT509" s="904" t="str">
        <f t="shared" si="45"/>
        <v>G30070</v>
      </c>
      <c r="AU509" s="488" t="str">
        <f t="shared" si="46"/>
        <v>AVANCES HAWKSBERY CHEV</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hidden="1" customHeight="1">
      <c r="A510" s="706" t="s">
        <v>1148</v>
      </c>
      <c r="B510" s="706">
        <v>2026</v>
      </c>
      <c r="C510" s="706" t="s">
        <v>2070</v>
      </c>
      <c r="D510" s="706" t="s">
        <v>2071</v>
      </c>
      <c r="E510" s="706" t="s">
        <v>333</v>
      </c>
      <c r="F510" s="706" t="s">
        <v>1135</v>
      </c>
      <c r="G510" s="706">
        <v>-3367687.77</v>
      </c>
      <c r="H510" s="706">
        <v>-3367687.77</v>
      </c>
      <c r="I510" s="706">
        <v>-3317687.77</v>
      </c>
      <c r="J510" s="706">
        <v>-3317687.77</v>
      </c>
      <c r="K510" s="706">
        <v>-3317687.77</v>
      </c>
      <c r="L510" s="706">
        <v>-4117687.77</v>
      </c>
      <c r="M510" s="706">
        <v>6239782</v>
      </c>
      <c r="N510" s="706">
        <v>6239782</v>
      </c>
      <c r="O510" s="706">
        <v>6239782</v>
      </c>
      <c r="P510" s="706">
        <v>6239782</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G30080</v>
      </c>
      <c r="AK510" s="905" t="str">
        <f t="shared" si="49"/>
        <v>AVANCES 13721515 CANADA I</v>
      </c>
      <c r="AL510" s="905">
        <f>IFERROR(INDEX(G510:R510,1,MATCH(Parametres!$B$3,G$1:R$1,0)-1)*IF(OR(F510="L",F510="S",F510="I"),-1,1),"")</f>
        <v>-6239782</v>
      </c>
      <c r="AM510" s="905">
        <f t="shared" si="44"/>
        <v>0</v>
      </c>
      <c r="AN510" s="905">
        <f>INDEX(G510:R510,1,MATCH(Parametres!$B$3,G$1:R$1,0))*IF(OR(F510="L",F510="S",F510="I"),-1,1)</f>
        <v>-6239782</v>
      </c>
      <c r="AO510" s="487" t="str">
        <f>+VLOOKUP($AJ510,Data_Validation!$A:$D,1,0)</f>
        <v>G30080</v>
      </c>
      <c r="AP510" s="487" t="str">
        <f>+VLOOKUP($AJ510,Data_Validation!$A:$D,3,0)</f>
        <v>Bilan</v>
      </c>
      <c r="AQ510" s="487" t="str">
        <f>+VLOOKUP($AJ510,Data_Validation!$A:$D,4,0)</f>
        <v>Payables Intercos</v>
      </c>
      <c r="AR510" s="487" t="s">
        <v>299</v>
      </c>
      <c r="AS510" s="487">
        <f>+VLOOKUP($AJ510,Data_Validation!$A:$E,5,0)</f>
        <v>0</v>
      </c>
      <c r="AT510" s="904" t="str">
        <f t="shared" si="45"/>
        <v>G30080</v>
      </c>
      <c r="AU510" s="488" t="str">
        <f t="shared" si="46"/>
        <v>AVANCES 13721515 CANADA I</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hidden="1" customHeight="1">
      <c r="A511" s="706" t="s">
        <v>1148</v>
      </c>
      <c r="B511" s="706">
        <v>2026</v>
      </c>
      <c r="C511" s="706" t="s">
        <v>2072</v>
      </c>
      <c r="D511" s="706" t="s">
        <v>2073</v>
      </c>
      <c r="E511" s="706" t="s">
        <v>333</v>
      </c>
      <c r="F511" s="706" t="s">
        <v>1135</v>
      </c>
      <c r="G511" s="706">
        <v>181477.75</v>
      </c>
      <c r="H511" s="706">
        <v>181477.75</v>
      </c>
      <c r="I511" s="706">
        <v>180282.01</v>
      </c>
      <c r="J511" s="706">
        <v>180282.01</v>
      </c>
      <c r="K511" s="706">
        <v>180282.01</v>
      </c>
      <c r="L511" s="706">
        <v>180282.01</v>
      </c>
      <c r="M511" s="706">
        <v>180282.01</v>
      </c>
      <c r="N511" s="706">
        <v>180282.01</v>
      </c>
      <c r="O511" s="706">
        <v>180282.01</v>
      </c>
      <c r="P511" s="706">
        <v>180282.01</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G30090</v>
      </c>
      <c r="AK511" s="905" t="str">
        <f t="shared" si="49"/>
        <v>AVANCES 9512-1703 QC</v>
      </c>
      <c r="AL511" s="905">
        <f>IFERROR(INDEX(G511:R511,1,MATCH(Parametres!$B$3,G$1:R$1,0)-1)*IF(OR(F511="L",F511="S",F511="I"),-1,1),"")</f>
        <v>-180282.01</v>
      </c>
      <c r="AM511" s="905">
        <f t="shared" si="44"/>
        <v>0</v>
      </c>
      <c r="AN511" s="905">
        <f>INDEX(G511:R511,1,MATCH(Parametres!$B$3,G$1:R$1,0))*IF(OR(F511="L",F511="S",F511="I"),-1,1)</f>
        <v>-180282.01</v>
      </c>
      <c r="AO511" s="487" t="str">
        <f>+VLOOKUP($AJ511,Data_Validation!$A:$D,1,0)</f>
        <v>G30090</v>
      </c>
      <c r="AP511" s="487" t="str">
        <f>+VLOOKUP($AJ511,Data_Validation!$A:$D,3,0)</f>
        <v>Bilan</v>
      </c>
      <c r="AQ511" s="487" t="str">
        <f>+VLOOKUP($AJ511,Data_Validation!$A:$D,4,0)</f>
        <v>Payables Intercos</v>
      </c>
      <c r="AR511" s="487" t="s">
        <v>299</v>
      </c>
      <c r="AS511" s="487">
        <f>+VLOOKUP($AJ511,Data_Validation!$A:$E,5,0)</f>
        <v>0</v>
      </c>
      <c r="AT511" s="904" t="str">
        <f t="shared" si="45"/>
        <v>G30090</v>
      </c>
      <c r="AU511" s="488" t="str">
        <f t="shared" si="46"/>
        <v>AVANCES 9512-1703 QC</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hidden="1" customHeight="1">
      <c r="A512" s="706" t="s">
        <v>1148</v>
      </c>
      <c r="B512" s="706">
        <v>2026</v>
      </c>
      <c r="C512" s="706" t="s">
        <v>2074</v>
      </c>
      <c r="D512" s="706" t="s">
        <v>2075</v>
      </c>
      <c r="E512" s="706" t="s">
        <v>333</v>
      </c>
      <c r="F512" s="706" t="s">
        <v>1135</v>
      </c>
      <c r="G512" s="706">
        <v>0</v>
      </c>
      <c r="H512" s="706">
        <v>0</v>
      </c>
      <c r="I512" s="706">
        <v>4936149</v>
      </c>
      <c r="J512" s="706">
        <v>4904017</v>
      </c>
      <c r="K512" s="706">
        <v>4871744</v>
      </c>
      <c r="L512" s="706">
        <v>4839332</v>
      </c>
      <c r="M512" s="706">
        <v>4806780</v>
      </c>
      <c r="N512" s="706">
        <v>4774086</v>
      </c>
      <c r="O512" s="706">
        <v>4741251</v>
      </c>
      <c r="P512" s="706">
        <v>4741251</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G30095</v>
      </c>
      <c r="AK512" s="905" t="str">
        <f t="shared" si="49"/>
        <v>PRET BANQUE TD</v>
      </c>
      <c r="AL512" s="905">
        <f>IFERROR(INDEX(G512:R512,1,MATCH(Parametres!$B$3,G$1:R$1,0)-1)*IF(OR(F512="L",F512="S",F512="I"),-1,1),"")</f>
        <v>-4774086</v>
      </c>
      <c r="AM512" s="905">
        <f t="shared" si="44"/>
        <v>32835</v>
      </c>
      <c r="AN512" s="905">
        <f>INDEX(G512:R512,1,MATCH(Parametres!$B$3,G$1:R$1,0))*IF(OR(F512="L",F512="S",F512="I"),-1,1)</f>
        <v>-4741251</v>
      </c>
      <c r="AO512" s="487" t="str">
        <f>+VLOOKUP($AJ512,Data_Validation!$A:$D,1,0)</f>
        <v>G30095</v>
      </c>
      <c r="AP512" s="487" t="str">
        <f>+VLOOKUP($AJ512,Data_Validation!$A:$D,3,0)</f>
        <v>Bilan</v>
      </c>
      <c r="AQ512" s="487" t="str">
        <f>+VLOOKUP($AJ512,Data_Validation!$A:$D,4,0)</f>
        <v>Dette à Long terme</v>
      </c>
      <c r="AR512" s="487" t="s">
        <v>299</v>
      </c>
      <c r="AS512" s="487">
        <f>+VLOOKUP($AJ512,Data_Validation!$A:$E,5,0)</f>
        <v>0</v>
      </c>
      <c r="AT512" s="904" t="str">
        <f t="shared" si="45"/>
        <v>G30095</v>
      </c>
      <c r="AU512" s="488" t="str">
        <f t="shared" si="46"/>
        <v>PRET BANQUE TD</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hidden="1" customHeight="1">
      <c r="A513" s="706" t="s">
        <v>1148</v>
      </c>
      <c r="B513" s="706">
        <v>2026</v>
      </c>
      <c r="C513" s="706" t="s">
        <v>2076</v>
      </c>
      <c r="D513" s="706" t="s">
        <v>2077</v>
      </c>
      <c r="E513" s="706" t="s">
        <v>1142</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G30100</v>
      </c>
      <c r="AK513" s="905" t="str">
        <f t="shared" si="49"/>
        <v>DEPOT CLIENTS</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G30100</v>
      </c>
      <c r="AU513" s="488" t="str">
        <f t="shared" si="46"/>
        <v>DEPOT CLIENTS</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hidden="1" customHeight="1">
      <c r="A514" s="706" t="s">
        <v>1148</v>
      </c>
      <c r="B514" s="706">
        <v>2026</v>
      </c>
      <c r="C514" s="706" t="s">
        <v>2078</v>
      </c>
      <c r="D514" s="706" t="s">
        <v>2077</v>
      </c>
      <c r="E514" s="706" t="s">
        <v>1142</v>
      </c>
      <c r="F514" s="706" t="s">
        <v>1135</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G30300</v>
      </c>
      <c r="AK514" s="905" t="str">
        <f t="shared" si="49"/>
        <v>DEPOT CLIENTS</v>
      </c>
      <c r="AL514" s="905">
        <f>IFERROR(INDEX(G514:R514,1,MATCH(Parametres!$B$3,G$1:R$1,0)-1)*IF(OR(F514="L",F514="S",F514="I"),-1,1),"")</f>
        <v>0</v>
      </c>
      <c r="AM514" s="905">
        <f t="shared" si="44"/>
        <v>0</v>
      </c>
      <c r="AN514" s="905">
        <f>INDEX(G514:R514,1,MATCH(Parametres!$B$3,G$1:R$1,0))*IF(OR(F514="L",F514="S",F514="I"),-1,1)</f>
        <v>0</v>
      </c>
      <c r="AO514" s="487" t="str">
        <f>+VLOOKUP($AJ514,Data_Validation!$A:$D,1,0)</f>
        <v>G30300</v>
      </c>
      <c r="AP514" s="487" t="str">
        <f>+VLOOKUP($AJ514,Data_Validation!$A:$D,3,0)</f>
        <v>Bilan</v>
      </c>
      <c r="AQ514" s="487" t="str">
        <f>+VLOOKUP($AJ514,Data_Validation!$A:$D,4,0)</f>
        <v>Dépôts de Client</v>
      </c>
      <c r="AR514" s="487" t="s">
        <v>299</v>
      </c>
      <c r="AS514" s="487">
        <f>+VLOOKUP($AJ514,Data_Validation!$A:$E,5,0)</f>
        <v>0</v>
      </c>
      <c r="AT514" s="904" t="str">
        <f t="shared" si="45"/>
        <v>G30300</v>
      </c>
      <c r="AU514" s="488" t="str">
        <f t="shared" si="46"/>
        <v>DEPOT CLIENTS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hidden="1" customHeight="1">
      <c r="A515" s="706" t="s">
        <v>1148</v>
      </c>
      <c r="B515" s="706">
        <v>2026</v>
      </c>
      <c r="C515" s="706" t="s">
        <v>2079</v>
      </c>
      <c r="D515" s="706" t="s">
        <v>2080</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G30900</v>
      </c>
      <c r="AK515" s="905" t="str">
        <f t="shared" si="49"/>
        <v>EFFETS A PAYER POINDS MOY</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G30900</v>
      </c>
      <c r="AU515" s="488" t="str">
        <f t="shared" si="46"/>
        <v>EFFETS A PAYER POINDS MOY</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hidden="1" customHeight="1">
      <c r="A516" s="706" t="s">
        <v>1148</v>
      </c>
      <c r="B516" s="706">
        <v>2026</v>
      </c>
      <c r="C516" s="706" t="s">
        <v>2081</v>
      </c>
      <c r="D516" s="706" t="s">
        <v>2082</v>
      </c>
      <c r="E516" s="706" t="s">
        <v>1145</v>
      </c>
      <c r="F516" s="706" t="s">
        <v>1135</v>
      </c>
      <c r="G516" s="706">
        <v>35475226.490000002</v>
      </c>
      <c r="H516" s="706">
        <v>33617704.479999997</v>
      </c>
      <c r="I516" s="706">
        <v>38478809.700000003</v>
      </c>
      <c r="J516" s="706">
        <v>30592851.460000001</v>
      </c>
      <c r="K516" s="706">
        <v>31086026.609999999</v>
      </c>
      <c r="L516" s="706">
        <v>23163491.899999999</v>
      </c>
      <c r="M516" s="706">
        <v>20123396.530000001</v>
      </c>
      <c r="N516" s="706">
        <v>18945265.620000001</v>
      </c>
      <c r="O516" s="706">
        <v>18314860</v>
      </c>
      <c r="P516" s="706">
        <v>22263964.039999999</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G31000</v>
      </c>
      <c r="AK516" s="905" t="str">
        <f t="shared" si="49"/>
        <v>EFFETS A PAYER VEHICULES</v>
      </c>
      <c r="AL516" s="905">
        <f>IFERROR(INDEX(G516:R516,1,MATCH(Parametres!$B$3,G$1:R$1,0)-1)*IF(OR(F516="L",F516="S",F516="I"),-1,1),"")</f>
        <v>-18945265.620000001</v>
      </c>
      <c r="AM516" s="905">
        <f t="shared" ref="AM516:AM579" si="50">AN516-AL516</f>
        <v>630405.62000000104</v>
      </c>
      <c r="AN516" s="905">
        <f>INDEX(G516:R516,1,MATCH(Parametres!$B$3,G$1:R$1,0))*IF(OR(F516="L",F516="S",F516="I"),-1,1)</f>
        <v>-18314860</v>
      </c>
      <c r="AO516" s="487" t="str">
        <f>+VLOOKUP($AJ516,Data_Validation!$A:$D,1,0)</f>
        <v>G31000</v>
      </c>
      <c r="AP516" s="487" t="str">
        <f>+VLOOKUP($AJ516,Data_Validation!$A:$D,3,0)</f>
        <v>Bilan</v>
      </c>
      <c r="AQ516" s="487" t="str">
        <f>+VLOOKUP($AJ516,Data_Validation!$A:$D,4,0)</f>
        <v>Effet à Payer Véhicules Neufs</v>
      </c>
      <c r="AR516" s="487" t="s">
        <v>299</v>
      </c>
      <c r="AS516" s="487">
        <f>+VLOOKUP($AJ516,Data_Validation!$A:$E,5,0)</f>
        <v>0</v>
      </c>
      <c r="AT516" s="904" t="str">
        <f t="shared" ref="AT516:AT579" si="51">C516</f>
        <v>G31000</v>
      </c>
      <c r="AU516" s="488" t="str">
        <f t="shared" ref="AU516:AU579" si="52">D516</f>
        <v>EFFETS A PAYER VEHICULES</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hidden="1" customHeight="1">
      <c r="A517" s="706" t="s">
        <v>1148</v>
      </c>
      <c r="B517" s="706">
        <v>2026</v>
      </c>
      <c r="C517" s="706" t="s">
        <v>2083</v>
      </c>
      <c r="D517" s="706" t="s">
        <v>2084</v>
      </c>
      <c r="E517" s="706" t="s">
        <v>1145</v>
      </c>
      <c r="F517" s="706" t="s">
        <v>1135</v>
      </c>
      <c r="G517" s="706">
        <v>22521503.649999999</v>
      </c>
      <c r="H517" s="706">
        <v>18148455.949999999</v>
      </c>
      <c r="I517" s="706">
        <v>19683759.649999999</v>
      </c>
      <c r="J517" s="706">
        <v>18909452.829999998</v>
      </c>
      <c r="K517" s="706">
        <v>16711712.949999999</v>
      </c>
      <c r="L517" s="706">
        <v>10228910.720000001</v>
      </c>
      <c r="M517" s="706">
        <v>9596441.6199999992</v>
      </c>
      <c r="N517" s="706">
        <v>4817360.8</v>
      </c>
      <c r="O517" s="706">
        <v>3592513.92</v>
      </c>
      <c r="P517" s="706">
        <v>3811599.83</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G31100</v>
      </c>
      <c r="AK517" s="905" t="str">
        <f t="shared" si="49"/>
        <v>EFFETS PAYER VEH. OCC.</v>
      </c>
      <c r="AL517" s="905">
        <f>IFERROR(INDEX(G517:R517,1,MATCH(Parametres!$B$3,G$1:R$1,0)-1)*IF(OR(F517="L",F517="S",F517="I"),-1,1),"")</f>
        <v>-4817360.8</v>
      </c>
      <c r="AM517" s="905">
        <f t="shared" si="50"/>
        <v>1224846.8799999999</v>
      </c>
      <c r="AN517" s="905">
        <f>INDEX(G517:R517,1,MATCH(Parametres!$B$3,G$1:R$1,0))*IF(OR(F517="L",F517="S",F517="I"),-1,1)</f>
        <v>-3592513.92</v>
      </c>
      <c r="AO517" s="487" t="str">
        <f>+VLOOKUP($AJ517,Data_Validation!$A:$D,1,0)</f>
        <v>G31100</v>
      </c>
      <c r="AP517" s="487" t="str">
        <f>+VLOOKUP($AJ517,Data_Validation!$A:$D,3,0)</f>
        <v>Bilan</v>
      </c>
      <c r="AQ517" s="487" t="str">
        <f>+VLOOKUP($AJ517,Data_Validation!$A:$D,4,0)</f>
        <v>Effet à Payer Véhicules Usagés</v>
      </c>
      <c r="AR517" s="487" t="s">
        <v>299</v>
      </c>
      <c r="AS517" s="487">
        <f>+VLOOKUP($AJ517,Data_Validation!$A:$E,5,0)</f>
        <v>0</v>
      </c>
      <c r="AT517" s="904" t="str">
        <f t="shared" si="51"/>
        <v>G31100</v>
      </c>
      <c r="AU517" s="488" t="str">
        <f t="shared" si="52"/>
        <v>EFFETS PAYER VEH. OCC.</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hidden="1" customHeight="1">
      <c r="A518" s="706" t="s">
        <v>1148</v>
      </c>
      <c r="B518" s="706">
        <v>2026</v>
      </c>
      <c r="C518" s="706" t="s">
        <v>2085</v>
      </c>
      <c r="D518" s="706" t="s">
        <v>2086</v>
      </c>
      <c r="E518" s="706" t="s">
        <v>1145</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G31200</v>
      </c>
      <c r="AK518" s="905" t="str">
        <f t="shared" si="49"/>
        <v>A/P VEHICULES LOCATIONS</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G31200</v>
      </c>
      <c r="AU518" s="488" t="str">
        <f t="shared" si="52"/>
        <v>A/P VEHICULES LOCATIONS</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hidden="1" customHeight="1">
      <c r="A519" s="706" t="s">
        <v>1148</v>
      </c>
      <c r="B519" s="706">
        <v>2026</v>
      </c>
      <c r="C519" s="706" t="s">
        <v>2087</v>
      </c>
      <c r="D519" s="706" t="s">
        <v>1144</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G31400</v>
      </c>
      <c r="AK519" s="905" t="str">
        <f t="shared" si="49"/>
        <v>MARGE DE CREDIT</v>
      </c>
      <c r="AL519" s="905">
        <f>IFERROR(INDEX(G519:R519,1,MATCH(Parametres!$B$3,G$1:R$1,0)-1)*IF(OR(F519="L",F519="S",F519="I"),-1,1),"")</f>
        <v>0</v>
      </c>
      <c r="AM519" s="905">
        <f t="shared" si="50"/>
        <v>0</v>
      </c>
      <c r="AN519" s="905">
        <f>INDEX(G519:R519,1,MATCH(Parametres!$B$3,G$1:R$1,0))*IF(OR(F519="L",F519="S",F519="I"),-1,1)</f>
        <v>0</v>
      </c>
      <c r="AO519" s="487" t="str">
        <f>+VLOOKUP($AJ519,Data_Validation!$A:$D,1,0)</f>
        <v>G31400</v>
      </c>
      <c r="AP519" s="487">
        <f>+VLOOKUP($AJ519,Data_Validation!$A:$D,3,0)</f>
        <v>0</v>
      </c>
      <c r="AQ519" s="487">
        <f>+VLOOKUP($AJ519,Data_Validation!$A:$D,4,0)</f>
        <v>0</v>
      </c>
      <c r="AR519" s="487" t="s">
        <v>299</v>
      </c>
      <c r="AS519" s="487">
        <f>+VLOOKUP($AJ519,Data_Validation!$A:$E,5,0)</f>
        <v>0</v>
      </c>
      <c r="AT519" s="904" t="str">
        <f t="shared" si="51"/>
        <v>G31400</v>
      </c>
      <c r="AU519" s="488" t="str">
        <f t="shared" si="52"/>
        <v>MARGE DE CREDIT</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hidden="1" customHeight="1">
      <c r="A520" s="706" t="s">
        <v>1148</v>
      </c>
      <c r="B520" s="706">
        <v>2026</v>
      </c>
      <c r="C520" s="706" t="s">
        <v>2088</v>
      </c>
      <c r="D520" s="706" t="s">
        <v>2089</v>
      </c>
      <c r="E520" s="706" t="s">
        <v>333</v>
      </c>
      <c r="F520" s="706" t="s">
        <v>1135</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G31500</v>
      </c>
      <c r="AK520" s="905" t="str">
        <f t="shared" si="49"/>
        <v>T.P.S. PAYABLE</v>
      </c>
      <c r="AL520" s="905">
        <f>IFERROR(INDEX(G520:R520,1,MATCH(Parametres!$B$3,G$1:R$1,0)-1)*IF(OR(F520="L",F520="S",F520="I"),-1,1),"")</f>
        <v>0</v>
      </c>
      <c r="AM520" s="905">
        <f t="shared" si="50"/>
        <v>0</v>
      </c>
      <c r="AN520" s="905">
        <f>INDEX(G520:R520,1,MATCH(Parametres!$B$3,G$1:R$1,0))*IF(OR(F520="L",F520="S",F520="I"),-1,1)</f>
        <v>0</v>
      </c>
      <c r="AO520" s="487" t="e">
        <f>+VLOOKUP($AJ520,Data_Validation!$A:$D,1,0)</f>
        <v>#N/A</v>
      </c>
      <c r="AP520" s="487" t="e">
        <f>+VLOOKUP($AJ520,Data_Validation!$A:$D,3,0)</f>
        <v>#N/A</v>
      </c>
      <c r="AQ520" s="487" t="e">
        <f>+VLOOKUP($AJ520,Data_Validation!$A:$D,4,0)</f>
        <v>#N/A</v>
      </c>
      <c r="AR520" s="487" t="s">
        <v>299</v>
      </c>
      <c r="AS520" s="487" t="e">
        <f>+VLOOKUP($AJ520,Data_Validation!$A:$E,5,0)</f>
        <v>#N/A</v>
      </c>
      <c r="AT520" s="904" t="str">
        <f t="shared" si="51"/>
        <v>G31500</v>
      </c>
      <c r="AU520" s="488" t="str">
        <f t="shared" si="52"/>
        <v>T.P.S. PAYABLE</v>
      </c>
      <c r="AV520" s="899">
        <f>IFERROR(INDEX(V520:AG520,1,MATCH(Parametres!$B$3,V$1:AG$1,0)-1)*IF(OR(C520="L",C520="S",C520="I"),-1,1),"")</f>
        <v>0</v>
      </c>
      <c r="AW520" s="899">
        <f t="shared" si="53"/>
        <v>0</v>
      </c>
      <c r="AX520" s="899">
        <f>INDEX(V520:AG520,1,MATCH(Parametres!$B$3,V$1:AG$1,0))*IF(OR(C520="L",C520="S",C520="I"),-1,1)</f>
        <v>0</v>
      </c>
      <c r="AY520" s="487" t="s">
        <v>337</v>
      </c>
      <c r="AZ520" s="487" t="e">
        <f>+VLOOKUP($AJ520,Data_Validation!$A:$E,5,0)</f>
        <v>#N/A</v>
      </c>
    </row>
    <row r="521" spans="1:52" ht="15" hidden="1" customHeight="1">
      <c r="A521" s="706" t="s">
        <v>1148</v>
      </c>
      <c r="B521" s="706">
        <v>2026</v>
      </c>
      <c r="C521" s="706" t="s">
        <v>2090</v>
      </c>
      <c r="D521" s="706" t="s">
        <v>2091</v>
      </c>
      <c r="E521" s="706" t="s">
        <v>333</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G32000</v>
      </c>
      <c r="AK521" s="905" t="str">
        <f t="shared" si="49"/>
        <v>INTERETS A/P</v>
      </c>
      <c r="AL521" s="905">
        <f>IFERROR(INDEX(G521:R521,1,MATCH(Parametres!$B$3,G$1:R$1,0)-1)*IF(OR(F521="L",F521="S",F521="I"),-1,1),"")</f>
        <v>0</v>
      </c>
      <c r="AM521" s="905">
        <f t="shared" si="50"/>
        <v>0</v>
      </c>
      <c r="AN521" s="905">
        <f>INDEX(G521:R521,1,MATCH(Parametres!$B$3,G$1:R$1,0))*IF(OR(F521="L",F521="S",F521="I"),-1,1)</f>
        <v>0</v>
      </c>
      <c r="AO521" s="487" t="str">
        <f>+VLOOKUP($AJ521,Data_Validation!$A:$D,1,0)</f>
        <v>G32000</v>
      </c>
      <c r="AP521" s="487">
        <f>+VLOOKUP($AJ521,Data_Validation!$A:$D,3,0)</f>
        <v>0</v>
      </c>
      <c r="AQ521" s="487">
        <f>+VLOOKUP($AJ521,Data_Validation!$A:$D,4,0)</f>
        <v>0</v>
      </c>
      <c r="AR521" s="487" t="s">
        <v>299</v>
      </c>
      <c r="AS521" s="487">
        <f>+VLOOKUP($AJ521,Data_Validation!$A:$E,5,0)</f>
        <v>0</v>
      </c>
      <c r="AT521" s="904" t="str">
        <f t="shared" si="51"/>
        <v>G32000</v>
      </c>
      <c r="AU521" s="488" t="str">
        <f t="shared" si="52"/>
        <v>INTERETS A/P</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2092</v>
      </c>
      <c r="D522" s="706" t="s">
        <v>2093</v>
      </c>
      <c r="E522" s="706" t="s">
        <v>333</v>
      </c>
      <c r="F522" s="706" t="s">
        <v>1135</v>
      </c>
      <c r="G522" s="706">
        <v>1062.8</v>
      </c>
      <c r="H522" s="706">
        <v>-3391.68</v>
      </c>
      <c r="I522" s="706">
        <v>-8059.88</v>
      </c>
      <c r="J522" s="706">
        <v>-13546.82</v>
      </c>
      <c r="K522" s="706">
        <v>-18067.68</v>
      </c>
      <c r="L522" s="706">
        <v>-25209.439999999999</v>
      </c>
      <c r="M522" s="706">
        <v>-31301.25</v>
      </c>
      <c r="N522" s="706">
        <v>-35000.910000000003</v>
      </c>
      <c r="O522" s="706">
        <v>-41476.29</v>
      </c>
      <c r="P522" s="706">
        <v>-41476.29</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G3210A</v>
      </c>
      <c r="AK522" s="905" t="str">
        <f t="shared" si="49"/>
        <v>ASS-COLLECTIVE A PAYER</v>
      </c>
      <c r="AL522" s="905">
        <f>IFERROR(INDEX(G522:R522,1,MATCH(Parametres!$B$3,G$1:R$1,0)-1)*IF(OR(F522="L",F522="S",F522="I"),-1,1),"")</f>
        <v>35000.910000000003</v>
      </c>
      <c r="AM522" s="905">
        <f t="shared" si="50"/>
        <v>6475.3799999999974</v>
      </c>
      <c r="AN522" s="905">
        <f>INDEX(G522:R522,1,MATCH(Parametres!$B$3,G$1:R$1,0))*IF(OR(F522="L",F522="S",F522="I"),-1,1)</f>
        <v>41476.29</v>
      </c>
      <c r="AO522" s="487" t="str">
        <f>+VLOOKUP($AJ522,Data_Validation!$A:$D,1,0)</f>
        <v>G3210A</v>
      </c>
      <c r="AP522" s="487" t="str">
        <f>+VLOOKUP($AJ522,Data_Validation!$A:$D,3,0)</f>
        <v>Bilan</v>
      </c>
      <c r="AQ522" s="487" t="str">
        <f>+VLOOKUP($AJ522,Data_Validation!$A:$D,4,0)</f>
        <v>DAS à Payer</v>
      </c>
      <c r="AR522" s="487" t="s">
        <v>299</v>
      </c>
      <c r="AS522" s="487">
        <f>+VLOOKUP($AJ522,Data_Validation!$A:$E,5,0)</f>
        <v>0</v>
      </c>
      <c r="AT522" s="904" t="str">
        <f t="shared" si="51"/>
        <v>G3210A</v>
      </c>
      <c r="AU522" s="488" t="str">
        <f t="shared" si="52"/>
        <v>ASS-COLLECTIVE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2094</v>
      </c>
      <c r="D523" s="706" t="s">
        <v>2095</v>
      </c>
      <c r="E523" s="706" t="s">
        <v>333</v>
      </c>
      <c r="F523" s="706" t="s">
        <v>1135</v>
      </c>
      <c r="G523" s="706">
        <v>103371.93</v>
      </c>
      <c r="H523" s="706">
        <v>94570.17</v>
      </c>
      <c r="I523" s="706">
        <v>128176.38</v>
      </c>
      <c r="J523" s="706">
        <v>187289.28</v>
      </c>
      <c r="K523" s="706">
        <v>11018.44</v>
      </c>
      <c r="L523" s="706">
        <v>40919.129999999997</v>
      </c>
      <c r="M523" s="706">
        <v>88052.58</v>
      </c>
      <c r="N523" s="706">
        <v>94938.98</v>
      </c>
      <c r="O523" s="706">
        <v>-835.36</v>
      </c>
      <c r="P523" s="706">
        <v>-835.36</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G32100</v>
      </c>
      <c r="AK523" s="905" t="str">
        <f t="shared" si="49"/>
        <v>SALAIRES &amp; COMM. A PAYER</v>
      </c>
      <c r="AL523" s="905">
        <f>IFERROR(INDEX(G523:R523,1,MATCH(Parametres!$B$3,G$1:R$1,0)-1)*IF(OR(F523="L",F523="S",F523="I"),-1,1),"")</f>
        <v>-94938.98</v>
      </c>
      <c r="AM523" s="905">
        <f t="shared" si="50"/>
        <v>95774.34</v>
      </c>
      <c r="AN523" s="905">
        <f>INDEX(G523:R523,1,MATCH(Parametres!$B$3,G$1:R$1,0))*IF(OR(F523="L",F523="S",F523="I"),-1,1)</f>
        <v>835.36</v>
      </c>
      <c r="AO523" s="487" t="str">
        <f>+VLOOKUP($AJ523,Data_Validation!$A:$D,1,0)</f>
        <v>G32100</v>
      </c>
      <c r="AP523" s="487" t="str">
        <f>+VLOOKUP($AJ523,Data_Validation!$A:$D,3,0)</f>
        <v>Bilan</v>
      </c>
      <c r="AQ523" s="487" t="str">
        <f>+VLOOKUP($AJ523,Data_Validation!$A:$D,4,0)</f>
        <v>Salaires à Payer</v>
      </c>
      <c r="AR523" s="487" t="s">
        <v>299</v>
      </c>
      <c r="AS523" s="487">
        <f>+VLOOKUP($AJ523,Data_Validation!$A:$E,5,0)</f>
        <v>0</v>
      </c>
      <c r="AT523" s="904" t="str">
        <f t="shared" si="51"/>
        <v>G32100</v>
      </c>
      <c r="AU523" s="488" t="str">
        <f t="shared" si="52"/>
        <v>SALAIRES &amp; COMM.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hidden="1" customHeight="1">
      <c r="A524" s="706" t="s">
        <v>1148</v>
      </c>
      <c r="B524" s="706">
        <v>2026</v>
      </c>
      <c r="C524" s="706" t="s">
        <v>2096</v>
      </c>
      <c r="D524" s="706" t="s">
        <v>2097</v>
      </c>
      <c r="E524" s="706" t="s">
        <v>1146</v>
      </c>
      <c r="F524" s="706" t="s">
        <v>1135</v>
      </c>
      <c r="G524" s="706">
        <v>8276.27</v>
      </c>
      <c r="H524" s="706">
        <v>18492.98</v>
      </c>
      <c r="I524" s="706">
        <v>55868.2</v>
      </c>
      <c r="J524" s="706">
        <v>95443.83</v>
      </c>
      <c r="K524" s="706">
        <v>14169.42</v>
      </c>
      <c r="L524" s="706">
        <v>23654.52</v>
      </c>
      <c r="M524" s="706">
        <v>18493.990000000002</v>
      </c>
      <c r="N524" s="706">
        <v>5687</v>
      </c>
      <c r="O524" s="706">
        <v>35526.32</v>
      </c>
      <c r="P524" s="706">
        <v>38473.15</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G32101</v>
      </c>
      <c r="AK524" s="905" t="str">
        <f t="shared" si="49"/>
        <v>COMMISSIONS A PAYER</v>
      </c>
      <c r="AL524" s="905">
        <f>IFERROR(INDEX(G524:R524,1,MATCH(Parametres!$B$3,G$1:R$1,0)-1)*IF(OR(F524="L",F524="S",F524="I"),-1,1),"")</f>
        <v>-5687</v>
      </c>
      <c r="AM524" s="905">
        <f t="shared" si="50"/>
        <v>-29839.32</v>
      </c>
      <c r="AN524" s="905">
        <f>INDEX(G524:R524,1,MATCH(Parametres!$B$3,G$1:R$1,0))*IF(OR(F524="L",F524="S",F524="I"),-1,1)</f>
        <v>-35526.32</v>
      </c>
      <c r="AO524" s="487" t="str">
        <f>+VLOOKUP($AJ524,Data_Validation!$A:$D,1,0)</f>
        <v>G32101</v>
      </c>
      <c r="AP524" s="487" t="str">
        <f>+VLOOKUP($AJ524,Data_Validation!$A:$D,3,0)</f>
        <v>Bilan</v>
      </c>
      <c r="AQ524" s="487" t="str">
        <f>+VLOOKUP($AJ524,Data_Validation!$A:$D,4,0)</f>
        <v>Salaires à Payer</v>
      </c>
      <c r="AR524" s="487" t="s">
        <v>299</v>
      </c>
      <c r="AS524" s="487">
        <f>+VLOOKUP($AJ524,Data_Validation!$A:$E,5,0)</f>
        <v>0</v>
      </c>
      <c r="AT524" s="904" t="str">
        <f t="shared" si="51"/>
        <v>G32101</v>
      </c>
      <c r="AU524" s="488" t="str">
        <f t="shared" si="52"/>
        <v>COMMISSIONS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hidden="1" customHeight="1">
      <c r="A525" s="706" t="s">
        <v>1148</v>
      </c>
      <c r="B525" s="706">
        <v>2026</v>
      </c>
      <c r="C525" s="706" t="s">
        <v>2098</v>
      </c>
      <c r="D525" s="706" t="s">
        <v>2099</v>
      </c>
      <c r="E525" s="706" t="s">
        <v>1104</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G32102</v>
      </c>
      <c r="AK525" s="905" t="str">
        <f t="shared" si="49"/>
        <v>SALAIRES A PAYER</v>
      </c>
      <c r="AL525" s="905">
        <f>IFERROR(INDEX(G525:R525,1,MATCH(Parametres!$B$3,G$1:R$1,0)-1)*IF(OR(F525="L",F525="S",F525="I"),-1,1),"")</f>
        <v>0</v>
      </c>
      <c r="AM525" s="905">
        <f t="shared" si="50"/>
        <v>0</v>
      </c>
      <c r="AN525" s="905">
        <f>INDEX(G525:R525,1,MATCH(Parametres!$B$3,G$1:R$1,0))*IF(OR(F525="L",F525="S",F525="I"),-1,1)</f>
        <v>0</v>
      </c>
      <c r="AO525" s="487" t="str">
        <f>+VLOOKUP($AJ525,Data_Validation!$A:$D,1,0)</f>
        <v>G32102</v>
      </c>
      <c r="AP525" s="487">
        <f>+VLOOKUP($AJ525,Data_Validation!$A:$D,3,0)</f>
        <v>0</v>
      </c>
      <c r="AQ525" s="487">
        <f>+VLOOKUP($AJ525,Data_Validation!$A:$D,4,0)</f>
        <v>0</v>
      </c>
      <c r="AR525" s="487" t="s">
        <v>299</v>
      </c>
      <c r="AS525" s="487">
        <f>+VLOOKUP($AJ525,Data_Validation!$A:$E,5,0)</f>
        <v>0</v>
      </c>
      <c r="AT525" s="904" t="str">
        <f t="shared" si="51"/>
        <v>G32102</v>
      </c>
      <c r="AU525" s="488" t="str">
        <f t="shared" si="52"/>
        <v>SALAIRES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hidden="1" customHeight="1">
      <c r="A526" s="706" t="s">
        <v>1148</v>
      </c>
      <c r="B526" s="706">
        <v>2026</v>
      </c>
      <c r="C526" s="706" t="s">
        <v>3193</v>
      </c>
      <c r="D526" s="706" t="s">
        <v>3194</v>
      </c>
      <c r="E526" s="706" t="s">
        <v>333</v>
      </c>
      <c r="F526" s="706" t="s">
        <v>1135</v>
      </c>
      <c r="G526" s="706">
        <v>0</v>
      </c>
      <c r="H526" s="706">
        <v>0</v>
      </c>
      <c r="I526" s="706">
        <v>0</v>
      </c>
      <c r="J526" s="706">
        <v>0</v>
      </c>
      <c r="K526" s="706">
        <v>0</v>
      </c>
      <c r="L526" s="706">
        <v>-637.96</v>
      </c>
      <c r="M526" s="706">
        <v>66.5</v>
      </c>
      <c r="N526" s="706">
        <v>343.99</v>
      </c>
      <c r="O526" s="706">
        <v>-359.76</v>
      </c>
      <c r="P526" s="706">
        <v>30.24</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G32104</v>
      </c>
      <c r="AK526" s="905" t="str">
        <f t="shared" si="49"/>
        <v>COMPTES DE DEPENSES A/P</v>
      </c>
      <c r="AL526" s="905">
        <f>IFERROR(INDEX(G526:R526,1,MATCH(Parametres!$B$3,G$1:R$1,0)-1)*IF(OR(F526="L",F526="S",F526="I"),-1,1),"")</f>
        <v>-343.99</v>
      </c>
      <c r="AM526" s="905">
        <f t="shared" si="50"/>
        <v>703.75</v>
      </c>
      <c r="AN526" s="905">
        <f>INDEX(G526:R526,1,MATCH(Parametres!$B$3,G$1:R$1,0))*IF(OR(F526="L",F526="S",F526="I"),-1,1)</f>
        <v>359.76</v>
      </c>
      <c r="AO526" s="487" t="str">
        <f>+VLOOKUP($AJ526,Data_Validation!$A:$D,1,0)</f>
        <v>G32104</v>
      </c>
      <c r="AP526" s="487" t="str">
        <f>+VLOOKUP($AJ526,Data_Validation!$A:$D,3,0)</f>
        <v>Bilan</v>
      </c>
      <c r="AQ526" s="487" t="str">
        <f>+VLOOKUP($AJ526,Data_Validation!$A:$D,4,0)</f>
        <v>DAS à Payer</v>
      </c>
      <c r="AR526" s="487" t="s">
        <v>299</v>
      </c>
      <c r="AS526" s="487">
        <f>+VLOOKUP($AJ526,Data_Validation!$A:$E,5,0)</f>
        <v>0</v>
      </c>
      <c r="AT526" s="904" t="str">
        <f t="shared" si="51"/>
        <v>G32104</v>
      </c>
      <c r="AU526" s="488" t="str">
        <f t="shared" si="52"/>
        <v>COMPTES DE DEPENSES A/P</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hidden="1" customHeight="1">
      <c r="A527" s="706" t="s">
        <v>1148</v>
      </c>
      <c r="B527" s="706">
        <v>2026</v>
      </c>
      <c r="C527" s="706" t="s">
        <v>2100</v>
      </c>
      <c r="D527" s="706" t="s">
        <v>2101</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G32301</v>
      </c>
      <c r="AK527" s="905" t="str">
        <f t="shared" si="49"/>
        <v>REER COLLECTIF A PAYER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G32301</v>
      </c>
      <c r="AU527" s="488" t="str">
        <f t="shared" si="52"/>
        <v>REER COLLECTIF A PAYER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hidden="1" customHeight="1">
      <c r="A528" s="706" t="s">
        <v>1148</v>
      </c>
      <c r="B528" s="706">
        <v>2026</v>
      </c>
      <c r="C528" s="706" t="s">
        <v>2102</v>
      </c>
      <c r="D528" s="706" t="s">
        <v>2103</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G32302</v>
      </c>
      <c r="AK528" s="905" t="str">
        <f t="shared" si="49"/>
        <v>ASSURANCE CHOMAGE A PAYER</v>
      </c>
      <c r="AL528" s="905">
        <f>IFERROR(INDEX(G528:R528,1,MATCH(Parametres!$B$3,G$1:R$1,0)-1)*IF(OR(F528="L",F528="S",F528="I"),-1,1),"")</f>
        <v>0</v>
      </c>
      <c r="AM528" s="905">
        <f t="shared" si="50"/>
        <v>0</v>
      </c>
      <c r="AN528" s="905">
        <f>INDEX(G528:R528,1,MATCH(Parametres!$B$3,G$1:R$1,0))*IF(OR(F528="L",F528="S",F528="I"),-1,1)</f>
        <v>0</v>
      </c>
      <c r="AO528" s="487" t="str">
        <f>+VLOOKUP($AJ528,Data_Validation!$A:$D,1,0)</f>
        <v>G32302</v>
      </c>
      <c r="AP528" s="487">
        <f>+VLOOKUP($AJ528,Data_Validation!$A:$D,3,0)</f>
        <v>0</v>
      </c>
      <c r="AQ528" s="487">
        <f>+VLOOKUP($AJ528,Data_Validation!$A:$D,4,0)</f>
        <v>0</v>
      </c>
      <c r="AR528" s="487" t="s">
        <v>299</v>
      </c>
      <c r="AS528" s="487">
        <f>+VLOOKUP($AJ528,Data_Validation!$A:$E,5,0)</f>
        <v>0</v>
      </c>
      <c r="AT528" s="904" t="str">
        <f t="shared" si="51"/>
        <v>G32302</v>
      </c>
      <c r="AU528" s="488" t="str">
        <f t="shared" si="52"/>
        <v>ASSURANCE CHOMAGE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hidden="1" customHeight="1">
      <c r="A529" s="706" t="s">
        <v>1148</v>
      </c>
      <c r="B529" s="706">
        <v>2026</v>
      </c>
      <c r="C529" s="706" t="s">
        <v>2104</v>
      </c>
      <c r="D529" s="706" t="s">
        <v>2105</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G32303</v>
      </c>
      <c r="AK529" s="905" t="str">
        <f t="shared" si="49"/>
        <v>DON CHARITE A PAYER CENTR</v>
      </c>
      <c r="AL529" s="905">
        <f>IFERROR(INDEX(G529:R529,1,MATCH(Parametres!$B$3,G$1:R$1,0)-1)*IF(OR(F529="L",F529="S",F529="I"),-1,1),"")</f>
        <v>0</v>
      </c>
      <c r="AM529" s="905">
        <f t="shared" si="50"/>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51"/>
        <v>G32303</v>
      </c>
      <c r="AU529" s="488" t="str">
        <f t="shared" si="52"/>
        <v>DON CHARITE A PAYER CENTR</v>
      </c>
      <c r="AV529" s="899">
        <f>IFERROR(INDEX(V529:AG529,1,MATCH(Parametres!$B$3,V$1:AG$1,0)-1)*IF(OR(C529="L",C529="S",C529="I"),-1,1),"")</f>
        <v>0</v>
      </c>
      <c r="AW529" s="899">
        <f t="shared" si="53"/>
        <v>0</v>
      </c>
      <c r="AX529" s="899">
        <f>INDEX(V529:AG529,1,MATCH(Parametres!$B$3,V$1:AG$1,0))*IF(OR(C529="L",C529="S",C529="I"),-1,1)</f>
        <v>0</v>
      </c>
      <c r="AY529" s="487" t="s">
        <v>337</v>
      </c>
      <c r="AZ529" s="487" t="e">
        <f>+VLOOKUP($AJ529,Data_Validation!$A:$E,5,0)</f>
        <v>#N/A</v>
      </c>
    </row>
    <row r="530" spans="1:52" ht="15" hidden="1" customHeight="1">
      <c r="A530" s="706" t="s">
        <v>1148</v>
      </c>
      <c r="B530" s="706">
        <v>2026</v>
      </c>
      <c r="C530" s="706" t="s">
        <v>2106</v>
      </c>
      <c r="D530" s="706" t="s">
        <v>2107</v>
      </c>
      <c r="E530" s="706" t="s">
        <v>333</v>
      </c>
      <c r="F530" s="706" t="s">
        <v>1135</v>
      </c>
      <c r="G530" s="706">
        <v>-373845.78</v>
      </c>
      <c r="H530" s="706">
        <v>-394845.78</v>
      </c>
      <c r="I530" s="706">
        <v>-767365.78</v>
      </c>
      <c r="J530" s="706">
        <v>-767365.78</v>
      </c>
      <c r="K530" s="706">
        <v>-767365.78</v>
      </c>
      <c r="L530" s="706">
        <v>-767365.78</v>
      </c>
      <c r="M530" s="706">
        <v>-217309.92</v>
      </c>
      <c r="N530" s="706">
        <v>-217309.92</v>
      </c>
      <c r="O530" s="706">
        <v>-217309.92</v>
      </c>
      <c r="P530" s="706">
        <v>-217309.92</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G32304</v>
      </c>
      <c r="AK530" s="905" t="str">
        <f t="shared" si="49"/>
        <v>IMPOT FEDERAL A PAYER</v>
      </c>
      <c r="AL530" s="905">
        <f>IFERROR(INDEX(G530:R530,1,MATCH(Parametres!$B$3,G$1:R$1,0)-1)*IF(OR(F530="L",F530="S",F530="I"),-1,1),"")</f>
        <v>217309.92</v>
      </c>
      <c r="AM530" s="905">
        <f t="shared" si="50"/>
        <v>0</v>
      </c>
      <c r="AN530" s="905">
        <f>INDEX(G530:R530,1,MATCH(Parametres!$B$3,G$1:R$1,0))*IF(OR(F530="L",F530="S",F530="I"),-1,1)</f>
        <v>217309.92</v>
      </c>
      <c r="AO530" s="487" t="str">
        <f>+VLOOKUP($AJ530,Data_Validation!$A:$D,1,0)</f>
        <v>G32304</v>
      </c>
      <c r="AP530" s="487" t="str">
        <f>+VLOOKUP($AJ530,Data_Validation!$A:$D,3,0)</f>
        <v>Bilan</v>
      </c>
      <c r="AQ530" s="487" t="str">
        <f>+VLOOKUP($AJ530,Data_Validation!$A:$D,4,0)</f>
        <v>Frais Payés d'Avance</v>
      </c>
      <c r="AR530" s="487" t="s">
        <v>299</v>
      </c>
      <c r="AS530" s="487">
        <f>+VLOOKUP($AJ530,Data_Validation!$A:$E,5,0)</f>
        <v>0</v>
      </c>
      <c r="AT530" s="904" t="str">
        <f t="shared" si="51"/>
        <v>G32304</v>
      </c>
      <c r="AU530" s="488" t="str">
        <f t="shared" si="52"/>
        <v>IMPOT FEDERAL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hidden="1" customHeight="1">
      <c r="A531" s="706" t="s">
        <v>1148</v>
      </c>
      <c r="B531" s="706">
        <v>2026</v>
      </c>
      <c r="C531" s="706" t="s">
        <v>2108</v>
      </c>
      <c r="D531" s="706" t="s">
        <v>2109</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G32305</v>
      </c>
      <c r="AK531" s="905" t="str">
        <f t="shared" ref="AK531:AK594" si="55">D531</f>
        <v>REGIME ASS. MALADIE PAYER</v>
      </c>
      <c r="AL531" s="905">
        <f>IFERROR(INDEX(G531:R531,1,MATCH(Parametres!$B$3,G$1:R$1,0)-1)*IF(OR(F531="L",F531="S",F531="I"),-1,1),"")</f>
        <v>0</v>
      </c>
      <c r="AM531" s="905">
        <f t="shared" si="50"/>
        <v>0</v>
      </c>
      <c r="AN531" s="905">
        <f>INDEX(G531:R531,1,MATCH(Parametres!$B$3,G$1:R$1,0))*IF(OR(F531="L",F531="S",F531="I"),-1,1)</f>
        <v>0</v>
      </c>
      <c r="AO531" s="487" t="str">
        <f>+VLOOKUP($AJ531,Data_Validation!$A:$D,1,0)</f>
        <v>G32305</v>
      </c>
      <c r="AP531" s="487">
        <f>+VLOOKUP($AJ531,Data_Validation!$A:$D,3,0)</f>
        <v>0</v>
      </c>
      <c r="AQ531" s="487">
        <f>+VLOOKUP($AJ531,Data_Validation!$A:$D,4,0)</f>
        <v>0</v>
      </c>
      <c r="AR531" s="487" t="s">
        <v>299</v>
      </c>
      <c r="AS531" s="487">
        <f>+VLOOKUP($AJ531,Data_Validation!$A:$E,5,0)</f>
        <v>0</v>
      </c>
      <c r="AT531" s="904" t="str">
        <f t="shared" si="51"/>
        <v>G32305</v>
      </c>
      <c r="AU531" s="488" t="str">
        <f t="shared" si="52"/>
        <v>REGIME ASS. MALADIE PAYER</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hidden="1" customHeight="1">
      <c r="A532" s="706" t="s">
        <v>1148</v>
      </c>
      <c r="B532" s="706">
        <v>2026</v>
      </c>
      <c r="C532" s="706" t="s">
        <v>2110</v>
      </c>
      <c r="D532" s="706" t="s">
        <v>2111</v>
      </c>
      <c r="E532" s="706" t="s">
        <v>333</v>
      </c>
      <c r="F532" s="706" t="s">
        <v>1135</v>
      </c>
      <c r="G532" s="706">
        <v>-275879.24</v>
      </c>
      <c r="H532" s="706">
        <v>-297379.24</v>
      </c>
      <c r="I532" s="706">
        <v>-606735.24</v>
      </c>
      <c r="J532" s="706">
        <v>-606735.24</v>
      </c>
      <c r="K532" s="706">
        <v>-606735.24</v>
      </c>
      <c r="L532" s="706">
        <v>-606735.24</v>
      </c>
      <c r="M532" s="706">
        <v>-172488.04</v>
      </c>
      <c r="N532" s="706">
        <v>-200576.24</v>
      </c>
      <c r="O532" s="706">
        <v>-178057.51</v>
      </c>
      <c r="P532" s="706">
        <v>-178057.51</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G32306</v>
      </c>
      <c r="AK532" s="905" t="str">
        <f t="shared" si="55"/>
        <v>IMPOT PROVINCIAL A PAYER</v>
      </c>
      <c r="AL532" s="905">
        <f>IFERROR(INDEX(G532:R532,1,MATCH(Parametres!$B$3,G$1:R$1,0)-1)*IF(OR(F532="L",F532="S",F532="I"),-1,1),"")</f>
        <v>200576.24</v>
      </c>
      <c r="AM532" s="905">
        <f t="shared" si="50"/>
        <v>-22518.729999999981</v>
      </c>
      <c r="AN532" s="905">
        <f>INDEX(G532:R532,1,MATCH(Parametres!$B$3,G$1:R$1,0))*IF(OR(F532="L",F532="S",F532="I"),-1,1)</f>
        <v>178057.51</v>
      </c>
      <c r="AO532" s="487" t="str">
        <f>+VLOOKUP($AJ532,Data_Validation!$A:$D,1,0)</f>
        <v>G32306</v>
      </c>
      <c r="AP532" s="487" t="str">
        <f>+VLOOKUP($AJ532,Data_Validation!$A:$D,3,0)</f>
        <v>Bilan</v>
      </c>
      <c r="AQ532" s="487" t="str">
        <f>+VLOOKUP($AJ532,Data_Validation!$A:$D,4,0)</f>
        <v>Frais Payés d'Avance</v>
      </c>
      <c r="AR532" s="487" t="s">
        <v>299</v>
      </c>
      <c r="AS532" s="487">
        <f>+VLOOKUP($AJ532,Data_Validation!$A:$E,5,0)</f>
        <v>0</v>
      </c>
      <c r="AT532" s="904" t="str">
        <f t="shared" si="51"/>
        <v>G32306</v>
      </c>
      <c r="AU532" s="488" t="str">
        <f t="shared" si="52"/>
        <v>IMPOT PROVINCIAL A PAYER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2112</v>
      </c>
      <c r="D533" s="706" t="s">
        <v>2113</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G32307</v>
      </c>
      <c r="AK533" s="905" t="str">
        <f t="shared" si="55"/>
        <v>REGIME DES RENTES QUEBEC</v>
      </c>
      <c r="AL533" s="905">
        <f>IFERROR(INDEX(G533:R533,1,MATCH(Parametres!$B$3,G$1:R$1,0)-1)*IF(OR(F533="L",F533="S",F533="I"),-1,1),"")</f>
        <v>0</v>
      </c>
      <c r="AM533" s="905">
        <f t="shared" si="50"/>
        <v>0</v>
      </c>
      <c r="AN533" s="905">
        <f>INDEX(G533:R533,1,MATCH(Parametres!$B$3,G$1:R$1,0))*IF(OR(F533="L",F533="S",F533="I"),-1,1)</f>
        <v>0</v>
      </c>
      <c r="AO533" s="487" t="str">
        <f>+VLOOKUP($AJ533,Data_Validation!$A:$D,1,0)</f>
        <v>G32307</v>
      </c>
      <c r="AP533" s="487">
        <f>+VLOOKUP($AJ533,Data_Validation!$A:$D,3,0)</f>
        <v>0</v>
      </c>
      <c r="AQ533" s="487">
        <f>+VLOOKUP($AJ533,Data_Validation!$A:$D,4,0)</f>
        <v>0</v>
      </c>
      <c r="AR533" s="487" t="s">
        <v>299</v>
      </c>
      <c r="AS533" s="487">
        <f>+VLOOKUP($AJ533,Data_Validation!$A:$E,5,0)</f>
        <v>0</v>
      </c>
      <c r="AT533" s="904" t="str">
        <f t="shared" si="51"/>
        <v>G32307</v>
      </c>
      <c r="AU533" s="488" t="str">
        <f t="shared" si="52"/>
        <v>REGIME DES RENTES QUEBEC</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hidden="1" customHeight="1">
      <c r="A534" s="706" t="s">
        <v>1148</v>
      </c>
      <c r="B534" s="706">
        <v>2026</v>
      </c>
      <c r="C534" s="706" t="s">
        <v>2114</v>
      </c>
      <c r="D534" s="706" t="s">
        <v>2115</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G32308</v>
      </c>
      <c r="AK534" s="905" t="str">
        <f t="shared" si="55"/>
        <v>COTISATIONS COMITE EMPLOY</v>
      </c>
      <c r="AL534" s="905">
        <f>IFERROR(INDEX(G534:R534,1,MATCH(Parametres!$B$3,G$1:R$1,0)-1)*IF(OR(F534="L",F534="S",F534="I"),-1,1),"")</f>
        <v>0</v>
      </c>
      <c r="AM534" s="905">
        <f t="shared" si="50"/>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51"/>
        <v>G32308</v>
      </c>
      <c r="AU534" s="488" t="str">
        <f t="shared" si="52"/>
        <v>COTISATIONS COMITE EMPLOY</v>
      </c>
      <c r="AV534" s="899">
        <f>IFERROR(INDEX(V534:AG534,1,MATCH(Parametres!$B$3,V$1:AG$1,0)-1)*IF(OR(C534="L",C534="S",C534="I"),-1,1),"")</f>
        <v>0</v>
      </c>
      <c r="AW534" s="899">
        <f t="shared" si="53"/>
        <v>0</v>
      </c>
      <c r="AX534" s="899">
        <f>INDEX(V534:AG534,1,MATCH(Parametres!$B$3,V$1:AG$1,0))*IF(OR(C534="L",C534="S",C534="I"),-1,1)</f>
        <v>0</v>
      </c>
      <c r="AY534" s="487" t="s">
        <v>337</v>
      </c>
      <c r="AZ534" s="487" t="e">
        <f>+VLOOKUP($AJ534,Data_Validation!$A:$E,5,0)</f>
        <v>#N/A</v>
      </c>
    </row>
    <row r="535" spans="1:52" ht="15" hidden="1" customHeight="1">
      <c r="A535" s="706" t="s">
        <v>1148</v>
      </c>
      <c r="B535" s="706">
        <v>2026</v>
      </c>
      <c r="C535" s="706" t="s">
        <v>2116</v>
      </c>
      <c r="D535" s="706" t="s">
        <v>2117</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G32309</v>
      </c>
      <c r="AK535" s="905" t="str">
        <f t="shared" si="55"/>
        <v>FONDS PENSION EMPLOYES</v>
      </c>
      <c r="AL535" s="905">
        <f>IFERROR(INDEX(G535:R535,1,MATCH(Parametres!$B$3,G$1:R$1,0)-1)*IF(OR(F535="L",F535="S",F535="I"),-1,1),"")</f>
        <v>0</v>
      </c>
      <c r="AM535" s="905">
        <f t="shared" si="50"/>
        <v>0</v>
      </c>
      <c r="AN535" s="905">
        <f>INDEX(G535:R535,1,MATCH(Parametres!$B$3,G$1:R$1,0))*IF(OR(F535="L",F535="S",F535="I"),-1,1)</f>
        <v>0</v>
      </c>
      <c r="AO535" s="487" t="str">
        <f>+VLOOKUP($AJ535,Data_Validation!$A:$D,1,0)</f>
        <v>G32309</v>
      </c>
      <c r="AP535" s="487">
        <f>+VLOOKUP($AJ535,Data_Validation!$A:$D,3,0)</f>
        <v>0</v>
      </c>
      <c r="AQ535" s="487">
        <f>+VLOOKUP($AJ535,Data_Validation!$A:$D,4,0)</f>
        <v>0</v>
      </c>
      <c r="AR535" s="487" t="s">
        <v>299</v>
      </c>
      <c r="AS535" s="487">
        <f>+VLOOKUP($AJ535,Data_Validation!$A:$E,5,0)</f>
        <v>0</v>
      </c>
      <c r="AT535" s="904" t="str">
        <f t="shared" si="51"/>
        <v>G32309</v>
      </c>
      <c r="AU535" s="488" t="str">
        <f t="shared" si="52"/>
        <v>FONDS PENSION EMPLOYES</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2118</v>
      </c>
      <c r="D536" s="706" t="s">
        <v>2119</v>
      </c>
      <c r="E536" s="706" t="s">
        <v>333</v>
      </c>
      <c r="F536" s="706" t="s">
        <v>1135</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G32310</v>
      </c>
      <c r="AK536" s="905" t="str">
        <f t="shared" si="55"/>
        <v>FONDS PENSION EMPLOYEUR</v>
      </c>
      <c r="AL536" s="905">
        <f>IFERROR(INDEX(G536:R536,1,MATCH(Parametres!$B$3,G$1:R$1,0)-1)*IF(OR(F536="L",F536="S",F536="I"),-1,1),"")</f>
        <v>0</v>
      </c>
      <c r="AM536" s="905">
        <f t="shared" si="50"/>
        <v>0</v>
      </c>
      <c r="AN536" s="905">
        <f>INDEX(G536:R536,1,MATCH(Parametres!$B$3,G$1:R$1,0))*IF(OR(F536="L",F536="S",F536="I"),-1,1)</f>
        <v>0</v>
      </c>
      <c r="AO536" s="487" t="str">
        <f>+VLOOKUP($AJ536,Data_Validation!$A:$D,1,0)</f>
        <v>G32310</v>
      </c>
      <c r="AP536" s="487">
        <f>+VLOOKUP($AJ536,Data_Validation!$A:$D,3,0)</f>
        <v>0</v>
      </c>
      <c r="AQ536" s="487">
        <f>+VLOOKUP($AJ536,Data_Validation!$A:$D,4,0)</f>
        <v>0</v>
      </c>
      <c r="AR536" s="487" t="s">
        <v>299</v>
      </c>
      <c r="AS536" s="487">
        <f>+VLOOKUP($AJ536,Data_Validation!$A:$E,5,0)</f>
        <v>0</v>
      </c>
      <c r="AT536" s="904" t="str">
        <f t="shared" si="51"/>
        <v>G32310</v>
      </c>
      <c r="AU536" s="488" t="str">
        <f t="shared" si="52"/>
        <v>FONDS PENSION EMPLOYEUR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2120</v>
      </c>
      <c r="D537" s="706" t="s">
        <v>2121</v>
      </c>
      <c r="E537" s="706" t="s">
        <v>333</v>
      </c>
      <c r="F537" s="706" t="s">
        <v>1135</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G32311</v>
      </c>
      <c r="AK537" s="905" t="str">
        <f t="shared" si="55"/>
        <v>RQAP A PAYER</v>
      </c>
      <c r="AL537" s="905">
        <f>IFERROR(INDEX(G537:R537,1,MATCH(Parametres!$B$3,G$1:R$1,0)-1)*IF(OR(F537="L",F537="S",F537="I"),-1,1),"")</f>
        <v>0</v>
      </c>
      <c r="AM537" s="905">
        <f t="shared" si="50"/>
        <v>0</v>
      </c>
      <c r="AN537" s="905">
        <f>INDEX(G537:R537,1,MATCH(Parametres!$B$3,G$1:R$1,0))*IF(OR(F537="L",F537="S",F537="I"),-1,1)</f>
        <v>0</v>
      </c>
      <c r="AO537" s="487" t="str">
        <f>+VLOOKUP($AJ537,Data_Validation!$A:$D,1,0)</f>
        <v>G32311</v>
      </c>
      <c r="AP537" s="487">
        <f>+VLOOKUP($AJ537,Data_Validation!$A:$D,3,0)</f>
        <v>0</v>
      </c>
      <c r="AQ537" s="487">
        <f>+VLOOKUP($AJ537,Data_Validation!$A:$D,4,0)</f>
        <v>0</v>
      </c>
      <c r="AR537" s="487" t="s">
        <v>299</v>
      </c>
      <c r="AS537" s="487">
        <f>+VLOOKUP($AJ537,Data_Validation!$A:$E,5,0)</f>
        <v>0</v>
      </c>
      <c r="AT537" s="904" t="str">
        <f t="shared" si="51"/>
        <v>G32311</v>
      </c>
      <c r="AU537" s="488" t="str">
        <f t="shared" si="52"/>
        <v>RQAP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2122</v>
      </c>
      <c r="D538" s="706" t="s">
        <v>2123</v>
      </c>
      <c r="E538" s="706" t="s">
        <v>333</v>
      </c>
      <c r="F538" s="706" t="s">
        <v>1135</v>
      </c>
      <c r="G538" s="706">
        <v>3449.82</v>
      </c>
      <c r="H538" s="706">
        <v>3657.94</v>
      </c>
      <c r="I538" s="706">
        <v>3857.78</v>
      </c>
      <c r="J538" s="706">
        <v>12747.76</v>
      </c>
      <c r="K538" s="706">
        <v>13107.46</v>
      </c>
      <c r="L538" s="706">
        <v>13107.46</v>
      </c>
      <c r="M538" s="706">
        <v>13107.46</v>
      </c>
      <c r="N538" s="706">
        <v>0</v>
      </c>
      <c r="O538" s="706">
        <v>0</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G32312</v>
      </c>
      <c r="AK538" s="905" t="str">
        <f t="shared" si="55"/>
        <v>CSST A PAYER</v>
      </c>
      <c r="AL538" s="905">
        <f>IFERROR(INDEX(G538:R538,1,MATCH(Parametres!$B$3,G$1:R$1,0)-1)*IF(OR(F538="L",F538="S",F538="I"),-1,1),"")</f>
        <v>0</v>
      </c>
      <c r="AM538" s="905">
        <f t="shared" si="50"/>
        <v>0</v>
      </c>
      <c r="AN538" s="905">
        <f>INDEX(G538:R538,1,MATCH(Parametres!$B$3,G$1:R$1,0))*IF(OR(F538="L",F538="S",F538="I"),-1,1)</f>
        <v>0</v>
      </c>
      <c r="AO538" s="487" t="str">
        <f>+VLOOKUP($AJ538,Data_Validation!$A:$D,1,0)</f>
        <v>G32312</v>
      </c>
      <c r="AP538" s="487" t="str">
        <f>+VLOOKUP($AJ538,Data_Validation!$A:$D,3,0)</f>
        <v>Bilan</v>
      </c>
      <c r="AQ538" s="487" t="str">
        <f>+VLOOKUP($AJ538,Data_Validation!$A:$D,4,0)</f>
        <v>DAS à Payer</v>
      </c>
      <c r="AR538" s="487" t="s">
        <v>299</v>
      </c>
      <c r="AS538" s="487">
        <f>+VLOOKUP($AJ538,Data_Validation!$A:$E,5,0)</f>
        <v>0</v>
      </c>
      <c r="AT538" s="904" t="str">
        <f t="shared" si="51"/>
        <v>G32312</v>
      </c>
      <c r="AU538" s="488" t="str">
        <f t="shared" si="52"/>
        <v>CSST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3195</v>
      </c>
      <c r="D539" s="706" t="s">
        <v>3196</v>
      </c>
      <c r="E539" s="706" t="s">
        <v>333</v>
      </c>
      <c r="F539" s="706" t="s">
        <v>1135</v>
      </c>
      <c r="G539" s="706">
        <v>0</v>
      </c>
      <c r="H539" s="706">
        <v>0</v>
      </c>
      <c r="I539" s="706">
        <v>0</v>
      </c>
      <c r="J539" s="706">
        <v>0</v>
      </c>
      <c r="K539" s="706">
        <v>0</v>
      </c>
      <c r="L539" s="706">
        <v>214.98</v>
      </c>
      <c r="M539" s="706">
        <v>427.01</v>
      </c>
      <c r="N539" s="706">
        <v>1889.09</v>
      </c>
      <c r="O539" s="706">
        <v>2075.62</v>
      </c>
      <c r="P539" s="706">
        <v>2075.62</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G32313</v>
      </c>
      <c r="AK539" s="905" t="str">
        <f t="shared" si="55"/>
        <v>CNT A PAYER</v>
      </c>
      <c r="AL539" s="905">
        <f>IFERROR(INDEX(G539:R539,1,MATCH(Parametres!$B$3,G$1:R$1,0)-1)*IF(OR(F539="L",F539="S",F539="I"),-1,1),"")</f>
        <v>-1889.09</v>
      </c>
      <c r="AM539" s="905">
        <f t="shared" si="50"/>
        <v>-186.52999999999997</v>
      </c>
      <c r="AN539" s="905">
        <f>INDEX(G539:R539,1,MATCH(Parametres!$B$3,G$1:R$1,0))*IF(OR(F539="L",F539="S",F539="I"),-1,1)</f>
        <v>-2075.62</v>
      </c>
      <c r="AO539" s="487" t="str">
        <f>+VLOOKUP($AJ539,Data_Validation!$A:$D,1,0)</f>
        <v>G32313</v>
      </c>
      <c r="AP539" s="487" t="str">
        <f>+VLOOKUP($AJ539,Data_Validation!$A:$D,3,0)</f>
        <v>Bilan</v>
      </c>
      <c r="AQ539" s="487" t="str">
        <f>+VLOOKUP($AJ539,Data_Validation!$A:$D,4,0)</f>
        <v>DAS à Payer</v>
      </c>
      <c r="AR539" s="487" t="s">
        <v>299</v>
      </c>
      <c r="AS539" s="487">
        <f>+VLOOKUP($AJ539,Data_Validation!$A:$E,5,0)</f>
        <v>0</v>
      </c>
      <c r="AT539" s="904" t="str">
        <f t="shared" si="51"/>
        <v>G32313</v>
      </c>
      <c r="AU539" s="488" t="str">
        <f t="shared" si="52"/>
        <v>CNT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2124</v>
      </c>
      <c r="D540" s="706" t="s">
        <v>3325</v>
      </c>
      <c r="E540" s="706" t="s">
        <v>333</v>
      </c>
      <c r="F540" s="706" t="s">
        <v>1135</v>
      </c>
      <c r="G540" s="706">
        <v>104972.94</v>
      </c>
      <c r="H540" s="706">
        <v>91135.21</v>
      </c>
      <c r="I540" s="706">
        <v>105499.53</v>
      </c>
      <c r="J540" s="706">
        <v>130073.13</v>
      </c>
      <c r="K540" s="706">
        <v>57634.14</v>
      </c>
      <c r="L540" s="706">
        <v>106096.86</v>
      </c>
      <c r="M540" s="706">
        <v>106698.28</v>
      </c>
      <c r="N540" s="706">
        <v>105747.55</v>
      </c>
      <c r="O540" s="706">
        <v>132125.42000000001</v>
      </c>
      <c r="P540" s="706">
        <v>148323.5</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G32400</v>
      </c>
      <c r="AK540" s="905" t="str">
        <f t="shared" si="55"/>
        <v>T.V.Q. A PAYER</v>
      </c>
      <c r="AL540" s="905">
        <f>IFERROR(INDEX(G540:R540,1,MATCH(Parametres!$B$3,G$1:R$1,0)-1)*IF(OR(F540="L",F540="S",F540="I"),-1,1),"")</f>
        <v>-105747.55</v>
      </c>
      <c r="AM540" s="905">
        <f t="shared" si="50"/>
        <v>-26377.87000000001</v>
      </c>
      <c r="AN540" s="905">
        <f>INDEX(G540:R540,1,MATCH(Parametres!$B$3,G$1:R$1,0))*IF(OR(F540="L",F540="S",F540="I"),-1,1)</f>
        <v>-132125.42000000001</v>
      </c>
      <c r="AO540" s="487" t="str">
        <f>+VLOOKUP($AJ540,Data_Validation!$A:$D,1,0)</f>
        <v>G32400</v>
      </c>
      <c r="AP540" s="487" t="str">
        <f>+VLOOKUP($AJ540,Data_Validation!$A:$D,3,0)</f>
        <v>Bilan</v>
      </c>
      <c r="AQ540" s="487" t="str">
        <f>+VLOOKUP($AJ540,Data_Validation!$A:$D,4,0)</f>
        <v>Taxes de Vente à Payer</v>
      </c>
      <c r="AR540" s="487" t="s">
        <v>299</v>
      </c>
      <c r="AS540" s="487">
        <f>+VLOOKUP($AJ540,Data_Validation!$A:$E,5,0)</f>
        <v>0</v>
      </c>
      <c r="AT540" s="904" t="str">
        <f t="shared" si="51"/>
        <v>G32400</v>
      </c>
      <c r="AU540" s="488" t="str">
        <f t="shared" si="52"/>
        <v>T.V.Q.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2126</v>
      </c>
      <c r="D541" s="706" t="s">
        <v>2127</v>
      </c>
      <c r="E541" s="706" t="s">
        <v>333</v>
      </c>
      <c r="F541" s="706" t="s">
        <v>1135</v>
      </c>
      <c r="G541" s="706">
        <v>1076451.8400000001</v>
      </c>
      <c r="H541" s="706">
        <v>902541.32</v>
      </c>
      <c r="I541" s="706">
        <v>1152829.07</v>
      </c>
      <c r="J541" s="706">
        <v>3897674.97</v>
      </c>
      <c r="K541" s="706">
        <v>1140831.3600000001</v>
      </c>
      <c r="L541" s="706">
        <v>986858.79</v>
      </c>
      <c r="M541" s="706">
        <v>699437.82</v>
      </c>
      <c r="N541" s="706">
        <v>654244.14</v>
      </c>
      <c r="O541" s="706">
        <v>594450.48</v>
      </c>
      <c r="P541" s="706">
        <v>636199.67000000004</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G32401</v>
      </c>
      <c r="AK541" s="905" t="str">
        <f t="shared" si="55"/>
        <v>T.P.S. A PAYER</v>
      </c>
      <c r="AL541" s="905">
        <f>IFERROR(INDEX(G541:R541,1,MATCH(Parametres!$B$3,G$1:R$1,0)-1)*IF(OR(F541="L",F541="S",F541="I"),-1,1),"")</f>
        <v>-654244.14</v>
      </c>
      <c r="AM541" s="905">
        <f t="shared" si="50"/>
        <v>59793.660000000033</v>
      </c>
      <c r="AN541" s="905">
        <f>INDEX(G541:R541,1,MATCH(Parametres!$B$3,G$1:R$1,0))*IF(OR(F541="L",F541="S",F541="I"),-1,1)</f>
        <v>-594450.48</v>
      </c>
      <c r="AO541" s="487" t="str">
        <f>+VLOOKUP($AJ541,Data_Validation!$A:$D,1,0)</f>
        <v>G32401</v>
      </c>
      <c r="AP541" s="487" t="str">
        <f>+VLOOKUP($AJ541,Data_Validation!$A:$D,3,0)</f>
        <v>Bilan</v>
      </c>
      <c r="AQ541" s="487" t="str">
        <f>+VLOOKUP($AJ541,Data_Validation!$A:$D,4,0)</f>
        <v>Taxes de Vente à Payer</v>
      </c>
      <c r="AR541" s="487" t="s">
        <v>299</v>
      </c>
      <c r="AS541" s="487">
        <f>+VLOOKUP($AJ541,Data_Validation!$A:$E,5,0)</f>
        <v>0</v>
      </c>
      <c r="AT541" s="904" t="str">
        <f t="shared" si="51"/>
        <v>G32401</v>
      </c>
      <c r="AU541" s="488" t="str">
        <f t="shared" si="52"/>
        <v>T.P.S.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2128</v>
      </c>
      <c r="D542" s="706" t="s">
        <v>2129</v>
      </c>
      <c r="E542" s="706" t="s">
        <v>333</v>
      </c>
      <c r="F542" s="706" t="s">
        <v>1135</v>
      </c>
      <c r="G542" s="706">
        <v>195.93</v>
      </c>
      <c r="H542" s="706">
        <v>364.95</v>
      </c>
      <c r="I542" s="706">
        <v>275.39999999999998</v>
      </c>
      <c r="J542" s="706">
        <v>280.52999999999997</v>
      </c>
      <c r="K542" s="706">
        <v>0</v>
      </c>
      <c r="L542" s="706">
        <v>0</v>
      </c>
      <c r="M542" s="706">
        <v>609.33000000000004</v>
      </c>
      <c r="N542" s="706">
        <v>398.6</v>
      </c>
      <c r="O542" s="706">
        <v>171.99</v>
      </c>
      <c r="P542" s="706">
        <v>171.99</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G32402</v>
      </c>
      <c r="AK542" s="905" t="str">
        <f t="shared" si="55"/>
        <v>TPA ASSURANCES</v>
      </c>
      <c r="AL542" s="905">
        <f>IFERROR(INDEX(G542:R542,1,MATCH(Parametres!$B$3,G$1:R$1,0)-1)*IF(OR(F542="L",F542="S",F542="I"),-1,1),"")</f>
        <v>-398.6</v>
      </c>
      <c r="AM542" s="905">
        <f t="shared" si="50"/>
        <v>226.61</v>
      </c>
      <c r="AN542" s="905">
        <f>INDEX(G542:R542,1,MATCH(Parametres!$B$3,G$1:R$1,0))*IF(OR(F542="L",F542="S",F542="I"),-1,1)</f>
        <v>-171.99</v>
      </c>
      <c r="AO542" s="487" t="str">
        <f>+VLOOKUP($AJ542,Data_Validation!$A:$D,1,0)</f>
        <v>G32402</v>
      </c>
      <c r="AP542" s="487" t="str">
        <f>+VLOOKUP($AJ542,Data_Validation!$A:$D,3,0)</f>
        <v>Bilan</v>
      </c>
      <c r="AQ542" s="487" t="str">
        <f>+VLOOKUP($AJ542,Data_Validation!$A:$D,4,0)</f>
        <v>Taxes de Vente à Payer</v>
      </c>
      <c r="AR542" s="487" t="s">
        <v>299</v>
      </c>
      <c r="AS542" s="487">
        <f>+VLOOKUP($AJ542,Data_Validation!$A:$E,5,0)</f>
        <v>0</v>
      </c>
      <c r="AT542" s="904" t="str">
        <f t="shared" si="51"/>
        <v>G32402</v>
      </c>
      <c r="AU542" s="488" t="str">
        <f t="shared" si="52"/>
        <v>TPA ASSURANCES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2130</v>
      </c>
      <c r="D543" s="706" t="s">
        <v>2131</v>
      </c>
      <c r="E543" s="706" t="s">
        <v>333</v>
      </c>
      <c r="F543" s="706" t="s">
        <v>1135</v>
      </c>
      <c r="G543" s="706">
        <v>5030</v>
      </c>
      <c r="H543" s="706">
        <v>12525.92</v>
      </c>
      <c r="I543" s="706">
        <v>21790.14</v>
      </c>
      <c r="J543" s="706">
        <v>2267.56</v>
      </c>
      <c r="K543" s="706">
        <v>10794.43</v>
      </c>
      <c r="L543" s="706">
        <v>27004.639999999999</v>
      </c>
      <c r="M543" s="706">
        <v>12198.69</v>
      </c>
      <c r="N543" s="706">
        <v>12410.57</v>
      </c>
      <c r="O543" s="706">
        <v>31679.77</v>
      </c>
      <c r="P543" s="706">
        <v>31679.77</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G32500</v>
      </c>
      <c r="AK543" s="905" t="str">
        <f t="shared" si="55"/>
        <v>TAXE DELUXE A PAYER</v>
      </c>
      <c r="AL543" s="905">
        <f>IFERROR(INDEX(G543:R543,1,MATCH(Parametres!$B$3,G$1:R$1,0)-1)*IF(OR(F543="L",F543="S",F543="I"),-1,1),"")</f>
        <v>-12410.57</v>
      </c>
      <c r="AM543" s="905">
        <f t="shared" si="50"/>
        <v>-19269.2</v>
      </c>
      <c r="AN543" s="905">
        <f>INDEX(G543:R543,1,MATCH(Parametres!$B$3,G$1:R$1,0))*IF(OR(F543="L",F543="S",F543="I"),-1,1)</f>
        <v>-31679.77</v>
      </c>
      <c r="AO543" s="487" t="str">
        <f>+VLOOKUP($AJ543,Data_Validation!$A:$D,1,0)</f>
        <v>G32500</v>
      </c>
      <c r="AP543" s="487" t="str">
        <f>+VLOOKUP($AJ543,Data_Validation!$A:$D,3,0)</f>
        <v>Bilan</v>
      </c>
      <c r="AQ543" s="487" t="str">
        <f>+VLOOKUP($AJ543,Data_Validation!$A:$D,4,0)</f>
        <v>Taxes de Vente à Payer</v>
      </c>
      <c r="AR543" s="487" t="s">
        <v>299</v>
      </c>
      <c r="AS543" s="487">
        <f>+VLOOKUP($AJ543,Data_Validation!$A:$E,5,0)</f>
        <v>0</v>
      </c>
      <c r="AT543" s="904" t="str">
        <f t="shared" si="51"/>
        <v>G32500</v>
      </c>
      <c r="AU543" s="488" t="str">
        <f t="shared" si="52"/>
        <v>TAXE DELUXE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2132</v>
      </c>
      <c r="D544" s="706" t="s">
        <v>1154</v>
      </c>
      <c r="E544" s="706" t="s">
        <v>333</v>
      </c>
      <c r="F544" s="706" t="s">
        <v>1135</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G32700</v>
      </c>
      <c r="AK544" s="905" t="str">
        <f t="shared" si="55"/>
        <v>IMPÔTS EXIGIBLES</v>
      </c>
      <c r="AL544" s="905">
        <f>IFERROR(INDEX(G544:R544,1,MATCH(Parametres!$B$3,G$1:R$1,0)-1)*IF(OR(F544="L",F544="S",F544="I"),-1,1),"")</f>
        <v>0</v>
      </c>
      <c r="AM544" s="905">
        <f t="shared" si="50"/>
        <v>0</v>
      </c>
      <c r="AN544" s="905">
        <f>INDEX(G544:R544,1,MATCH(Parametres!$B$3,G$1:R$1,0))*IF(OR(F544="L",F544="S",F544="I"),-1,1)</f>
        <v>0</v>
      </c>
      <c r="AO544" s="487" t="str">
        <f>+VLOOKUP($AJ544,Data_Validation!$A:$D,1,0)</f>
        <v>G32700</v>
      </c>
      <c r="AP544" s="487" t="str">
        <f>+VLOOKUP($AJ544,Data_Validation!$A:$D,3,0)</f>
        <v>Bilan</v>
      </c>
      <c r="AQ544" s="487" t="str">
        <f>+VLOOKUP($AJ544,Data_Validation!$A:$D,4,0)</f>
        <v>Impôts à payer</v>
      </c>
      <c r="AR544" s="487" t="s">
        <v>299</v>
      </c>
      <c r="AS544" s="487">
        <f>+VLOOKUP($AJ544,Data_Validation!$A:$E,5,0)</f>
        <v>0</v>
      </c>
      <c r="AT544" s="904" t="str">
        <f t="shared" si="51"/>
        <v>G32700</v>
      </c>
      <c r="AU544" s="488" t="str">
        <f t="shared" si="52"/>
        <v>IMPÔTS EXIGIBLES</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2133</v>
      </c>
      <c r="D545" s="706" t="s">
        <v>1147</v>
      </c>
      <c r="E545" s="706" t="s">
        <v>333</v>
      </c>
      <c r="F545" s="706" t="s">
        <v>1135</v>
      </c>
      <c r="G545" s="706">
        <v>0</v>
      </c>
      <c r="H545" s="706">
        <v>0</v>
      </c>
      <c r="I545" s="706">
        <v>12274.51</v>
      </c>
      <c r="J545" s="706">
        <v>19394.73</v>
      </c>
      <c r="K545" s="706">
        <v>11577.99</v>
      </c>
      <c r="L545" s="706">
        <v>13279.16</v>
      </c>
      <c r="M545" s="706">
        <v>20373.650000000001</v>
      </c>
      <c r="N545" s="706">
        <v>17501.990000000002</v>
      </c>
      <c r="O545" s="706">
        <v>-3672.38</v>
      </c>
      <c r="P545" s="706">
        <v>-3672.38</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G32800</v>
      </c>
      <c r="AK545" s="905" t="str">
        <f t="shared" si="55"/>
        <v>BONI A PAYER</v>
      </c>
      <c r="AL545" s="905">
        <f>IFERROR(INDEX(G545:R545,1,MATCH(Parametres!$B$3,G$1:R$1,0)-1)*IF(OR(F545="L",F545="S",F545="I"),-1,1),"")</f>
        <v>-17501.990000000002</v>
      </c>
      <c r="AM545" s="905">
        <f t="shared" si="50"/>
        <v>21174.370000000003</v>
      </c>
      <c r="AN545" s="905">
        <f>INDEX(G545:R545,1,MATCH(Parametres!$B$3,G$1:R$1,0))*IF(OR(F545="L",F545="S",F545="I"),-1,1)</f>
        <v>3672.38</v>
      </c>
      <c r="AO545" s="487" t="str">
        <f>+VLOOKUP($AJ545,Data_Validation!$A:$D,1,0)</f>
        <v>G32800</v>
      </c>
      <c r="AP545" s="487" t="str">
        <f>+VLOOKUP($AJ545,Data_Validation!$A:$D,3,0)</f>
        <v>Bilan</v>
      </c>
      <c r="AQ545" s="487" t="str">
        <f>+VLOOKUP($AJ545,Data_Validation!$A:$D,4,0)</f>
        <v>Salaires à Payer</v>
      </c>
      <c r="AR545" s="487" t="s">
        <v>299</v>
      </c>
      <c r="AS545" s="487">
        <f>+VLOOKUP($AJ545,Data_Validation!$A:$E,5,0)</f>
        <v>0</v>
      </c>
      <c r="AT545" s="904" t="str">
        <f t="shared" si="51"/>
        <v>G32800</v>
      </c>
      <c r="AU545" s="488" t="str">
        <f t="shared" si="52"/>
        <v>BONI A PAYER</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2134</v>
      </c>
      <c r="D546" s="706" t="s">
        <v>2135</v>
      </c>
      <c r="E546" s="706" t="s">
        <v>333</v>
      </c>
      <c r="F546" s="706" t="s">
        <v>1135</v>
      </c>
      <c r="G546" s="706">
        <v>-2725964.6</v>
      </c>
      <c r="H546" s="706">
        <v>-3387014.6</v>
      </c>
      <c r="I546" s="706">
        <v>-3400964.6</v>
      </c>
      <c r="J546" s="706">
        <v>-3389504.24</v>
      </c>
      <c r="K546" s="706">
        <v>-3889504.24</v>
      </c>
      <c r="L546" s="706">
        <v>-3920685.29</v>
      </c>
      <c r="M546" s="706">
        <v>-3918620.97</v>
      </c>
      <c r="N546" s="706">
        <v>-3940255.42</v>
      </c>
      <c r="O546" s="706">
        <v>-3977574.94</v>
      </c>
      <c r="P546" s="706">
        <v>-3977574.94</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G32900</v>
      </c>
      <c r="AK546" s="905" t="str">
        <f t="shared" si="55"/>
        <v>BONI À PAYER PROPRIETAIRE</v>
      </c>
      <c r="AL546" s="905">
        <f>IFERROR(INDEX(G546:R546,1,MATCH(Parametres!$B$3,G$1:R$1,0)-1)*IF(OR(F546="L",F546="S",F546="I"),-1,1),"")</f>
        <v>3940255.42</v>
      </c>
      <c r="AM546" s="905">
        <f t="shared" si="50"/>
        <v>37319.520000000019</v>
      </c>
      <c r="AN546" s="905">
        <f>INDEX(G546:R546,1,MATCH(Parametres!$B$3,G$1:R$1,0))*IF(OR(F546="L",F546="S",F546="I"),-1,1)</f>
        <v>3977574.94</v>
      </c>
      <c r="AO546" s="487" t="str">
        <f>+VLOOKUP($AJ546,Data_Validation!$A:$D,1,0)</f>
        <v>G32900</v>
      </c>
      <c r="AP546" s="487" t="str">
        <f>+VLOOKUP($AJ546,Data_Validation!$A:$D,3,0)</f>
        <v>Bilan</v>
      </c>
      <c r="AQ546" s="487" t="str">
        <f>+VLOOKUP($AJ546,Data_Validation!$A:$D,4,0)</f>
        <v>Salaires à Payer</v>
      </c>
      <c r="AR546" s="487" t="s">
        <v>299</v>
      </c>
      <c r="AS546" s="487">
        <f>+VLOOKUP($AJ546,Data_Validation!$A:$E,5,0)</f>
        <v>0</v>
      </c>
      <c r="AT546" s="904" t="str">
        <f t="shared" si="51"/>
        <v>G32900</v>
      </c>
      <c r="AU546" s="488" t="str">
        <f t="shared" si="52"/>
        <v>BONI À PAYER PROPRIETAIRE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2136</v>
      </c>
      <c r="D547" s="706" t="s">
        <v>2137</v>
      </c>
      <c r="E547" s="706" t="s">
        <v>336</v>
      </c>
      <c r="F547" s="706" t="s">
        <v>1135</v>
      </c>
      <c r="G547" s="706">
        <v>0</v>
      </c>
      <c r="H547" s="706">
        <v>0</v>
      </c>
      <c r="I547" s="706">
        <v>0</v>
      </c>
      <c r="J547" s="706">
        <v>0</v>
      </c>
      <c r="K547" s="706">
        <v>0</v>
      </c>
      <c r="L547" s="706">
        <v>41642.04</v>
      </c>
      <c r="M547" s="706">
        <v>0</v>
      </c>
      <c r="N547" s="706">
        <v>42402.54</v>
      </c>
      <c r="O547" s="706">
        <v>155</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G33030</v>
      </c>
      <c r="AK547" s="905" t="str">
        <f t="shared" si="55"/>
        <v>AP VEH. HAWKESBURY GM</v>
      </c>
      <c r="AL547" s="905">
        <f>IFERROR(INDEX(G547:R547,1,MATCH(Parametres!$B$3,G$1:R$1,0)-1)*IF(OR(F547="L",F547="S",F547="I"),-1,1),"")</f>
        <v>-42402.54</v>
      </c>
      <c r="AM547" s="905">
        <f t="shared" si="50"/>
        <v>42247.54</v>
      </c>
      <c r="AN547" s="905">
        <f>INDEX(G547:R547,1,MATCH(Parametres!$B$3,G$1:R$1,0))*IF(OR(F547="L",F547="S",F547="I"),-1,1)</f>
        <v>-155</v>
      </c>
      <c r="AO547" s="487" t="str">
        <f>+VLOOKUP($AJ547,Data_Validation!$A:$D,1,0)</f>
        <v>G33030</v>
      </c>
      <c r="AP547" s="487" t="str">
        <f>+VLOOKUP($AJ547,Data_Validation!$A:$D,3,0)</f>
        <v>Bilan</v>
      </c>
      <c r="AQ547" s="487" t="str">
        <f>+VLOOKUP($AJ547,Data_Validation!$A:$D,4,0)</f>
        <v>Payables Intercos</v>
      </c>
      <c r="AR547" s="487" t="s">
        <v>299</v>
      </c>
      <c r="AS547" s="487">
        <f>+VLOOKUP($AJ547,Data_Validation!$A:$E,5,0)</f>
        <v>0</v>
      </c>
      <c r="AT547" s="904" t="str">
        <f t="shared" si="51"/>
        <v>G33030</v>
      </c>
      <c r="AU547" s="488" t="str">
        <f t="shared" si="52"/>
        <v>AP VEH. HAWKESBURY GM</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2138</v>
      </c>
      <c r="D548" s="706" t="s">
        <v>2139</v>
      </c>
      <c r="E548" s="706" t="s">
        <v>336</v>
      </c>
      <c r="F548" s="706" t="s">
        <v>1135</v>
      </c>
      <c r="G548" s="706">
        <v>0</v>
      </c>
      <c r="H548" s="706">
        <v>0</v>
      </c>
      <c r="I548" s="706">
        <v>0</v>
      </c>
      <c r="J548" s="706">
        <v>0</v>
      </c>
      <c r="K548" s="706">
        <v>0</v>
      </c>
      <c r="L548" s="706">
        <v>164000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G33035</v>
      </c>
      <c r="AK548" s="905" t="str">
        <f t="shared" si="55"/>
        <v>AP VEH. BMW SHERBROOKE</v>
      </c>
      <c r="AL548" s="905">
        <f>IFERROR(INDEX(G548:R548,1,MATCH(Parametres!$B$3,G$1:R$1,0)-1)*IF(OR(F548="L",F548="S",F548="I"),-1,1),"")</f>
        <v>0</v>
      </c>
      <c r="AM548" s="905">
        <f t="shared" si="50"/>
        <v>0</v>
      </c>
      <c r="AN548" s="905">
        <f>INDEX(G548:R548,1,MATCH(Parametres!$B$3,G$1:R$1,0))*IF(OR(F548="L",F548="S",F548="I"),-1,1)</f>
        <v>0</v>
      </c>
      <c r="AO548" s="487" t="str">
        <f>+VLOOKUP($AJ548,Data_Validation!$A:$D,1,0)</f>
        <v>G33035</v>
      </c>
      <c r="AP548" s="487" t="str">
        <f>+VLOOKUP($AJ548,Data_Validation!$A:$D,3,0)</f>
        <v>Bilan</v>
      </c>
      <c r="AQ548" s="487" t="str">
        <f>+VLOOKUP($AJ548,Data_Validation!$A:$D,4,0)</f>
        <v>Payables Intercos</v>
      </c>
      <c r="AR548" s="487" t="s">
        <v>299</v>
      </c>
      <c r="AS548" s="487">
        <f>+VLOOKUP($AJ548,Data_Validation!$A:$E,5,0)</f>
        <v>0</v>
      </c>
      <c r="AT548" s="904" t="str">
        <f t="shared" si="51"/>
        <v>G33035</v>
      </c>
      <c r="AU548" s="488" t="str">
        <f t="shared" si="52"/>
        <v>AP VEH. BMW SHERBROOKE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2140</v>
      </c>
      <c r="D549" s="706" t="s">
        <v>2141</v>
      </c>
      <c r="E549" s="706" t="s">
        <v>336</v>
      </c>
      <c r="F549" s="706" t="s">
        <v>1135</v>
      </c>
      <c r="G549" s="706">
        <v>0</v>
      </c>
      <c r="H549" s="706">
        <v>0</v>
      </c>
      <c r="I549" s="706">
        <v>0</v>
      </c>
      <c r="J549" s="706">
        <v>0</v>
      </c>
      <c r="K549" s="706">
        <v>0</v>
      </c>
      <c r="L549" s="706">
        <v>0</v>
      </c>
      <c r="M549" s="706">
        <v>269445.07</v>
      </c>
      <c r="N549" s="706">
        <v>605146.31999999995</v>
      </c>
      <c r="O549" s="706">
        <v>157063.20000000001</v>
      </c>
      <c r="P549" s="706">
        <v>100798.11</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G33040</v>
      </c>
      <c r="AK549" s="905" t="str">
        <f t="shared" si="55"/>
        <v>AP VEH. LOCATION LMB</v>
      </c>
      <c r="AL549" s="905">
        <f>IFERROR(INDEX(G549:R549,1,MATCH(Parametres!$B$3,G$1:R$1,0)-1)*IF(OR(F549="L",F549="S",F549="I"),-1,1),"")</f>
        <v>-605146.31999999995</v>
      </c>
      <c r="AM549" s="905">
        <f t="shared" si="50"/>
        <v>448083.11999999994</v>
      </c>
      <c r="AN549" s="905">
        <f>INDEX(G549:R549,1,MATCH(Parametres!$B$3,G$1:R$1,0))*IF(OR(F549="L",F549="S",F549="I"),-1,1)</f>
        <v>-157063.20000000001</v>
      </c>
      <c r="AO549" s="487" t="str">
        <f>+VLOOKUP($AJ549,Data_Validation!$A:$D,1,0)</f>
        <v>G33040</v>
      </c>
      <c r="AP549" s="487" t="str">
        <f>+VLOOKUP($AJ549,Data_Validation!$A:$D,3,0)</f>
        <v>Bilan</v>
      </c>
      <c r="AQ549" s="487" t="str">
        <f>+VLOOKUP($AJ549,Data_Validation!$A:$D,4,0)</f>
        <v>Payables Intercos</v>
      </c>
      <c r="AR549" s="487" t="s">
        <v>299</v>
      </c>
      <c r="AS549" s="487">
        <f>+VLOOKUP($AJ549,Data_Validation!$A:$E,5,0)</f>
        <v>0</v>
      </c>
      <c r="AT549" s="904" t="str">
        <f t="shared" si="51"/>
        <v>G33040</v>
      </c>
      <c r="AU549" s="488" t="str">
        <f t="shared" si="52"/>
        <v>AP VEH. LOCATION LMB</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2142</v>
      </c>
      <c r="D550" s="706" t="s">
        <v>2143</v>
      </c>
      <c r="E550" s="706" t="s">
        <v>336</v>
      </c>
      <c r="F550" s="706" t="s">
        <v>1135</v>
      </c>
      <c r="G550" s="706">
        <v>0</v>
      </c>
      <c r="H550" s="706">
        <v>0</v>
      </c>
      <c r="I550" s="706">
        <v>0</v>
      </c>
      <c r="J550" s="706">
        <v>0</v>
      </c>
      <c r="K550" s="706">
        <v>0</v>
      </c>
      <c r="L550" s="706">
        <v>42500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G33045</v>
      </c>
      <c r="AK550" s="905" t="str">
        <f t="shared" si="55"/>
        <v>AP VEH. VOLKS BROSSARD</v>
      </c>
      <c r="AL550" s="905">
        <f>IFERROR(INDEX(G550:R550,1,MATCH(Parametres!$B$3,G$1:R$1,0)-1)*IF(OR(F550="L",F550="S",F550="I"),-1,1),"")</f>
        <v>0</v>
      </c>
      <c r="AM550" s="905">
        <f t="shared" si="50"/>
        <v>0</v>
      </c>
      <c r="AN550" s="905">
        <f>INDEX(G550:R550,1,MATCH(Parametres!$B$3,G$1:R$1,0))*IF(OR(F550="L",F550="S",F550="I"),-1,1)</f>
        <v>0</v>
      </c>
      <c r="AO550" s="487" t="str">
        <f>+VLOOKUP($AJ550,Data_Validation!$A:$D,1,0)</f>
        <v>G33045</v>
      </c>
      <c r="AP550" s="487" t="str">
        <f>+VLOOKUP($AJ550,Data_Validation!$A:$D,3,0)</f>
        <v>Bilan</v>
      </c>
      <c r="AQ550" s="487" t="str">
        <f>+VLOOKUP($AJ550,Data_Validation!$A:$D,4,0)</f>
        <v>Payables Intercos</v>
      </c>
      <c r="AR550" s="487" t="s">
        <v>299</v>
      </c>
      <c r="AS550" s="487">
        <f>+VLOOKUP($AJ550,Data_Validation!$A:$E,5,0)</f>
        <v>0</v>
      </c>
      <c r="AT550" s="904" t="str">
        <f t="shared" si="51"/>
        <v>G33045</v>
      </c>
      <c r="AU550" s="488" t="str">
        <f t="shared" si="52"/>
        <v>AP VEH. VOLKS BROSSARD</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2144</v>
      </c>
      <c r="D551" s="706" t="s">
        <v>2145</v>
      </c>
      <c r="E551" s="706" t="s">
        <v>336</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G33050</v>
      </c>
      <c r="AK551" s="905" t="str">
        <f t="shared" si="55"/>
        <v>AP VEH. LONGUEUIL HUYNDAI</v>
      </c>
      <c r="AL551" s="905">
        <f>IFERROR(INDEX(G551:R551,1,MATCH(Parametres!$B$3,G$1:R$1,0)-1)*IF(OR(F551="L",F551="S",F551="I"),-1,1),"")</f>
        <v>0</v>
      </c>
      <c r="AM551" s="905">
        <f t="shared" si="50"/>
        <v>0</v>
      </c>
      <c r="AN551" s="905">
        <f>INDEX(G551:R551,1,MATCH(Parametres!$B$3,G$1:R$1,0))*IF(OR(F551="L",F551="S",F551="I"),-1,1)</f>
        <v>0</v>
      </c>
      <c r="AO551" s="487" t="str">
        <f>+VLOOKUP($AJ551,Data_Validation!$A:$D,1,0)</f>
        <v>G33050</v>
      </c>
      <c r="AP551" s="487" t="str">
        <f>+VLOOKUP($AJ551,Data_Validation!$A:$D,3,0)</f>
        <v>Bilan</v>
      </c>
      <c r="AQ551" s="487" t="str">
        <f>+VLOOKUP($AJ551,Data_Validation!$A:$D,4,0)</f>
        <v>Payables Intercos</v>
      </c>
      <c r="AR551" s="487" t="s">
        <v>299</v>
      </c>
      <c r="AS551" s="487">
        <f>+VLOOKUP($AJ551,Data_Validation!$A:$E,5,0)</f>
        <v>0</v>
      </c>
      <c r="AT551" s="904" t="str">
        <f t="shared" si="51"/>
        <v>G33050</v>
      </c>
      <c r="AU551" s="488" t="str">
        <f t="shared" si="52"/>
        <v>AP VEH. LONGUEUIL HUYNDAI</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2146</v>
      </c>
      <c r="D552" s="706" t="s">
        <v>3326</v>
      </c>
      <c r="E552" s="706" t="s">
        <v>1139</v>
      </c>
      <c r="F552" s="706" t="s">
        <v>1135</v>
      </c>
      <c r="G552" s="706">
        <v>4700.8500000000004</v>
      </c>
      <c r="H552" s="706">
        <v>6127.32</v>
      </c>
      <c r="I552" s="706">
        <v>312.14</v>
      </c>
      <c r="J552" s="706">
        <v>4525.93</v>
      </c>
      <c r="K552" s="706">
        <v>7740.16</v>
      </c>
      <c r="L552" s="706">
        <v>9222.64</v>
      </c>
      <c r="M552" s="706">
        <v>7659.56</v>
      </c>
      <c r="N552" s="706">
        <v>10943.55</v>
      </c>
      <c r="O552" s="706">
        <v>14095.05</v>
      </c>
      <c r="P552" s="706">
        <v>13434.28</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G33100</v>
      </c>
      <c r="AK552" s="905" t="str">
        <f t="shared" si="55"/>
        <v>ACC VENDU NON INSTALLE</v>
      </c>
      <c r="AL552" s="905">
        <f>IFERROR(INDEX(G552:R552,1,MATCH(Parametres!$B$3,G$1:R$1,0)-1)*IF(OR(F552="L",F552="S",F552="I"),-1,1),"")</f>
        <v>-10943.55</v>
      </c>
      <c r="AM552" s="905">
        <f t="shared" si="50"/>
        <v>-3151.5</v>
      </c>
      <c r="AN552" s="905">
        <f>INDEX(G552:R552,1,MATCH(Parametres!$B$3,G$1:R$1,0))*IF(OR(F552="L",F552="S",F552="I"),-1,1)</f>
        <v>-14095.05</v>
      </c>
      <c r="AO552" s="487" t="str">
        <f>+VLOOKUP($AJ552,Data_Validation!$A:$D,1,0)</f>
        <v>G33100</v>
      </c>
      <c r="AP552" s="487" t="str">
        <f>+VLOOKUP($AJ552,Data_Validation!$A:$D,3,0)</f>
        <v>Bilan</v>
      </c>
      <c r="AQ552" s="487" t="str">
        <f>+VLOOKUP($AJ552,Data_Validation!$A:$D,4,0)</f>
        <v>Autres Courus</v>
      </c>
      <c r="AR552" s="487" t="s">
        <v>299</v>
      </c>
      <c r="AS552" s="487">
        <f>+VLOOKUP($AJ552,Data_Validation!$A:$E,5,0)</f>
        <v>0</v>
      </c>
      <c r="AT552" s="904" t="str">
        <f t="shared" si="51"/>
        <v>G33100</v>
      </c>
      <c r="AU552" s="488" t="str">
        <f t="shared" si="52"/>
        <v>ACC VENDU NON INSTALLE</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2148</v>
      </c>
      <c r="D553" s="706" t="s">
        <v>2149</v>
      </c>
      <c r="E553" s="706" t="s">
        <v>333</v>
      </c>
      <c r="F553" s="706" t="s">
        <v>1135</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G33101</v>
      </c>
      <c r="AK553" s="905" t="str">
        <f t="shared" si="55"/>
        <v>PROVISION PUBLICITE</v>
      </c>
      <c r="AL553" s="905">
        <f>IFERROR(INDEX(G553:R553,1,MATCH(Parametres!$B$3,G$1:R$1,0)-1)*IF(OR(F553="L",F553="S",F553="I"),-1,1),"")</f>
        <v>0</v>
      </c>
      <c r="AM553" s="905">
        <f t="shared" si="50"/>
        <v>0</v>
      </c>
      <c r="AN553" s="905">
        <f>INDEX(G553:R553,1,MATCH(Parametres!$B$3,G$1:R$1,0))*IF(OR(F553="L",F553="S",F553="I"),-1,1)</f>
        <v>0</v>
      </c>
      <c r="AO553" s="487" t="str">
        <f>+VLOOKUP($AJ553,Data_Validation!$A:$D,1,0)</f>
        <v>G33101</v>
      </c>
      <c r="AP553" s="487" t="str">
        <f>+VLOOKUP($AJ553,Data_Validation!$A:$D,3,0)</f>
        <v>Bilan</v>
      </c>
      <c r="AQ553" s="487" t="str">
        <f>+VLOOKUP($AJ553,Data_Validation!$A:$D,4,0)</f>
        <v>Autres Courus</v>
      </c>
      <c r="AR553" s="487" t="s">
        <v>299</v>
      </c>
      <c r="AS553" s="487">
        <f>+VLOOKUP($AJ553,Data_Validation!$A:$E,5,0)</f>
        <v>0</v>
      </c>
      <c r="AT553" s="904" t="str">
        <f t="shared" si="51"/>
        <v>G33101</v>
      </c>
      <c r="AU553" s="488" t="str">
        <f t="shared" si="52"/>
        <v>PROVISION PUBLICITE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2150</v>
      </c>
      <c r="D554" s="706" t="s">
        <v>2151</v>
      </c>
      <c r="E554" s="706" t="s">
        <v>333</v>
      </c>
      <c r="F554" s="706" t="s">
        <v>1135</v>
      </c>
      <c r="G554" s="706">
        <v>258113.68</v>
      </c>
      <c r="H554" s="706">
        <v>276039.8</v>
      </c>
      <c r="I554" s="706">
        <v>276197.55</v>
      </c>
      <c r="J554" s="706">
        <v>282895.93</v>
      </c>
      <c r="K554" s="706">
        <v>273009.69</v>
      </c>
      <c r="L554" s="706">
        <v>275839.28999999998</v>
      </c>
      <c r="M554" s="706">
        <v>193376.23</v>
      </c>
      <c r="N554" s="706">
        <v>188843.4</v>
      </c>
      <c r="O554" s="706">
        <v>188743.58</v>
      </c>
      <c r="P554" s="706">
        <v>188743.58</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G33102</v>
      </c>
      <c r="AK554" s="905" t="str">
        <f t="shared" si="55"/>
        <v>PROVISIONS POUR VACANCES</v>
      </c>
      <c r="AL554" s="905">
        <f>IFERROR(INDEX(G554:R554,1,MATCH(Parametres!$B$3,G$1:R$1,0)-1)*IF(OR(F554="L",F554="S",F554="I"),-1,1),"")</f>
        <v>-188843.4</v>
      </c>
      <c r="AM554" s="905">
        <f t="shared" si="50"/>
        <v>99.820000000006985</v>
      </c>
      <c r="AN554" s="905">
        <f>INDEX(G554:R554,1,MATCH(Parametres!$B$3,G$1:R$1,0))*IF(OR(F554="L",F554="S",F554="I"),-1,1)</f>
        <v>-188743.58</v>
      </c>
      <c r="AO554" s="487" t="str">
        <f>+VLOOKUP($AJ554,Data_Validation!$A:$D,1,0)</f>
        <v>G33102</v>
      </c>
      <c r="AP554" s="487" t="str">
        <f>+VLOOKUP($AJ554,Data_Validation!$A:$D,3,0)</f>
        <v>Bilan</v>
      </c>
      <c r="AQ554" s="487" t="str">
        <f>+VLOOKUP($AJ554,Data_Validation!$A:$D,4,0)</f>
        <v>Salaires à Payer</v>
      </c>
      <c r="AR554" s="487" t="s">
        <v>299</v>
      </c>
      <c r="AS554" s="487">
        <f>+VLOOKUP($AJ554,Data_Validation!$A:$E,5,0)</f>
        <v>0</v>
      </c>
      <c r="AT554" s="904" t="str">
        <f t="shared" si="51"/>
        <v>G33102</v>
      </c>
      <c r="AU554" s="488" t="str">
        <f t="shared" si="52"/>
        <v>PROVISIONS POUR VACANCES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2152</v>
      </c>
      <c r="D555" s="706" t="s">
        <v>3460</v>
      </c>
      <c r="E555" s="706" t="s">
        <v>336</v>
      </c>
      <c r="F555" s="706" t="s">
        <v>1135</v>
      </c>
      <c r="G555" s="706">
        <v>0</v>
      </c>
      <c r="H555" s="706">
        <v>900</v>
      </c>
      <c r="I555" s="706">
        <v>7000</v>
      </c>
      <c r="J555" s="706">
        <v>4068.52</v>
      </c>
      <c r="K555" s="706">
        <v>9993.52</v>
      </c>
      <c r="L555" s="706">
        <v>12361.57</v>
      </c>
      <c r="M555" s="706">
        <v>26665.25</v>
      </c>
      <c r="N555" s="706">
        <v>55110.42</v>
      </c>
      <c r="O555" s="706">
        <v>24520.98</v>
      </c>
      <c r="P555" s="706">
        <v>24520.98</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G33103</v>
      </c>
      <c r="AK555" s="905" t="str">
        <f t="shared" si="55"/>
        <v>ACCESOIRES USA</v>
      </c>
      <c r="AL555" s="905">
        <f>IFERROR(INDEX(G555:R555,1,MATCH(Parametres!$B$3,G$1:R$1,0)-1)*IF(OR(F555="L",F555="S",F555="I"),-1,1),"")</f>
        <v>-55110.42</v>
      </c>
      <c r="AM555" s="905">
        <f t="shared" si="50"/>
        <v>30589.439999999999</v>
      </c>
      <c r="AN555" s="905">
        <f>INDEX(G555:R555,1,MATCH(Parametres!$B$3,G$1:R$1,0))*IF(OR(F555="L",F555="S",F555="I"),-1,1)</f>
        <v>-24520.98</v>
      </c>
      <c r="AO555" s="487" t="str">
        <f>+VLOOKUP($AJ555,Data_Validation!$A:$D,1,0)</f>
        <v>G33103</v>
      </c>
      <c r="AP555" s="487" t="str">
        <f>+VLOOKUP($AJ555,Data_Validation!$A:$D,3,0)</f>
        <v>Bilan</v>
      </c>
      <c r="AQ555" s="487" t="str">
        <f>+VLOOKUP($AJ555,Data_Validation!$A:$D,4,0)</f>
        <v>Autres Courus</v>
      </c>
      <c r="AR555" s="487" t="s">
        <v>299</v>
      </c>
      <c r="AS555" s="487">
        <f>+VLOOKUP($AJ555,Data_Validation!$A:$E,5,0)</f>
        <v>0</v>
      </c>
      <c r="AT555" s="904" t="str">
        <f t="shared" si="51"/>
        <v>G33103</v>
      </c>
      <c r="AU555" s="488" t="str">
        <f t="shared" si="52"/>
        <v>ACCESOIRES USA</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2154</v>
      </c>
      <c r="D556" s="706" t="s">
        <v>2155</v>
      </c>
      <c r="E556" s="706" t="s">
        <v>1139</v>
      </c>
      <c r="F556" s="706" t="s">
        <v>1135</v>
      </c>
      <c r="G556" s="706">
        <v>11405</v>
      </c>
      <c r="H556" s="706">
        <v>14155</v>
      </c>
      <c r="I556" s="706">
        <v>16155</v>
      </c>
      <c r="J556" s="706">
        <v>17655</v>
      </c>
      <c r="K556" s="706">
        <v>18155</v>
      </c>
      <c r="L556" s="706">
        <v>18155</v>
      </c>
      <c r="M556" s="706">
        <v>18155</v>
      </c>
      <c r="N556" s="706">
        <v>18155</v>
      </c>
      <c r="O556" s="706">
        <v>18155</v>
      </c>
      <c r="P556" s="706">
        <v>18155</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G33104</v>
      </c>
      <c r="AK556" s="905" t="str">
        <f t="shared" si="55"/>
        <v>RESERVE FLOTTES</v>
      </c>
      <c r="AL556" s="905">
        <f>IFERROR(INDEX(G556:R556,1,MATCH(Parametres!$B$3,G$1:R$1,0)-1)*IF(OR(F556="L",F556="S",F556="I"),-1,1),"")</f>
        <v>-18155</v>
      </c>
      <c r="AM556" s="905">
        <f t="shared" si="50"/>
        <v>0</v>
      </c>
      <c r="AN556" s="905">
        <f>INDEX(G556:R556,1,MATCH(Parametres!$B$3,G$1:R$1,0))*IF(OR(F556="L",F556="S",F556="I"),-1,1)</f>
        <v>-18155</v>
      </c>
      <c r="AO556" s="487" t="str">
        <f>+VLOOKUP($AJ556,Data_Validation!$A:$D,1,0)</f>
        <v>G33104</v>
      </c>
      <c r="AP556" s="487" t="str">
        <f>+VLOOKUP($AJ556,Data_Validation!$A:$D,3,0)</f>
        <v>Bilan</v>
      </c>
      <c r="AQ556" s="487" t="str">
        <f>+VLOOKUP($AJ556,Data_Validation!$A:$D,4,0)</f>
        <v>Autres Courus</v>
      </c>
      <c r="AR556" s="487" t="s">
        <v>299</v>
      </c>
      <c r="AS556" s="487">
        <f>+VLOOKUP($AJ556,Data_Validation!$A:$E,5,0)</f>
        <v>0</v>
      </c>
      <c r="AT556" s="904" t="str">
        <f t="shared" si="51"/>
        <v>G33104</v>
      </c>
      <c r="AU556" s="488" t="str">
        <f t="shared" si="52"/>
        <v>RESERVE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2156</v>
      </c>
      <c r="D557" s="706" t="s">
        <v>2157</v>
      </c>
      <c r="E557" s="706" t="s">
        <v>336</v>
      </c>
      <c r="F557" s="706" t="s">
        <v>1135</v>
      </c>
      <c r="G557" s="706">
        <v>2230.75</v>
      </c>
      <c r="H557" s="706">
        <v>2230.75</v>
      </c>
      <c r="I557" s="706">
        <v>2230.75</v>
      </c>
      <c r="J557" s="706">
        <v>2230.75</v>
      </c>
      <c r="K557" s="706">
        <v>2230.75</v>
      </c>
      <c r="L557" s="706">
        <v>2230.75</v>
      </c>
      <c r="M557" s="706">
        <v>2230.75</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G33105</v>
      </c>
      <c r="AK557" s="905" t="str">
        <f t="shared" si="55"/>
        <v>RESERVE TRANSP.WHOLESALE</v>
      </c>
      <c r="AL557" s="905">
        <f>IFERROR(INDEX(G557:R557,1,MATCH(Parametres!$B$3,G$1:R$1,0)-1)*IF(OR(F557="L",F557="S",F557="I"),-1,1),"")</f>
        <v>0</v>
      </c>
      <c r="AM557" s="905">
        <f t="shared" si="50"/>
        <v>0</v>
      </c>
      <c r="AN557" s="905">
        <f>INDEX(G557:R557,1,MATCH(Parametres!$B$3,G$1:R$1,0))*IF(OR(F557="L",F557="S",F557="I"),-1,1)</f>
        <v>0</v>
      </c>
      <c r="AO557" s="487" t="str">
        <f>+VLOOKUP($AJ557,Data_Validation!$A:$D,1,0)</f>
        <v>G33105</v>
      </c>
      <c r="AP557" s="487" t="str">
        <f>+VLOOKUP($AJ557,Data_Validation!$A:$D,3,0)</f>
        <v>Bilan</v>
      </c>
      <c r="AQ557" s="487" t="str">
        <f>+VLOOKUP($AJ557,Data_Validation!$A:$D,4,0)</f>
        <v>Autres Courus</v>
      </c>
      <c r="AR557" s="487" t="s">
        <v>299</v>
      </c>
      <c r="AS557" s="487">
        <f>+VLOOKUP($AJ557,Data_Validation!$A:$E,5,0)</f>
        <v>0</v>
      </c>
      <c r="AT557" s="904" t="str">
        <f t="shared" si="51"/>
        <v>G33105</v>
      </c>
      <c r="AU557" s="488" t="str">
        <f t="shared" si="52"/>
        <v>RESERVE TRANSP.WHOLESALE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2158</v>
      </c>
      <c r="D558" s="706" t="s">
        <v>2159</v>
      </c>
      <c r="E558" s="706" t="s">
        <v>1139</v>
      </c>
      <c r="F558" s="706" t="s">
        <v>1135</v>
      </c>
      <c r="G558" s="706">
        <v>-59856.17</v>
      </c>
      <c r="H558" s="706">
        <v>-56377.41</v>
      </c>
      <c r="I558" s="706">
        <v>-51741.85</v>
      </c>
      <c r="J558" s="706">
        <v>-41059.89</v>
      </c>
      <c r="K558" s="706">
        <v>-27006.69</v>
      </c>
      <c r="L558" s="706">
        <v>-17971.02</v>
      </c>
      <c r="M558" s="706">
        <v>34811.379999999997</v>
      </c>
      <c r="N558" s="706">
        <v>60914.29</v>
      </c>
      <c r="O558" s="706">
        <v>69690.070000000007</v>
      </c>
      <c r="P558" s="706">
        <v>69690.070000000007</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G33106</v>
      </c>
      <c r="AK558" s="905" t="str">
        <f t="shared" si="55"/>
        <v>RESERVE DEMO</v>
      </c>
      <c r="AL558" s="905">
        <f>IFERROR(INDEX(G558:R558,1,MATCH(Parametres!$B$3,G$1:R$1,0)-1)*IF(OR(F558="L",F558="S",F558="I"),-1,1),"")</f>
        <v>-60914.29</v>
      </c>
      <c r="AM558" s="905">
        <f t="shared" si="50"/>
        <v>-8775.7800000000061</v>
      </c>
      <c r="AN558" s="905">
        <f>INDEX(G558:R558,1,MATCH(Parametres!$B$3,G$1:R$1,0))*IF(OR(F558="L",F558="S",F558="I"),-1,1)</f>
        <v>-69690.070000000007</v>
      </c>
      <c r="AO558" s="487" t="str">
        <f>+VLOOKUP($AJ558,Data_Validation!$A:$D,1,0)</f>
        <v>G33106</v>
      </c>
      <c r="AP558" s="487" t="str">
        <f>+VLOOKUP($AJ558,Data_Validation!$A:$D,3,0)</f>
        <v>Bilan</v>
      </c>
      <c r="AQ558" s="487" t="str">
        <f>+VLOOKUP($AJ558,Data_Validation!$A:$D,4,0)</f>
        <v>Autres Courus</v>
      </c>
      <c r="AR558" s="487" t="s">
        <v>299</v>
      </c>
      <c r="AS558" s="487">
        <f>+VLOOKUP($AJ558,Data_Validation!$A:$E,5,0)</f>
        <v>0</v>
      </c>
      <c r="AT558" s="904" t="str">
        <f t="shared" si="51"/>
        <v>G33106</v>
      </c>
      <c r="AU558" s="488" t="str">
        <f t="shared" si="52"/>
        <v>RESERVE DEMO</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2160</v>
      </c>
      <c r="D559" s="706" t="s">
        <v>2161</v>
      </c>
      <c r="E559" s="706" t="s">
        <v>1139</v>
      </c>
      <c r="F559" s="706" t="s">
        <v>1135</v>
      </c>
      <c r="G559" s="706">
        <v>-79159.12</v>
      </c>
      <c r="H559" s="706">
        <v>-79159.12</v>
      </c>
      <c r="I559" s="706">
        <v>-79633.53</v>
      </c>
      <c r="J559" s="706">
        <v>-77159.12</v>
      </c>
      <c r="K559" s="706">
        <v>-77660.12</v>
      </c>
      <c r="L559" s="706">
        <v>-77257</v>
      </c>
      <c r="M559" s="706">
        <v>-77257</v>
      </c>
      <c r="N559" s="706">
        <v>-77257</v>
      </c>
      <c r="O559" s="706">
        <v>-77257</v>
      </c>
      <c r="P559" s="706">
        <v>-77257</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G33107</v>
      </c>
      <c r="AK559" s="905" t="str">
        <f t="shared" si="55"/>
        <v>ACCESSOIRES FLOTTES</v>
      </c>
      <c r="AL559" s="905">
        <f>IFERROR(INDEX(G559:R559,1,MATCH(Parametres!$B$3,G$1:R$1,0)-1)*IF(OR(F559="L",F559="S",F559="I"),-1,1),"")</f>
        <v>77257</v>
      </c>
      <c r="AM559" s="905">
        <f t="shared" si="50"/>
        <v>0</v>
      </c>
      <c r="AN559" s="905">
        <f>INDEX(G559:R559,1,MATCH(Parametres!$B$3,G$1:R$1,0))*IF(OR(F559="L",F559="S",F559="I"),-1,1)</f>
        <v>77257</v>
      </c>
      <c r="AO559" s="487" t="str">
        <f>+VLOOKUP($AJ559,Data_Validation!$A:$D,1,0)</f>
        <v>G33107</v>
      </c>
      <c r="AP559" s="487" t="str">
        <f>+VLOOKUP($AJ559,Data_Validation!$A:$D,3,0)</f>
        <v>Bilan</v>
      </c>
      <c r="AQ559" s="487" t="str">
        <f>+VLOOKUP($AJ559,Data_Validation!$A:$D,4,0)</f>
        <v>Autres Comptes à Payer</v>
      </c>
      <c r="AR559" s="487" t="s">
        <v>299</v>
      </c>
      <c r="AS559" s="487">
        <f>+VLOOKUP($AJ559,Data_Validation!$A:$E,5,0)</f>
        <v>0</v>
      </c>
      <c r="AT559" s="904" t="str">
        <f t="shared" si="51"/>
        <v>G33107</v>
      </c>
      <c r="AU559" s="488" t="str">
        <f t="shared" si="52"/>
        <v>ACCESSOIRES FLOTTES</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3453</v>
      </c>
      <c r="D560" s="706" t="s">
        <v>3454</v>
      </c>
      <c r="E560" s="706" t="s">
        <v>333</v>
      </c>
      <c r="F560" s="706" t="s">
        <v>1135</v>
      </c>
      <c r="G560" s="706">
        <v>0</v>
      </c>
      <c r="H560" s="706">
        <v>0</v>
      </c>
      <c r="I560" s="706">
        <v>0</v>
      </c>
      <c r="J560" s="706">
        <v>0</v>
      </c>
      <c r="K560" s="706">
        <v>0</v>
      </c>
      <c r="L560" s="706">
        <v>0</v>
      </c>
      <c r="M560" s="706">
        <v>0</v>
      </c>
      <c r="N560" s="706">
        <v>3000</v>
      </c>
      <c r="O560" s="706">
        <v>4500</v>
      </c>
      <c r="P560" s="706">
        <v>4500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G33108</v>
      </c>
      <c r="AK560" s="905" t="str">
        <f t="shared" si="55"/>
        <v>RESERVE COURT BODY</v>
      </c>
      <c r="AL560" s="905">
        <f>IFERROR(INDEX(G560:R560,1,MATCH(Parametres!$B$3,G$1:R$1,0)-1)*IF(OR(F560="L",F560="S",F560="I"),-1,1),"")</f>
        <v>-3000</v>
      </c>
      <c r="AM560" s="905">
        <f t="shared" si="50"/>
        <v>-1500</v>
      </c>
      <c r="AN560" s="905">
        <f>INDEX(G560:R560,1,MATCH(Parametres!$B$3,G$1:R$1,0))*IF(OR(F560="L",F560="S",F560="I"),-1,1)</f>
        <v>-4500</v>
      </c>
      <c r="AO560" s="487" t="str">
        <f>+VLOOKUP($AJ560,Data_Validation!$A:$D,1,0)</f>
        <v>G33108</v>
      </c>
      <c r="AP560" s="487" t="str">
        <f>+VLOOKUP($AJ560,Data_Validation!$A:$D,3,0)</f>
        <v>Bilan</v>
      </c>
      <c r="AQ560" s="487" t="str">
        <f>+VLOOKUP($AJ560,Data_Validation!$A:$D,4,0)</f>
        <v>Autres Courus</v>
      </c>
      <c r="AR560" s="487" t="s">
        <v>299</v>
      </c>
      <c r="AS560" s="487">
        <f>+VLOOKUP($AJ560,Data_Validation!$A:$E,5,0)</f>
        <v>0</v>
      </c>
      <c r="AT560" s="904" t="str">
        <f t="shared" si="51"/>
        <v>G33108</v>
      </c>
      <c r="AU560" s="488" t="str">
        <f t="shared" si="52"/>
        <v>RESERVE COURT BODY</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2162</v>
      </c>
      <c r="D561" s="706" t="s">
        <v>2163</v>
      </c>
      <c r="E561" s="706" t="s">
        <v>336</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G33110</v>
      </c>
      <c r="AK561" s="905" t="str">
        <f t="shared" si="55"/>
        <v>RABAIS LOCATION LMB INC</v>
      </c>
      <c r="AL561" s="905">
        <f>IFERROR(INDEX(G561:R561,1,MATCH(Parametres!$B$3,G$1:R$1,0)-1)*IF(OR(F561="L",F561="S",F561="I"),-1,1),"")</f>
        <v>0</v>
      </c>
      <c r="AM561" s="905">
        <f t="shared" si="50"/>
        <v>0</v>
      </c>
      <c r="AN561" s="905">
        <f>INDEX(G561:R561,1,MATCH(Parametres!$B$3,G$1:R$1,0))*IF(OR(F561="L",F561="S",F561="I"),-1,1)</f>
        <v>0</v>
      </c>
      <c r="AO561" s="487" t="str">
        <f>+VLOOKUP($AJ561,Data_Validation!$A:$D,1,0)</f>
        <v>G33110</v>
      </c>
      <c r="AP561" s="487">
        <f>+VLOOKUP($AJ561,Data_Validation!$A:$D,3,0)</f>
        <v>0</v>
      </c>
      <c r="AQ561" s="487">
        <f>+VLOOKUP($AJ561,Data_Validation!$A:$D,4,0)</f>
        <v>0</v>
      </c>
      <c r="AR561" s="487" t="s">
        <v>299</v>
      </c>
      <c r="AS561" s="487">
        <f>+VLOOKUP($AJ561,Data_Validation!$A:$E,5,0)</f>
        <v>0</v>
      </c>
      <c r="AT561" s="904" t="str">
        <f t="shared" si="51"/>
        <v>G33110</v>
      </c>
      <c r="AU561" s="488" t="str">
        <f t="shared" si="52"/>
        <v>RABAIS LOCATION LMB INC</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2164</v>
      </c>
      <c r="D562" s="706" t="s">
        <v>2165</v>
      </c>
      <c r="E562" s="706" t="s">
        <v>333</v>
      </c>
      <c r="F562" s="706" t="s">
        <v>1135</v>
      </c>
      <c r="G562" s="706">
        <v>-200</v>
      </c>
      <c r="H562" s="706">
        <v>-200</v>
      </c>
      <c r="I562" s="706">
        <v>-200</v>
      </c>
      <c r="J562" s="706">
        <v>-200</v>
      </c>
      <c r="K562" s="706">
        <v>750</v>
      </c>
      <c r="L562" s="706">
        <v>1550</v>
      </c>
      <c r="M562" s="706">
        <v>6196</v>
      </c>
      <c r="N562" s="706">
        <v>21136</v>
      </c>
      <c r="O562" s="706">
        <v>32686</v>
      </c>
      <c r="P562" s="706">
        <v>34336</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G33111</v>
      </c>
      <c r="AK562" s="905" t="str">
        <f t="shared" si="55"/>
        <v>PROVISION WHOLESSALE</v>
      </c>
      <c r="AL562" s="905">
        <f>IFERROR(INDEX(G562:R562,1,MATCH(Parametres!$B$3,G$1:R$1,0)-1)*IF(OR(F562="L",F562="S",F562="I"),-1,1),"")</f>
        <v>-21136</v>
      </c>
      <c r="AM562" s="905">
        <f t="shared" si="50"/>
        <v>-11550</v>
      </c>
      <c r="AN562" s="905">
        <f>INDEX(G562:R562,1,MATCH(Parametres!$B$3,G$1:R$1,0))*IF(OR(F562="L",F562="S",F562="I"),-1,1)</f>
        <v>-32686</v>
      </c>
      <c r="AO562" s="487" t="str">
        <f>+VLOOKUP($AJ562,Data_Validation!$A:$D,1,0)</f>
        <v>G33111</v>
      </c>
      <c r="AP562" s="487" t="str">
        <f>+VLOOKUP($AJ562,Data_Validation!$A:$D,3,0)</f>
        <v>Bilan</v>
      </c>
      <c r="AQ562" s="487" t="str">
        <f>+VLOOKUP($AJ562,Data_Validation!$A:$D,4,0)</f>
        <v>Autres Courus</v>
      </c>
      <c r="AR562" s="487" t="s">
        <v>299</v>
      </c>
      <c r="AS562" s="487">
        <f>+VLOOKUP($AJ562,Data_Validation!$A:$E,5,0)</f>
        <v>0</v>
      </c>
      <c r="AT562" s="904" t="str">
        <f t="shared" si="51"/>
        <v>G33111</v>
      </c>
      <c r="AU562" s="488" t="str">
        <f t="shared" si="52"/>
        <v>PROVISION WHOLESSALE</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2166</v>
      </c>
      <c r="D563" s="706" t="s">
        <v>2167</v>
      </c>
      <c r="E563" s="706" t="s">
        <v>333</v>
      </c>
      <c r="F563" s="706" t="s">
        <v>1135</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G33112</v>
      </c>
      <c r="AK563" s="905" t="str">
        <f t="shared" si="55"/>
        <v>PROVISION DETAIL</v>
      </c>
      <c r="AL563" s="905">
        <f>IFERROR(INDEX(G563:R563,1,MATCH(Parametres!$B$3,G$1:R$1,0)-1)*IF(OR(F563="L",F563="S",F563="I"),-1,1),"")</f>
        <v>0</v>
      </c>
      <c r="AM563" s="905">
        <f t="shared" si="50"/>
        <v>0</v>
      </c>
      <c r="AN563" s="905">
        <f>INDEX(G563:R563,1,MATCH(Parametres!$B$3,G$1:R$1,0))*IF(OR(F563="L",F563="S",F563="I"),-1,1)</f>
        <v>0</v>
      </c>
      <c r="AO563" s="487" t="str">
        <f>+VLOOKUP($AJ563,Data_Validation!$A:$D,1,0)</f>
        <v>G33112</v>
      </c>
      <c r="AP563" s="487" t="str">
        <f>+VLOOKUP($AJ563,Data_Validation!$A:$D,3,0)</f>
        <v>Bilan</v>
      </c>
      <c r="AQ563" s="487" t="str">
        <f>+VLOOKUP($AJ563,Data_Validation!$A:$D,4,0)</f>
        <v>Autres Courus</v>
      </c>
      <c r="AR563" s="487" t="s">
        <v>299</v>
      </c>
      <c r="AS563" s="487">
        <f>+VLOOKUP($AJ563,Data_Validation!$A:$E,5,0)</f>
        <v>0</v>
      </c>
      <c r="AT563" s="904" t="str">
        <f t="shared" si="51"/>
        <v>G33112</v>
      </c>
      <c r="AU563" s="488" t="str">
        <f t="shared" si="52"/>
        <v>PROVISION DETAIL</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2168</v>
      </c>
      <c r="D564" s="706" t="s">
        <v>2169</v>
      </c>
      <c r="E564" s="706" t="s">
        <v>333</v>
      </c>
      <c r="F564" s="706" t="s">
        <v>1135</v>
      </c>
      <c r="G564" s="706">
        <v>6050</v>
      </c>
      <c r="H564" s="706">
        <v>7800</v>
      </c>
      <c r="I564" s="706">
        <v>11050</v>
      </c>
      <c r="J564" s="706">
        <v>18950</v>
      </c>
      <c r="K564" s="706">
        <v>48850</v>
      </c>
      <c r="L564" s="706">
        <v>70500</v>
      </c>
      <c r="M564" s="706">
        <v>79450</v>
      </c>
      <c r="N564" s="706">
        <v>91750</v>
      </c>
      <c r="O564" s="706">
        <v>93300</v>
      </c>
      <c r="P564" s="706">
        <v>93300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G33113</v>
      </c>
      <c r="AK564" s="905" t="str">
        <f t="shared" si="55"/>
        <v>PROVISION USA</v>
      </c>
      <c r="AL564" s="905">
        <f>IFERROR(INDEX(G564:R564,1,MATCH(Parametres!$B$3,G$1:R$1,0)-1)*IF(OR(F564="L",F564="S",F564="I"),-1,1),"")</f>
        <v>-91750</v>
      </c>
      <c r="AM564" s="905">
        <f t="shared" si="50"/>
        <v>-1550</v>
      </c>
      <c r="AN564" s="905">
        <f>INDEX(G564:R564,1,MATCH(Parametres!$B$3,G$1:R$1,0))*IF(OR(F564="L",F564="S",F564="I"),-1,1)</f>
        <v>-93300</v>
      </c>
      <c r="AO564" s="487" t="str">
        <f>+VLOOKUP($AJ564,Data_Validation!$A:$D,1,0)</f>
        <v>G33113</v>
      </c>
      <c r="AP564" s="487" t="str">
        <f>+VLOOKUP($AJ564,Data_Validation!$A:$D,3,0)</f>
        <v>Bilan</v>
      </c>
      <c r="AQ564" s="487" t="str">
        <f>+VLOOKUP($AJ564,Data_Validation!$A:$D,4,0)</f>
        <v>Autres Courus</v>
      </c>
      <c r="AR564" s="487" t="s">
        <v>299</v>
      </c>
      <c r="AS564" s="487">
        <f>+VLOOKUP($AJ564,Data_Validation!$A:$E,5,0)</f>
        <v>0</v>
      </c>
      <c r="AT564" s="904" t="str">
        <f t="shared" si="51"/>
        <v>G33113</v>
      </c>
      <c r="AU564" s="488" t="str">
        <f t="shared" si="52"/>
        <v>PROVISION USA</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2170</v>
      </c>
      <c r="D565" s="706" t="s">
        <v>2171</v>
      </c>
      <c r="E565" s="706" t="s">
        <v>333</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G33114</v>
      </c>
      <c r="AK565" s="905" t="str">
        <f t="shared" si="55"/>
        <v>PROVISION HERELLE</v>
      </c>
      <c r="AL565" s="905">
        <f>IFERROR(INDEX(G565:R565,1,MATCH(Parametres!$B$3,G$1:R$1,0)-1)*IF(OR(F565="L",F565="S",F565="I"),-1,1),"")</f>
        <v>0</v>
      </c>
      <c r="AM565" s="905">
        <f t="shared" si="50"/>
        <v>0</v>
      </c>
      <c r="AN565" s="905">
        <f>INDEX(G565:R565,1,MATCH(Parametres!$B$3,G$1:R$1,0))*IF(OR(F565="L",F565="S",F565="I"),-1,1)</f>
        <v>0</v>
      </c>
      <c r="AO565" s="487" t="str">
        <f>+VLOOKUP($AJ565,Data_Validation!$A:$D,1,0)</f>
        <v>G33114</v>
      </c>
      <c r="AP565" s="487" t="str">
        <f>+VLOOKUP($AJ565,Data_Validation!$A:$D,3,0)</f>
        <v>Bilan</v>
      </c>
      <c r="AQ565" s="487" t="str">
        <f>+VLOOKUP($AJ565,Data_Validation!$A:$D,4,0)</f>
        <v>Autres Courus</v>
      </c>
      <c r="AR565" s="487" t="s">
        <v>299</v>
      </c>
      <c r="AS565" s="487">
        <f>+VLOOKUP($AJ565,Data_Validation!$A:$E,5,0)</f>
        <v>0</v>
      </c>
      <c r="AT565" s="904" t="str">
        <f t="shared" si="51"/>
        <v>G33114</v>
      </c>
      <c r="AU565" s="488" t="str">
        <f t="shared" si="52"/>
        <v>PROVISION HERELLE</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hidden="1" customHeight="1">
      <c r="A566" s="706" t="s">
        <v>1148</v>
      </c>
      <c r="B566" s="706">
        <v>2026</v>
      </c>
      <c r="C566" s="706" t="s">
        <v>2172</v>
      </c>
      <c r="D566" s="706" t="s">
        <v>2173</v>
      </c>
      <c r="E566" s="706" t="s">
        <v>336</v>
      </c>
      <c r="F566" s="706" t="s">
        <v>1135</v>
      </c>
      <c r="G566" s="706">
        <v>-401.17</v>
      </c>
      <c r="H566" s="706">
        <v>20908.189999999999</v>
      </c>
      <c r="I566" s="706">
        <v>-0.02</v>
      </c>
      <c r="J566" s="706">
        <v>9.4</v>
      </c>
      <c r="K566" s="706">
        <v>37602.910000000003</v>
      </c>
      <c r="L566" s="706">
        <v>49318.7</v>
      </c>
      <c r="M566" s="706">
        <v>49318.7</v>
      </c>
      <c r="N566" s="706">
        <v>0</v>
      </c>
      <c r="O566" s="706">
        <v>-5434.6</v>
      </c>
      <c r="P566" s="706">
        <v>736.31</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G33115</v>
      </c>
      <c r="AK566" s="905" t="str">
        <f t="shared" si="55"/>
        <v>PROVISION LMB</v>
      </c>
      <c r="AL566" s="905">
        <f>IFERROR(INDEX(G566:R566,1,MATCH(Parametres!$B$3,G$1:R$1,0)-1)*IF(OR(F566="L",F566="S",F566="I"),-1,1),"")</f>
        <v>0</v>
      </c>
      <c r="AM566" s="905">
        <f t="shared" si="50"/>
        <v>5434.6</v>
      </c>
      <c r="AN566" s="905">
        <f>INDEX(G566:R566,1,MATCH(Parametres!$B$3,G$1:R$1,0))*IF(OR(F566="L",F566="S",F566="I"),-1,1)</f>
        <v>5434.6</v>
      </c>
      <c r="AO566" s="487" t="str">
        <f>+VLOOKUP($AJ566,Data_Validation!$A:$D,1,0)</f>
        <v>G33115</v>
      </c>
      <c r="AP566" s="487" t="str">
        <f>+VLOOKUP($AJ566,Data_Validation!$A:$D,3,0)</f>
        <v>Bilan</v>
      </c>
      <c r="AQ566" s="487" t="str">
        <f>+VLOOKUP($AJ566,Data_Validation!$A:$D,4,0)</f>
        <v>Autres Courus</v>
      </c>
      <c r="AR566" s="487" t="s">
        <v>299</v>
      </c>
      <c r="AS566" s="487">
        <f>+VLOOKUP($AJ566,Data_Validation!$A:$E,5,0)</f>
        <v>0</v>
      </c>
      <c r="AT566" s="904" t="str">
        <f t="shared" si="51"/>
        <v>G33115</v>
      </c>
      <c r="AU566" s="488" t="str">
        <f t="shared" si="52"/>
        <v>PROVISION LMB</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hidden="1" customHeight="1">
      <c r="A567" s="706" t="s">
        <v>1148</v>
      </c>
      <c r="B567" s="706">
        <v>2026</v>
      </c>
      <c r="C567" s="706" t="s">
        <v>2174</v>
      </c>
      <c r="D567" s="706" t="s">
        <v>2175</v>
      </c>
      <c r="E567" s="706" t="s">
        <v>336</v>
      </c>
      <c r="F567" s="706" t="s">
        <v>1135</v>
      </c>
      <c r="G567" s="706">
        <v>0</v>
      </c>
      <c r="H567" s="706">
        <v>0</v>
      </c>
      <c r="I567" s="706">
        <v>0</v>
      </c>
      <c r="J567" s="706">
        <v>0</v>
      </c>
      <c r="K567" s="706">
        <v>410.14</v>
      </c>
      <c r="L567" s="706">
        <v>391.57</v>
      </c>
      <c r="M567" s="706">
        <v>391.57</v>
      </c>
      <c r="N567" s="706">
        <v>0</v>
      </c>
      <c r="O567" s="706">
        <v>-20461.14</v>
      </c>
      <c r="P567" s="706">
        <v>-20461.14</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G33116</v>
      </c>
      <c r="AK567" s="905" t="str">
        <f t="shared" si="55"/>
        <v>PROVISION USA LMB</v>
      </c>
      <c r="AL567" s="905">
        <f>IFERROR(INDEX(G567:R567,1,MATCH(Parametres!$B$3,G$1:R$1,0)-1)*IF(OR(F567="L",F567="S",F567="I"),-1,1),"")</f>
        <v>0</v>
      </c>
      <c r="AM567" s="905">
        <f t="shared" si="50"/>
        <v>20461.14</v>
      </c>
      <c r="AN567" s="905">
        <f>INDEX(G567:R567,1,MATCH(Parametres!$B$3,G$1:R$1,0))*IF(OR(F567="L",F567="S",F567="I"),-1,1)</f>
        <v>20461.14</v>
      </c>
      <c r="AO567" s="487" t="str">
        <f>+VLOOKUP($AJ567,Data_Validation!$A:$D,1,0)</f>
        <v>G33116</v>
      </c>
      <c r="AP567" s="487" t="str">
        <f>+VLOOKUP($AJ567,Data_Validation!$A:$D,3,0)</f>
        <v>Bilan</v>
      </c>
      <c r="AQ567" s="487" t="str">
        <f>+VLOOKUP($AJ567,Data_Validation!$A:$D,4,0)</f>
        <v>Autres Courus</v>
      </c>
      <c r="AR567" s="487" t="s">
        <v>299</v>
      </c>
      <c r="AS567" s="487">
        <f>+VLOOKUP($AJ567,Data_Validation!$A:$E,5,0)</f>
        <v>0</v>
      </c>
      <c r="AT567" s="904" t="str">
        <f t="shared" si="51"/>
        <v>G33116</v>
      </c>
      <c r="AU567" s="488" t="str">
        <f t="shared" si="52"/>
        <v>PROVISION USA LMB</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2176</v>
      </c>
      <c r="D568" s="706" t="s">
        <v>2177</v>
      </c>
      <c r="E568" s="706" t="s">
        <v>336</v>
      </c>
      <c r="F568" s="706" t="s">
        <v>1135</v>
      </c>
      <c r="G568" s="706">
        <v>0</v>
      </c>
      <c r="H568" s="706">
        <v>0</v>
      </c>
      <c r="I568" s="706">
        <v>0</v>
      </c>
      <c r="J568" s="706">
        <v>0</v>
      </c>
      <c r="K568" s="706">
        <v>1108.44</v>
      </c>
      <c r="L568" s="706">
        <v>0</v>
      </c>
      <c r="M568" s="706">
        <v>0</v>
      </c>
      <c r="N568" s="706">
        <v>0</v>
      </c>
      <c r="O568" s="706">
        <v>11648.04</v>
      </c>
      <c r="P568" s="706">
        <v>11648.04</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G33117</v>
      </c>
      <c r="AK568" s="905" t="str">
        <f t="shared" si="55"/>
        <v>PROVISION USA BMW</v>
      </c>
      <c r="AL568" s="905">
        <f>IFERROR(INDEX(G568:R568,1,MATCH(Parametres!$B$3,G$1:R$1,0)-1)*IF(OR(F568="L",F568="S",F568="I"),-1,1),"")</f>
        <v>0</v>
      </c>
      <c r="AM568" s="905">
        <f t="shared" si="50"/>
        <v>-11648.04</v>
      </c>
      <c r="AN568" s="905">
        <f>INDEX(G568:R568,1,MATCH(Parametres!$B$3,G$1:R$1,0))*IF(OR(F568="L",F568="S",F568="I"),-1,1)</f>
        <v>-11648.04</v>
      </c>
      <c r="AO568" s="487" t="str">
        <f>+VLOOKUP($AJ568,Data_Validation!$A:$D,1,0)</f>
        <v>G33117</v>
      </c>
      <c r="AP568" s="487" t="str">
        <f>+VLOOKUP($AJ568,Data_Validation!$A:$D,3,0)</f>
        <v>Bilan</v>
      </c>
      <c r="AQ568" s="487" t="str">
        <f>+VLOOKUP($AJ568,Data_Validation!$A:$D,4,0)</f>
        <v>Autres Courus</v>
      </c>
      <c r="AR568" s="487" t="s">
        <v>299</v>
      </c>
      <c r="AS568" s="487">
        <f>+VLOOKUP($AJ568,Data_Validation!$A:$E,5,0)</f>
        <v>0</v>
      </c>
      <c r="AT568" s="904" t="str">
        <f t="shared" si="51"/>
        <v>G33117</v>
      </c>
      <c r="AU568" s="488" t="str">
        <f t="shared" si="52"/>
        <v>PROVISION USA BMW</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hidden="1" customHeight="1">
      <c r="A569" s="706" t="s">
        <v>1148</v>
      </c>
      <c r="B569" s="706">
        <v>2026</v>
      </c>
      <c r="C569" s="706" t="s">
        <v>3433</v>
      </c>
      <c r="D569" s="706" t="s">
        <v>3434</v>
      </c>
      <c r="E569" s="706" t="s">
        <v>336</v>
      </c>
      <c r="F569" s="706" t="s">
        <v>1135</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G33119</v>
      </c>
      <c r="AK569" s="905" t="str">
        <f t="shared" si="55"/>
        <v>RESERVE WHOLESALE - AJOUT</v>
      </c>
      <c r="AL569" s="905">
        <f>IFERROR(INDEX(G569:R569,1,MATCH(Parametres!$B$3,G$1:R$1,0)-1)*IF(OR(F569="L",F569="S",F569="I"),-1,1),"")</f>
        <v>0</v>
      </c>
      <c r="AM569" s="905">
        <f t="shared" si="50"/>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51"/>
        <v>G33119</v>
      </c>
      <c r="AU569" s="488" t="str">
        <f t="shared" si="52"/>
        <v>RESERVE WHOLESALE - AJOUT</v>
      </c>
      <c r="AV569" s="899">
        <f>IFERROR(INDEX(V569:AG569,1,MATCH(Parametres!$B$3,V$1:AG$1,0)-1)*IF(OR(C569="L",C569="S",C569="I"),-1,1),"")</f>
        <v>0</v>
      </c>
      <c r="AW569" s="899">
        <f t="shared" si="53"/>
        <v>0</v>
      </c>
      <c r="AX569" s="899">
        <f>INDEX(V569:AG569,1,MATCH(Parametres!$B$3,V$1:AG$1,0))*IF(OR(C569="L",C569="S",C569="I"),-1,1)</f>
        <v>0</v>
      </c>
      <c r="AY569" s="487" t="s">
        <v>337</v>
      </c>
      <c r="AZ569" s="487" t="e">
        <f>+VLOOKUP($AJ569,Data_Validation!$A:$E,5,0)</f>
        <v>#N/A</v>
      </c>
    </row>
    <row r="570" spans="1:52" ht="15" hidden="1" customHeight="1">
      <c r="A570" s="706" t="s">
        <v>1148</v>
      </c>
      <c r="B570" s="706">
        <v>2026</v>
      </c>
      <c r="C570" s="706" t="s">
        <v>3417</v>
      </c>
      <c r="D570" s="706" t="s">
        <v>3418</v>
      </c>
      <c r="E570" s="706" t="s">
        <v>333</v>
      </c>
      <c r="F570" s="706" t="s">
        <v>1135</v>
      </c>
      <c r="G570" s="706">
        <v>0</v>
      </c>
      <c r="H570" s="706">
        <v>0</v>
      </c>
      <c r="I570" s="706">
        <v>0</v>
      </c>
      <c r="J570" s="706">
        <v>0</v>
      </c>
      <c r="K570" s="706">
        <v>0</v>
      </c>
      <c r="L570" s="706">
        <v>0</v>
      </c>
      <c r="M570" s="706">
        <v>-23333.35</v>
      </c>
      <c r="N570" s="706">
        <v>-18666.68</v>
      </c>
      <c r="O570" s="706">
        <v>-14000.01</v>
      </c>
      <c r="P570" s="706">
        <v>-14000.01</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G33120</v>
      </c>
      <c r="AK570" s="905" t="str">
        <f t="shared" si="55"/>
        <v>HONORAIRE VERIFICATION</v>
      </c>
      <c r="AL570" s="905">
        <f>IFERROR(INDEX(G570:R570,1,MATCH(Parametres!$B$3,G$1:R$1,0)-1)*IF(OR(F570="L",F570="S",F570="I"),-1,1),"")</f>
        <v>18666.68</v>
      </c>
      <c r="AM570" s="905">
        <f t="shared" si="50"/>
        <v>-4666.67</v>
      </c>
      <c r="AN570" s="905">
        <f>INDEX(G570:R570,1,MATCH(Parametres!$B$3,G$1:R$1,0))*IF(OR(F570="L",F570="S",F570="I"),-1,1)</f>
        <v>14000.01</v>
      </c>
      <c r="AO570" s="487" t="str">
        <f>+VLOOKUP($AJ570,Data_Validation!$A:$D,1,0)</f>
        <v>G33120</v>
      </c>
      <c r="AP570" s="487" t="str">
        <f>+VLOOKUP($AJ570,Data_Validation!$A:$D,3,0)</f>
        <v>Bilan</v>
      </c>
      <c r="AQ570" s="487" t="str">
        <f>+VLOOKUP($AJ570,Data_Validation!$A:$D,4,0)</f>
        <v>Autres Courus</v>
      </c>
      <c r="AR570" s="487" t="s">
        <v>299</v>
      </c>
      <c r="AS570" s="487">
        <f>+VLOOKUP($AJ570,Data_Validation!$A:$E,5,0)</f>
        <v>0</v>
      </c>
      <c r="AT570" s="904" t="str">
        <f t="shared" si="51"/>
        <v>G33120</v>
      </c>
      <c r="AU570" s="488" t="str">
        <f t="shared" si="52"/>
        <v>HONORAIRE VERIFICATION</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2178</v>
      </c>
      <c r="D571" s="706" t="s">
        <v>2179</v>
      </c>
      <c r="E571" s="706" t="s">
        <v>1139</v>
      </c>
      <c r="F571" s="706" t="s">
        <v>1135</v>
      </c>
      <c r="G571" s="706">
        <v>4200</v>
      </c>
      <c r="H571" s="706">
        <v>1950</v>
      </c>
      <c r="I571" s="706">
        <v>4700</v>
      </c>
      <c r="J571" s="706">
        <v>8700</v>
      </c>
      <c r="K571" s="706">
        <v>12824</v>
      </c>
      <c r="L571" s="706">
        <v>12824</v>
      </c>
      <c r="M571" s="706">
        <v>12824</v>
      </c>
      <c r="N571" s="706">
        <v>6575</v>
      </c>
      <c r="O571" s="706">
        <v>6575</v>
      </c>
      <c r="P571" s="706">
        <v>6575</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G33150</v>
      </c>
      <c r="AK571" s="905" t="str">
        <f t="shared" si="55"/>
        <v>SIMPLICITÉ RABAIS À PAYER</v>
      </c>
      <c r="AL571" s="905">
        <f>IFERROR(INDEX(G571:R571,1,MATCH(Parametres!$B$3,G$1:R$1,0)-1)*IF(OR(F571="L",F571="S",F571="I"),-1,1),"")</f>
        <v>-6575</v>
      </c>
      <c r="AM571" s="905">
        <f t="shared" si="50"/>
        <v>0</v>
      </c>
      <c r="AN571" s="905">
        <f>INDEX(G571:R571,1,MATCH(Parametres!$B$3,G$1:R$1,0))*IF(OR(F571="L",F571="S",F571="I"),-1,1)</f>
        <v>-6575</v>
      </c>
      <c r="AO571" s="487" t="str">
        <f>+VLOOKUP($AJ571,Data_Validation!$A:$D,1,0)</f>
        <v>G33150</v>
      </c>
      <c r="AP571" s="487" t="str">
        <f>+VLOOKUP($AJ571,Data_Validation!$A:$D,3,0)</f>
        <v>Bilan</v>
      </c>
      <c r="AQ571" s="487" t="str">
        <f>+VLOOKUP($AJ571,Data_Validation!$A:$D,4,0)</f>
        <v>Autres Courus</v>
      </c>
      <c r="AR571" s="487" t="s">
        <v>299</v>
      </c>
      <c r="AS571" s="487">
        <f>+VLOOKUP($AJ571,Data_Validation!$A:$E,5,0)</f>
        <v>0</v>
      </c>
      <c r="AT571" s="904" t="str">
        <f t="shared" si="51"/>
        <v>G33150</v>
      </c>
      <c r="AU571" s="488" t="str">
        <f t="shared" si="52"/>
        <v>SIMPLICITÉ RABAIS À PAYER</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hidden="1" customHeight="1">
      <c r="A572" s="706" t="s">
        <v>1148</v>
      </c>
      <c r="B572" s="706">
        <v>2026</v>
      </c>
      <c r="C572" s="706" t="s">
        <v>2180</v>
      </c>
      <c r="D572" s="706" t="s">
        <v>2181</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G33200</v>
      </c>
      <c r="AK572" s="905" t="str">
        <f t="shared" si="55"/>
        <v>RACHAT ACTIONS PRIVILEGIE</v>
      </c>
      <c r="AL572" s="905">
        <f>IFERROR(INDEX(G572:R572,1,MATCH(Parametres!$B$3,G$1:R$1,0)-1)*IF(OR(F572="L",F572="S",F572="I"),-1,1),"")</f>
        <v>0</v>
      </c>
      <c r="AM572" s="905">
        <f t="shared" si="50"/>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51"/>
        <v>G33200</v>
      </c>
      <c r="AU572" s="488" t="str">
        <f t="shared" si="52"/>
        <v>RACHAT ACTIONS PRIVILEGIE</v>
      </c>
      <c r="AV572" s="899">
        <f>IFERROR(INDEX(V572:AG572,1,MATCH(Parametres!$B$3,V$1:AG$1,0)-1)*IF(OR(C572="L",C572="S",C572="I"),-1,1),"")</f>
        <v>0</v>
      </c>
      <c r="AW572" s="899">
        <f t="shared" si="53"/>
        <v>0</v>
      </c>
      <c r="AX572" s="899">
        <f>INDEX(V572:AG572,1,MATCH(Parametres!$B$3,V$1:AG$1,0))*IF(OR(C572="L",C572="S",C572="I"),-1,1)</f>
        <v>0</v>
      </c>
      <c r="AY572" s="487" t="s">
        <v>337</v>
      </c>
      <c r="AZ572" s="487" t="e">
        <f>+VLOOKUP($AJ572,Data_Validation!$A:$E,5,0)</f>
        <v>#N/A</v>
      </c>
    </row>
    <row r="573" spans="1:52" ht="15" hidden="1" customHeight="1">
      <c r="A573" s="706" t="s">
        <v>1148</v>
      </c>
      <c r="B573" s="706">
        <v>2026</v>
      </c>
      <c r="C573" s="706" t="s">
        <v>3442</v>
      </c>
      <c r="D573" s="706" t="s">
        <v>3443</v>
      </c>
      <c r="E573" s="706" t="s">
        <v>333</v>
      </c>
      <c r="F573" s="706" t="s">
        <v>1135</v>
      </c>
      <c r="G573" s="706">
        <v>0</v>
      </c>
      <c r="H573" s="706">
        <v>0</v>
      </c>
      <c r="I573" s="706">
        <v>0</v>
      </c>
      <c r="J573" s="706">
        <v>0</v>
      </c>
      <c r="K573" s="706">
        <v>0</v>
      </c>
      <c r="L573" s="706">
        <v>0</v>
      </c>
      <c r="M573" s="706">
        <v>0</v>
      </c>
      <c r="N573" s="706">
        <v>144000</v>
      </c>
      <c r="O573" s="706">
        <v>144000</v>
      </c>
      <c r="P573" s="706">
        <v>144000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G33250</v>
      </c>
      <c r="AK573" s="905" t="str">
        <f t="shared" si="55"/>
        <v>RISTOURNE AXALTA</v>
      </c>
      <c r="AL573" s="905">
        <f>IFERROR(INDEX(G573:R573,1,MATCH(Parametres!$B$3,G$1:R$1,0)-1)*IF(OR(F573="L",F573="S",F573="I"),-1,1),"")</f>
        <v>-144000</v>
      </c>
      <c r="AM573" s="905">
        <f t="shared" si="50"/>
        <v>0</v>
      </c>
      <c r="AN573" s="905">
        <f>INDEX(G573:R573,1,MATCH(Parametres!$B$3,G$1:R$1,0))*IF(OR(F573="L",F573="S",F573="I"),-1,1)</f>
        <v>-144000</v>
      </c>
      <c r="AO573" s="487" t="str">
        <f>+VLOOKUP($AJ573,Data_Validation!$A:$D,1,0)</f>
        <v>G33250</v>
      </c>
      <c r="AP573" s="487" t="str">
        <f>+VLOOKUP($AJ573,Data_Validation!$A:$D,3,0)</f>
        <v>Bilan</v>
      </c>
      <c r="AQ573" s="487" t="str">
        <f>+VLOOKUP($AJ573,Data_Validation!$A:$D,4,0)</f>
        <v>Autres Courus</v>
      </c>
      <c r="AR573" s="487" t="s">
        <v>299</v>
      </c>
      <c r="AS573" s="487">
        <f>+VLOOKUP($AJ573,Data_Validation!$A:$E,5,0)</f>
        <v>0</v>
      </c>
      <c r="AT573" s="904" t="str">
        <f t="shared" si="51"/>
        <v>G33250</v>
      </c>
      <c r="AU573" s="488" t="str">
        <f t="shared" si="52"/>
        <v>RISTOURNE AXALTA</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2182</v>
      </c>
      <c r="D574" s="706" t="s">
        <v>2183</v>
      </c>
      <c r="E574" s="706" t="s">
        <v>333</v>
      </c>
      <c r="F574" s="706" t="s">
        <v>1135</v>
      </c>
      <c r="G574" s="706">
        <v>-30962</v>
      </c>
      <c r="H574" s="706">
        <v>-30962</v>
      </c>
      <c r="I574" s="706">
        <v>-30962</v>
      </c>
      <c r="J574" s="706">
        <v>-30962</v>
      </c>
      <c r="K574" s="706">
        <v>-30962</v>
      </c>
      <c r="L574" s="706">
        <v>-30962</v>
      </c>
      <c r="M574" s="706">
        <v>88167</v>
      </c>
      <c r="N574" s="706">
        <v>88167</v>
      </c>
      <c r="O574" s="706">
        <v>88167</v>
      </c>
      <c r="P574" s="706">
        <v>88167</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G33300</v>
      </c>
      <c r="AK574" s="905" t="str">
        <f t="shared" si="55"/>
        <v>ACTIF D'IMPOTS FUTURS</v>
      </c>
      <c r="AL574" s="905">
        <f>IFERROR(INDEX(G574:R574,1,MATCH(Parametres!$B$3,G$1:R$1,0)-1)*IF(OR(F574="L",F574="S",F574="I"),-1,1),"")</f>
        <v>-88167</v>
      </c>
      <c r="AM574" s="905">
        <f t="shared" si="50"/>
        <v>0</v>
      </c>
      <c r="AN574" s="905">
        <f>INDEX(G574:R574,1,MATCH(Parametres!$B$3,G$1:R$1,0))*IF(OR(F574="L",F574="S",F574="I"),-1,1)</f>
        <v>-88167</v>
      </c>
      <c r="AO574" s="487" t="str">
        <f>+VLOOKUP($AJ574,Data_Validation!$A:$D,1,0)</f>
        <v>G33300</v>
      </c>
      <c r="AP574" s="487" t="str">
        <f>+VLOOKUP($AJ574,Data_Validation!$A:$D,3,0)</f>
        <v>Bilan</v>
      </c>
      <c r="AQ574" s="487" t="str">
        <f>+VLOOKUP($AJ574,Data_Validation!$A:$D,4,0)</f>
        <v>Impôts Futurs à payer</v>
      </c>
      <c r="AR574" s="487" t="s">
        <v>299</v>
      </c>
      <c r="AS574" s="487">
        <f>+VLOOKUP($AJ574,Data_Validation!$A:$E,5,0)</f>
        <v>0</v>
      </c>
      <c r="AT574" s="904" t="str">
        <f t="shared" si="51"/>
        <v>G33300</v>
      </c>
      <c r="AU574" s="488" t="str">
        <f t="shared" si="52"/>
        <v>ACTIF D'IMPOTS FUTURS</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2184</v>
      </c>
      <c r="D575" s="706" t="s">
        <v>2185</v>
      </c>
      <c r="E575" s="706" t="s">
        <v>333</v>
      </c>
      <c r="F575" s="706" t="s">
        <v>1135</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G33400</v>
      </c>
      <c r="AK575" s="905" t="str">
        <f t="shared" si="55"/>
        <v>MARGE DE CRÉDIT &amp; LOYER</v>
      </c>
      <c r="AL575" s="905">
        <f>IFERROR(INDEX(G575:R575,1,MATCH(Parametres!$B$3,G$1:R$1,0)-1)*IF(OR(F575="L",F575="S",F575="I"),-1,1),"")</f>
        <v>0</v>
      </c>
      <c r="AM575" s="905">
        <f t="shared" si="50"/>
        <v>0</v>
      </c>
      <c r="AN575" s="905">
        <f>INDEX(G575:R575,1,MATCH(Parametres!$B$3,G$1:R$1,0))*IF(OR(F575="L",F575="S",F575="I"),-1,1)</f>
        <v>0</v>
      </c>
      <c r="AO575" s="487" t="str">
        <f>+VLOOKUP($AJ575,Data_Validation!$A:$D,1,0)</f>
        <v>G33400</v>
      </c>
      <c r="AP575" s="487" t="str">
        <f>+VLOOKUP($AJ575,Data_Validation!$A:$D,3,0)</f>
        <v>Bilan</v>
      </c>
      <c r="AQ575" s="487" t="str">
        <f>+VLOOKUP($AJ575,Data_Validation!$A:$D,4,0)</f>
        <v>Marge de crédit</v>
      </c>
      <c r="AR575" s="487" t="s">
        <v>299</v>
      </c>
      <c r="AS575" s="487">
        <f>+VLOOKUP($AJ575,Data_Validation!$A:$E,5,0)</f>
        <v>0</v>
      </c>
      <c r="AT575" s="904" t="str">
        <f t="shared" si="51"/>
        <v>G33400</v>
      </c>
      <c r="AU575" s="488" t="str">
        <f t="shared" si="52"/>
        <v>MARGE DE CRÉDIT &amp; LOYER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2186</v>
      </c>
      <c r="D576" s="706" t="s">
        <v>2187</v>
      </c>
      <c r="E576" s="706" t="s">
        <v>333</v>
      </c>
      <c r="F576" s="706" t="s">
        <v>1135</v>
      </c>
      <c r="G576" s="706">
        <v>-62787</v>
      </c>
      <c r="H576" s="706">
        <v>-62787</v>
      </c>
      <c r="I576" s="706">
        <v>-62787</v>
      </c>
      <c r="J576" s="706">
        <v>-62787</v>
      </c>
      <c r="K576" s="706">
        <v>-62787</v>
      </c>
      <c r="L576" s="706">
        <v>-62787</v>
      </c>
      <c r="M576" s="706">
        <v>-156705</v>
      </c>
      <c r="N576" s="706">
        <v>-156705</v>
      </c>
      <c r="O576" s="706">
        <v>-156705</v>
      </c>
      <c r="P576" s="706">
        <v>-156705</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G33600</v>
      </c>
      <c r="AK576" s="905" t="str">
        <f t="shared" si="55"/>
        <v>RRI</v>
      </c>
      <c r="AL576" s="905">
        <f>IFERROR(INDEX(G576:R576,1,MATCH(Parametres!$B$3,G$1:R$1,0)-1)*IF(OR(F576="L",F576="S",F576="I"),-1,1),"")</f>
        <v>156705</v>
      </c>
      <c r="AM576" s="905">
        <f t="shared" si="50"/>
        <v>0</v>
      </c>
      <c r="AN576" s="905">
        <f>INDEX(G576:R576,1,MATCH(Parametres!$B$3,G$1:R$1,0))*IF(OR(F576="L",F576="S",F576="I"),-1,1)</f>
        <v>156705</v>
      </c>
      <c r="AO576" s="487" t="str">
        <f>+VLOOKUP($AJ576,Data_Validation!$A:$D,1,0)</f>
        <v>G33600</v>
      </c>
      <c r="AP576" s="487" t="str">
        <f>+VLOOKUP($AJ576,Data_Validation!$A:$D,3,0)</f>
        <v>Bilan</v>
      </c>
      <c r="AQ576" s="487" t="str">
        <f>+VLOOKUP($AJ576,Data_Validation!$A:$D,4,0)</f>
        <v>Frais Payés d'Avance</v>
      </c>
      <c r="AR576" s="487" t="s">
        <v>299</v>
      </c>
      <c r="AS576" s="487">
        <f>+VLOOKUP($AJ576,Data_Validation!$A:$E,5,0)</f>
        <v>0</v>
      </c>
      <c r="AT576" s="904" t="str">
        <f t="shared" si="51"/>
        <v>G33600</v>
      </c>
      <c r="AU576" s="488" t="str">
        <f t="shared" si="52"/>
        <v>RRI</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2188</v>
      </c>
      <c r="D577" s="706" t="s">
        <v>2189</v>
      </c>
      <c r="E577" s="706" t="s">
        <v>333</v>
      </c>
      <c r="F577" s="706" t="s">
        <v>1135</v>
      </c>
      <c r="G577" s="706">
        <v>0</v>
      </c>
      <c r="H577" s="706">
        <v>0</v>
      </c>
      <c r="I577" s="706">
        <v>0</v>
      </c>
      <c r="J577" s="706">
        <v>0</v>
      </c>
      <c r="K577" s="706">
        <v>0</v>
      </c>
      <c r="L577" s="706">
        <v>0</v>
      </c>
      <c r="M577" s="706">
        <v>0</v>
      </c>
      <c r="N577" s="706">
        <v>0</v>
      </c>
      <c r="O577" s="706">
        <v>0</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G34000</v>
      </c>
      <c r="AK577" s="905" t="str">
        <f t="shared" si="55"/>
        <v>PROV.CREANCES DOUTEUSES</v>
      </c>
      <c r="AL577" s="905">
        <f>IFERROR(INDEX(G577:R577,1,MATCH(Parametres!$B$3,G$1:R$1,0)-1)*IF(OR(F577="L",F577="S",F577="I"),-1,1),"")</f>
        <v>0</v>
      </c>
      <c r="AM577" s="905">
        <f t="shared" si="50"/>
        <v>0</v>
      </c>
      <c r="AN577" s="905">
        <f>INDEX(G577:R577,1,MATCH(Parametres!$B$3,G$1:R$1,0))*IF(OR(F577="L",F577="S",F577="I"),-1,1)</f>
        <v>0</v>
      </c>
      <c r="AO577" s="487" t="str">
        <f>+VLOOKUP($AJ577,Data_Validation!$A:$D,1,0)</f>
        <v>G34000</v>
      </c>
      <c r="AP577" s="487">
        <f>+VLOOKUP($AJ577,Data_Validation!$A:$D,3,0)</f>
        <v>0</v>
      </c>
      <c r="AQ577" s="487">
        <f>+VLOOKUP($AJ577,Data_Validation!$A:$D,4,0)</f>
        <v>0</v>
      </c>
      <c r="AR577" s="487" t="s">
        <v>299</v>
      </c>
      <c r="AS577" s="487">
        <f>+VLOOKUP($AJ577,Data_Validation!$A:$E,5,0)</f>
        <v>0</v>
      </c>
      <c r="AT577" s="904" t="str">
        <f t="shared" si="51"/>
        <v>G34000</v>
      </c>
      <c r="AU577" s="488" t="str">
        <f t="shared" si="52"/>
        <v>PROV.CREANCES DOUTEUSES</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2190</v>
      </c>
      <c r="D578" s="706" t="s">
        <v>2191</v>
      </c>
      <c r="E578" s="706" t="s">
        <v>333</v>
      </c>
      <c r="F578" s="706" t="s">
        <v>1135</v>
      </c>
      <c r="G578" s="706">
        <v>1394309.58</v>
      </c>
      <c r="H578" s="706">
        <v>1394309.58</v>
      </c>
      <c r="I578" s="706">
        <v>1399339.58</v>
      </c>
      <c r="J578" s="706">
        <v>1414429.58</v>
      </c>
      <c r="K578" s="706">
        <v>1419459.58</v>
      </c>
      <c r="L578" s="706">
        <v>1424489.58</v>
      </c>
      <c r="M578" s="706">
        <v>1435855.58</v>
      </c>
      <c r="N578" s="706">
        <v>1440885.58</v>
      </c>
      <c r="O578" s="706">
        <v>1445915.58</v>
      </c>
      <c r="P578" s="706">
        <v>1445915.58</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G35200</v>
      </c>
      <c r="AK578" s="905" t="str">
        <f t="shared" si="55"/>
        <v>AMORT.ACC.MACHINERIE,EQUI</v>
      </c>
      <c r="AL578" s="905">
        <f>IFERROR(INDEX(G578:R578,1,MATCH(Parametres!$B$3,G$1:R$1,0)-1)*IF(OR(F578="L",F578="S",F578="I"),-1,1),"")</f>
        <v>-1440885.58</v>
      </c>
      <c r="AM578" s="905">
        <f t="shared" si="50"/>
        <v>-5030</v>
      </c>
      <c r="AN578" s="905">
        <f>INDEX(G578:R578,1,MATCH(Parametres!$B$3,G$1:R$1,0))*IF(OR(F578="L",F578="S",F578="I"),-1,1)</f>
        <v>-1445915.58</v>
      </c>
      <c r="AO578" s="487" t="str">
        <f>+VLOOKUP($AJ578,Data_Validation!$A:$D,1,0)</f>
        <v>G35200</v>
      </c>
      <c r="AP578" s="487" t="str">
        <f>+VLOOKUP($AJ578,Data_Validation!$A:$D,3,0)</f>
        <v>Bilan</v>
      </c>
      <c r="AQ578" s="487" t="str">
        <f>+VLOOKUP($AJ578,Data_Validation!$A:$D,4,0)</f>
        <v>Équipements Service</v>
      </c>
      <c r="AR578" s="487" t="s">
        <v>299</v>
      </c>
      <c r="AS578" s="487">
        <f>+VLOOKUP($AJ578,Data_Validation!$A:$E,5,0)</f>
        <v>0</v>
      </c>
      <c r="AT578" s="904" t="str">
        <f t="shared" si="51"/>
        <v>G35200</v>
      </c>
      <c r="AU578" s="488" t="str">
        <f t="shared" si="52"/>
        <v>AMORT.ACC.MACHINERIE,EQUI</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2192</v>
      </c>
      <c r="D579" s="706" t="s">
        <v>2193</v>
      </c>
      <c r="E579" s="706" t="s">
        <v>333</v>
      </c>
      <c r="F579" s="706" t="s">
        <v>1135</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G35210</v>
      </c>
      <c r="AK579" s="905" t="str">
        <f t="shared" si="55"/>
        <v>AMORT.ACC.MACHINERIE,CARR</v>
      </c>
      <c r="AL579" s="905">
        <f>IFERROR(INDEX(G579:R579,1,MATCH(Parametres!$B$3,G$1:R$1,0)-1)*IF(OR(F579="L",F579="S",F579="I"),-1,1),"")</f>
        <v>0</v>
      </c>
      <c r="AM579" s="905">
        <f t="shared" si="50"/>
        <v>0</v>
      </c>
      <c r="AN579" s="905">
        <f>INDEX(G579:R579,1,MATCH(Parametres!$B$3,G$1:R$1,0))*IF(OR(F579="L",F579="S",F579="I"),-1,1)</f>
        <v>0</v>
      </c>
      <c r="AO579" s="487" t="str">
        <f>+VLOOKUP($AJ579,Data_Validation!$A:$D,1,0)</f>
        <v>G35210</v>
      </c>
      <c r="AP579" s="487" t="str">
        <f>+VLOOKUP($AJ579,Data_Validation!$A:$D,3,0)</f>
        <v>Bilan</v>
      </c>
      <c r="AQ579" s="487" t="str">
        <f>+VLOOKUP($AJ579,Data_Validation!$A:$D,4,0)</f>
        <v>Équipements Service</v>
      </c>
      <c r="AR579" s="487" t="s">
        <v>299</v>
      </c>
      <c r="AS579" s="487">
        <f>+VLOOKUP($AJ579,Data_Validation!$A:$E,5,0)</f>
        <v>0</v>
      </c>
      <c r="AT579" s="904" t="str">
        <f t="shared" si="51"/>
        <v>G35210</v>
      </c>
      <c r="AU579" s="488" t="str">
        <f t="shared" si="52"/>
        <v>AMORT.ACC.MACHINERIE,CARR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2194</v>
      </c>
      <c r="D580" s="706" t="s">
        <v>2195</v>
      </c>
      <c r="E580" s="706" t="s">
        <v>333</v>
      </c>
      <c r="F580" s="706" t="s">
        <v>1135</v>
      </c>
      <c r="G580" s="706">
        <v>1161.79</v>
      </c>
      <c r="H580" s="706">
        <v>1256.79</v>
      </c>
      <c r="I580" s="706">
        <v>1351.79</v>
      </c>
      <c r="J580" s="706">
        <v>1446.79</v>
      </c>
      <c r="K580" s="706">
        <v>1541.79</v>
      </c>
      <c r="L580" s="706">
        <v>1636.79</v>
      </c>
      <c r="M580" s="706">
        <v>599.79</v>
      </c>
      <c r="N580" s="706">
        <v>694.79</v>
      </c>
      <c r="O580" s="706">
        <v>789.79</v>
      </c>
      <c r="P580" s="706">
        <v>789.79</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G35300</v>
      </c>
      <c r="AK580" s="905" t="str">
        <f t="shared" si="55"/>
        <v>AMORT.PNEUSACC.DEMO/COURT</v>
      </c>
      <c r="AL580" s="905">
        <f>IFERROR(INDEX(G580:R580,1,MATCH(Parametres!$B$3,G$1:R$1,0)-1)*IF(OR(F580="L",F580="S",F580="I"),-1,1),"")</f>
        <v>-694.79</v>
      </c>
      <c r="AM580" s="905">
        <f t="shared" ref="AM580:AM643" si="56">AN580-AL580</f>
        <v>-95</v>
      </c>
      <c r="AN580" s="905">
        <f>INDEX(G580:R580,1,MATCH(Parametres!$B$3,G$1:R$1,0))*IF(OR(F580="L",F580="S",F580="I"),-1,1)</f>
        <v>-789.79</v>
      </c>
      <c r="AO580" s="487" t="str">
        <f>+VLOOKUP($AJ580,Data_Validation!$A:$D,1,0)</f>
        <v>G35300</v>
      </c>
      <c r="AP580" s="487" t="str">
        <f>+VLOOKUP($AJ580,Data_Validation!$A:$D,3,0)</f>
        <v>Bilan</v>
      </c>
      <c r="AQ580" s="487" t="str">
        <f>+VLOOKUP($AJ580,Data_Validation!$A:$D,4,0)</f>
        <v>Équipements Service</v>
      </c>
      <c r="AR580" s="487" t="s">
        <v>299</v>
      </c>
      <c r="AS580" s="487">
        <f>+VLOOKUP($AJ580,Data_Validation!$A:$E,5,0)</f>
        <v>0</v>
      </c>
      <c r="AT580" s="904" t="str">
        <f t="shared" ref="AT580:AT643" si="57">C580</f>
        <v>G35300</v>
      </c>
      <c r="AU580" s="488" t="str">
        <f t="shared" ref="AU580:AU643" si="58">D580</f>
        <v>AMORT.PNEUSACC.DEMO/COURT</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2196</v>
      </c>
      <c r="D581" s="706" t="s">
        <v>2197</v>
      </c>
      <c r="E581" s="706" t="s">
        <v>333</v>
      </c>
      <c r="F581" s="706" t="s">
        <v>1135</v>
      </c>
      <c r="G581" s="706">
        <v>315824.27</v>
      </c>
      <c r="H581" s="706">
        <v>316649.27</v>
      </c>
      <c r="I581" s="706">
        <v>317474.27</v>
      </c>
      <c r="J581" s="706">
        <v>318299.27</v>
      </c>
      <c r="K581" s="706">
        <v>319124.27</v>
      </c>
      <c r="L581" s="706">
        <v>319949.27</v>
      </c>
      <c r="M581" s="706">
        <v>321922.27</v>
      </c>
      <c r="N581" s="706">
        <v>322747.27</v>
      </c>
      <c r="O581" s="706">
        <v>323572.27</v>
      </c>
      <c r="P581" s="706">
        <v>323572.27</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G35400</v>
      </c>
      <c r="AK581" s="905" t="str">
        <f t="shared" si="55"/>
        <v>AMORT.ACC.&amp; EQUIP.BUR</v>
      </c>
      <c r="AL581" s="905">
        <f>IFERROR(INDEX(G581:R581,1,MATCH(Parametres!$B$3,G$1:R$1,0)-1)*IF(OR(F581="L",F581="S",F581="I"),-1,1),"")</f>
        <v>-322747.27</v>
      </c>
      <c r="AM581" s="905">
        <f t="shared" si="56"/>
        <v>-825</v>
      </c>
      <c r="AN581" s="905">
        <f>INDEX(G581:R581,1,MATCH(Parametres!$B$3,G$1:R$1,0))*IF(OR(F581="L",F581="S",F581="I"),-1,1)</f>
        <v>-323572.27</v>
      </c>
      <c r="AO581" s="487" t="str">
        <f>+VLOOKUP($AJ581,Data_Validation!$A:$D,1,0)</f>
        <v>G35400</v>
      </c>
      <c r="AP581" s="487" t="str">
        <f>+VLOOKUP($AJ581,Data_Validation!$A:$D,3,0)</f>
        <v>Bilan</v>
      </c>
      <c r="AQ581" s="487" t="str">
        <f>+VLOOKUP($AJ581,Data_Validation!$A:$D,4,0)</f>
        <v>Mobilier</v>
      </c>
      <c r="AR581" s="487" t="s">
        <v>299</v>
      </c>
      <c r="AS581" s="487">
        <f>+VLOOKUP($AJ581,Data_Validation!$A:$E,5,0)</f>
        <v>0</v>
      </c>
      <c r="AT581" s="904" t="str">
        <f t="shared" si="57"/>
        <v>G35400</v>
      </c>
      <c r="AU581" s="488" t="str">
        <f t="shared" si="58"/>
        <v>AMORT.ACC.&amp; EQUIP.BUR</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2198</v>
      </c>
      <c r="D582" s="706" t="s">
        <v>2199</v>
      </c>
      <c r="E582" s="706" t="s">
        <v>333</v>
      </c>
      <c r="F582" s="706" t="s">
        <v>1135</v>
      </c>
      <c r="G582" s="706">
        <v>78325.710000000006</v>
      </c>
      <c r="H582" s="706">
        <v>80075.710000000006</v>
      </c>
      <c r="I582" s="706">
        <v>81825.710000000006</v>
      </c>
      <c r="J582" s="706">
        <v>83575.710000000006</v>
      </c>
      <c r="K582" s="706">
        <v>85325.71</v>
      </c>
      <c r="L582" s="706">
        <v>87075.71</v>
      </c>
      <c r="M582" s="706">
        <v>88825.71</v>
      </c>
      <c r="N582" s="706">
        <v>90575.71</v>
      </c>
      <c r="O582" s="706">
        <v>92325.71</v>
      </c>
      <c r="P582" s="706">
        <v>92325.71</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G35500</v>
      </c>
      <c r="AK582" s="905" t="str">
        <f t="shared" si="55"/>
        <v>AMORT.CUMULE VEHICULE SER</v>
      </c>
      <c r="AL582" s="905">
        <f>IFERROR(INDEX(G582:R582,1,MATCH(Parametres!$B$3,G$1:R$1,0)-1)*IF(OR(F582="L",F582="S",F582="I"),-1,1),"")</f>
        <v>-90575.71</v>
      </c>
      <c r="AM582" s="905">
        <f t="shared" si="56"/>
        <v>-1750</v>
      </c>
      <c r="AN582" s="905">
        <f>INDEX(G582:R582,1,MATCH(Parametres!$B$3,G$1:R$1,0))*IF(OR(F582="L",F582="S",F582="I"),-1,1)</f>
        <v>-92325.71</v>
      </c>
      <c r="AO582" s="487" t="str">
        <f>+VLOOKUP($AJ582,Data_Validation!$A:$D,1,0)</f>
        <v>G35500</v>
      </c>
      <c r="AP582" s="487" t="str">
        <f>+VLOOKUP($AJ582,Data_Validation!$A:$D,3,0)</f>
        <v>Bilan</v>
      </c>
      <c r="AQ582" s="487" t="str">
        <f>+VLOOKUP($AJ582,Data_Validation!$A:$D,4,0)</f>
        <v>Équipements Service</v>
      </c>
      <c r="AR582" s="487" t="s">
        <v>299</v>
      </c>
      <c r="AS582" s="487">
        <f>+VLOOKUP($AJ582,Data_Validation!$A:$E,5,0)</f>
        <v>0</v>
      </c>
      <c r="AT582" s="904" t="str">
        <f t="shared" si="57"/>
        <v>G35500</v>
      </c>
      <c r="AU582" s="488" t="str">
        <f t="shared" si="58"/>
        <v>AMORT.CUMULE VEHICULE SER</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2200</v>
      </c>
      <c r="D583" s="706" t="s">
        <v>2201</v>
      </c>
      <c r="E583" s="706" t="s">
        <v>333</v>
      </c>
      <c r="F583" s="706" t="s">
        <v>1135</v>
      </c>
      <c r="G583" s="706">
        <v>62858.9</v>
      </c>
      <c r="H583" s="706">
        <v>65058.9</v>
      </c>
      <c r="I583" s="706">
        <v>67258.899999999994</v>
      </c>
      <c r="J583" s="706">
        <v>69458.899999999994</v>
      </c>
      <c r="K583" s="706">
        <v>71658.899999999994</v>
      </c>
      <c r="L583" s="706">
        <v>73858.899999999994</v>
      </c>
      <c r="M583" s="706">
        <v>88802.9</v>
      </c>
      <c r="N583" s="706">
        <v>91002.9</v>
      </c>
      <c r="O583" s="706">
        <v>93202.9</v>
      </c>
      <c r="P583" s="706">
        <v>93202.9</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G35600</v>
      </c>
      <c r="AK583" s="905" t="str">
        <f t="shared" si="55"/>
        <v>AMORT.ACC.AMEL. LOCAT.</v>
      </c>
      <c r="AL583" s="905">
        <f>IFERROR(INDEX(G583:R583,1,MATCH(Parametres!$B$3,G$1:R$1,0)-1)*IF(OR(F583="L",F583="S",F583="I"),-1,1),"")</f>
        <v>-91002.9</v>
      </c>
      <c r="AM583" s="905">
        <f t="shared" si="56"/>
        <v>-2200</v>
      </c>
      <c r="AN583" s="905">
        <f>INDEX(G583:R583,1,MATCH(Parametres!$B$3,G$1:R$1,0))*IF(OR(F583="L",F583="S",F583="I"),-1,1)</f>
        <v>-93202.9</v>
      </c>
      <c r="AO583" s="487" t="str">
        <f>+VLOOKUP($AJ583,Data_Validation!$A:$D,1,0)</f>
        <v>G35600</v>
      </c>
      <c r="AP583" s="487" t="str">
        <f>+VLOOKUP($AJ583,Data_Validation!$A:$D,3,0)</f>
        <v>Bilan</v>
      </c>
      <c r="AQ583" s="487" t="str">
        <f>+VLOOKUP($AJ583,Data_Validation!$A:$D,4,0)</f>
        <v>Améliorations Locatives</v>
      </c>
      <c r="AR583" s="487" t="s">
        <v>299</v>
      </c>
      <c r="AS583" s="487">
        <f>+VLOOKUP($AJ583,Data_Validation!$A:$E,5,0)</f>
        <v>0</v>
      </c>
      <c r="AT583" s="904" t="str">
        <f t="shared" si="57"/>
        <v>G35600</v>
      </c>
      <c r="AU583" s="488" t="str">
        <f t="shared" si="58"/>
        <v>AMORT.ACC.AMEL. LOCAT.</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2202</v>
      </c>
      <c r="D584" s="706" t="s">
        <v>2203</v>
      </c>
      <c r="E584" s="706" t="s">
        <v>333</v>
      </c>
      <c r="F584" s="706" t="s">
        <v>1135</v>
      </c>
      <c r="G584" s="706">
        <v>187329.09</v>
      </c>
      <c r="H584" s="706">
        <v>188099.09</v>
      </c>
      <c r="I584" s="706">
        <v>188869.09</v>
      </c>
      <c r="J584" s="706">
        <v>189639.09</v>
      </c>
      <c r="K584" s="706">
        <v>190409.09</v>
      </c>
      <c r="L584" s="706">
        <v>191179.09</v>
      </c>
      <c r="M584" s="706">
        <v>202845.09</v>
      </c>
      <c r="N584" s="706">
        <v>203615.09</v>
      </c>
      <c r="O584" s="706">
        <v>204385.09</v>
      </c>
      <c r="P584" s="706">
        <v>204385.09</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G35700</v>
      </c>
      <c r="AK584" s="905" t="str">
        <f t="shared" si="55"/>
        <v>AMORT. MATERIEL INFORM.</v>
      </c>
      <c r="AL584" s="905">
        <f>IFERROR(INDEX(G584:R584,1,MATCH(Parametres!$B$3,G$1:R$1,0)-1)*IF(OR(F584="L",F584="S",F584="I"),-1,1),"")</f>
        <v>-203615.09</v>
      </c>
      <c r="AM584" s="905">
        <f t="shared" si="56"/>
        <v>-770</v>
      </c>
      <c r="AN584" s="905">
        <f>INDEX(G584:R584,1,MATCH(Parametres!$B$3,G$1:R$1,0))*IF(OR(F584="L",F584="S",F584="I"),-1,1)</f>
        <v>-204385.09</v>
      </c>
      <c r="AO584" s="487" t="str">
        <f>+VLOOKUP($AJ584,Data_Validation!$A:$D,1,0)</f>
        <v>G35700</v>
      </c>
      <c r="AP584" s="487" t="str">
        <f>+VLOOKUP($AJ584,Data_Validation!$A:$D,3,0)</f>
        <v>Bilan</v>
      </c>
      <c r="AQ584" s="487" t="str">
        <f>+VLOOKUP($AJ584,Data_Validation!$A:$D,4,0)</f>
        <v>Équipements Informatique</v>
      </c>
      <c r="AR584" s="487" t="s">
        <v>299</v>
      </c>
      <c r="AS584" s="487">
        <f>+VLOOKUP($AJ584,Data_Validation!$A:$E,5,0)</f>
        <v>0</v>
      </c>
      <c r="AT584" s="904" t="str">
        <f t="shared" si="57"/>
        <v>G35700</v>
      </c>
      <c r="AU584" s="488" t="str">
        <f t="shared" si="58"/>
        <v>AMORT. MATERIEL INFORM.</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2204</v>
      </c>
      <c r="D585" s="706" t="s">
        <v>2205</v>
      </c>
      <c r="E585" s="706" t="s">
        <v>333</v>
      </c>
      <c r="F585" s="706" t="s">
        <v>1135</v>
      </c>
      <c r="G585" s="706">
        <v>49409.61</v>
      </c>
      <c r="H585" s="706">
        <v>49549.61</v>
      </c>
      <c r="I585" s="706">
        <v>49689.61</v>
      </c>
      <c r="J585" s="706">
        <v>49829.61</v>
      </c>
      <c r="K585" s="706">
        <v>49969.61</v>
      </c>
      <c r="L585" s="706">
        <v>50109.61</v>
      </c>
      <c r="M585" s="706">
        <v>50249.61</v>
      </c>
      <c r="N585" s="706">
        <v>50389.61</v>
      </c>
      <c r="O585" s="706">
        <v>50529.61</v>
      </c>
      <c r="P585" s="706">
        <v>50529.61</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G35800</v>
      </c>
      <c r="AK585" s="905" t="str">
        <f t="shared" si="55"/>
        <v>AMORT.CUMULÉ ENSEIGNES</v>
      </c>
      <c r="AL585" s="905">
        <f>IFERROR(INDEX(G585:R585,1,MATCH(Parametres!$B$3,G$1:R$1,0)-1)*IF(OR(F585="L",F585="S",F585="I"),-1,1),"")</f>
        <v>-50389.61</v>
      </c>
      <c r="AM585" s="905">
        <f t="shared" si="56"/>
        <v>-140</v>
      </c>
      <c r="AN585" s="905">
        <f>INDEX(G585:R585,1,MATCH(Parametres!$B$3,G$1:R$1,0))*IF(OR(F585="L",F585="S",F585="I"),-1,1)</f>
        <v>-50529.61</v>
      </c>
      <c r="AO585" s="487" t="str">
        <f>+VLOOKUP($AJ585,Data_Validation!$A:$D,1,0)</f>
        <v>G35800</v>
      </c>
      <c r="AP585" s="487" t="str">
        <f>+VLOOKUP($AJ585,Data_Validation!$A:$D,3,0)</f>
        <v>Bilan</v>
      </c>
      <c r="AQ585" s="487" t="str">
        <f>+VLOOKUP($AJ585,Data_Validation!$A:$D,4,0)</f>
        <v>Enseigne</v>
      </c>
      <c r="AR585" s="487" t="s">
        <v>299</v>
      </c>
      <c r="AS585" s="487">
        <f>+VLOOKUP($AJ585,Data_Validation!$A:$E,5,0)</f>
        <v>0</v>
      </c>
      <c r="AT585" s="904" t="str">
        <f t="shared" si="57"/>
        <v>G35800</v>
      </c>
      <c r="AU585" s="488" t="str">
        <f t="shared" si="58"/>
        <v>AMORT.CUMULÉ ENSEIGNES</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2206</v>
      </c>
      <c r="D586" s="706" t="s">
        <v>2207</v>
      </c>
      <c r="E586" s="706" t="s">
        <v>333</v>
      </c>
      <c r="F586" s="706" t="s">
        <v>1135</v>
      </c>
      <c r="G586" s="706">
        <v>0</v>
      </c>
      <c r="H586" s="706">
        <v>0</v>
      </c>
      <c r="I586" s="706">
        <v>0</v>
      </c>
      <c r="J586" s="706">
        <v>0</v>
      </c>
      <c r="K586" s="706">
        <v>0</v>
      </c>
      <c r="L586" s="706">
        <v>0</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G35900</v>
      </c>
      <c r="AK586" s="905" t="str">
        <f t="shared" si="55"/>
        <v>ASPHALTE AMORT.CUMULÉ</v>
      </c>
      <c r="AL586" s="905">
        <f>IFERROR(INDEX(G586:R586,1,MATCH(Parametres!$B$3,G$1:R$1,0)-1)*IF(OR(F586="L",F586="S",F586="I"),-1,1),"")</f>
        <v>0</v>
      </c>
      <c r="AM586" s="905">
        <f t="shared" si="56"/>
        <v>0</v>
      </c>
      <c r="AN586" s="905">
        <f>INDEX(G586:R586,1,MATCH(Parametres!$B$3,G$1:R$1,0))*IF(OR(F586="L",F586="S",F586="I"),-1,1)</f>
        <v>0</v>
      </c>
      <c r="AO586" s="487" t="str">
        <f>+VLOOKUP($AJ586,Data_Validation!$A:$D,1,0)</f>
        <v>G35900</v>
      </c>
      <c r="AP586" s="487">
        <f>+VLOOKUP($AJ586,Data_Validation!$A:$D,3,0)</f>
        <v>0</v>
      </c>
      <c r="AQ586" s="487">
        <f>+VLOOKUP($AJ586,Data_Validation!$A:$D,4,0)</f>
        <v>0</v>
      </c>
      <c r="AR586" s="487" t="s">
        <v>299</v>
      </c>
      <c r="AS586" s="487">
        <f>+VLOOKUP($AJ586,Data_Validation!$A:$E,5,0)</f>
        <v>0</v>
      </c>
      <c r="AT586" s="904" t="str">
        <f t="shared" si="57"/>
        <v>G35900</v>
      </c>
      <c r="AU586" s="488" t="str">
        <f t="shared" si="58"/>
        <v>ASPHALTE AMORT.CUMULÉ</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2208</v>
      </c>
      <c r="D587" s="706" t="s">
        <v>2209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G36000</v>
      </c>
      <c r="AK587" s="905" t="str">
        <f t="shared" si="55"/>
        <v>CAPITAL-ACTIONS</v>
      </c>
      <c r="AL587" s="905">
        <f>IFERROR(INDEX(G587:R587,1,MATCH(Parametres!$B$3,G$1:R$1,0)-1)*IF(OR(F587="L",F587="S",F587="I"),-1,1),"")</f>
        <v>0</v>
      </c>
      <c r="AM587" s="905">
        <f t="shared" si="56"/>
        <v>0</v>
      </c>
      <c r="AN587" s="905">
        <f>INDEX(G587:R587,1,MATCH(Parametres!$B$3,G$1:R$1,0))*IF(OR(F587="L",F587="S",F587="I"),-1,1)</f>
        <v>0</v>
      </c>
      <c r="AO587" s="487" t="str">
        <f>+VLOOKUP($AJ587,Data_Validation!$A:$D,1,0)</f>
        <v>G36000</v>
      </c>
      <c r="AP587" s="487" t="str">
        <f>+VLOOKUP($AJ587,Data_Validation!$A:$D,3,0)</f>
        <v>Bilan</v>
      </c>
      <c r="AQ587" s="487" t="str">
        <f>+VLOOKUP($AJ587,Data_Validation!$A:$D,4,0)</f>
        <v>Capital Actions</v>
      </c>
      <c r="AR587" s="487" t="s">
        <v>299</v>
      </c>
      <c r="AS587" s="487">
        <f>+VLOOKUP($AJ587,Data_Validation!$A:$E,5,0)</f>
        <v>0</v>
      </c>
      <c r="AT587" s="904" t="str">
        <f t="shared" si="57"/>
        <v>G36000</v>
      </c>
      <c r="AU587" s="488" t="str">
        <f t="shared" si="58"/>
        <v>CAPITAL-ACTIONS</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2210</v>
      </c>
      <c r="D588" s="706" t="s">
        <v>2211</v>
      </c>
      <c r="E588" s="706" t="s">
        <v>333</v>
      </c>
      <c r="F588" s="706" t="s">
        <v>1135</v>
      </c>
      <c r="G588" s="706">
        <v>15</v>
      </c>
      <c r="H588" s="706">
        <v>15</v>
      </c>
      <c r="I588" s="706">
        <v>15</v>
      </c>
      <c r="J588" s="706">
        <v>15</v>
      </c>
      <c r="K588" s="706">
        <v>15</v>
      </c>
      <c r="L588" s="706">
        <v>15</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G36001</v>
      </c>
      <c r="AK588" s="905" t="str">
        <f t="shared" si="55"/>
        <v>ACTIONS A</v>
      </c>
      <c r="AL588" s="905">
        <f>IFERROR(INDEX(G588:R588,1,MATCH(Parametres!$B$3,G$1:R$1,0)-1)*IF(OR(F588="L",F588="S",F588="I"),-1,1),"")</f>
        <v>0</v>
      </c>
      <c r="AM588" s="905">
        <f t="shared" si="56"/>
        <v>0</v>
      </c>
      <c r="AN588" s="905">
        <f>INDEX(G588:R588,1,MATCH(Parametres!$B$3,G$1:R$1,0))*IF(OR(F588="L",F588="S",F588="I"),-1,1)</f>
        <v>0</v>
      </c>
      <c r="AO588" s="487" t="str">
        <f>+VLOOKUP($AJ588,Data_Validation!$A:$D,1,0)</f>
        <v>G36001</v>
      </c>
      <c r="AP588" s="487" t="str">
        <f>+VLOOKUP($AJ588,Data_Validation!$A:$D,3,0)</f>
        <v>Bilan</v>
      </c>
      <c r="AQ588" s="487" t="str">
        <f>+VLOOKUP($AJ588,Data_Validation!$A:$D,4,0)</f>
        <v>Capital Actions</v>
      </c>
      <c r="AR588" s="487" t="s">
        <v>299</v>
      </c>
      <c r="AS588" s="487">
        <f>+VLOOKUP($AJ588,Data_Validation!$A:$E,5,0)</f>
        <v>0</v>
      </c>
      <c r="AT588" s="904" t="str">
        <f t="shared" si="57"/>
        <v>G36001</v>
      </c>
      <c r="AU588" s="488" t="str">
        <f t="shared" si="58"/>
        <v>ACTIONS A</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2212</v>
      </c>
      <c r="D589" s="706" t="s">
        <v>2213</v>
      </c>
      <c r="E589" s="706" t="s">
        <v>333</v>
      </c>
      <c r="F589" s="706" t="s">
        <v>1135</v>
      </c>
      <c r="G589" s="706">
        <v>85</v>
      </c>
      <c r="H589" s="706">
        <v>85</v>
      </c>
      <c r="I589" s="706">
        <v>85</v>
      </c>
      <c r="J589" s="706">
        <v>85</v>
      </c>
      <c r="K589" s="706">
        <v>85</v>
      </c>
      <c r="L589" s="706">
        <v>85</v>
      </c>
      <c r="M589" s="706">
        <v>85</v>
      </c>
      <c r="N589" s="706">
        <v>85</v>
      </c>
      <c r="O589" s="706">
        <v>85</v>
      </c>
      <c r="P589" s="706">
        <v>85</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G36002</v>
      </c>
      <c r="AK589" s="905" t="str">
        <f t="shared" si="55"/>
        <v>ACTIONS B</v>
      </c>
      <c r="AL589" s="905">
        <f>IFERROR(INDEX(G589:R589,1,MATCH(Parametres!$B$3,G$1:R$1,0)-1)*IF(OR(F589="L",F589="S",F589="I"),-1,1),"")</f>
        <v>-85</v>
      </c>
      <c r="AM589" s="905">
        <f t="shared" si="56"/>
        <v>0</v>
      </c>
      <c r="AN589" s="905">
        <f>INDEX(G589:R589,1,MATCH(Parametres!$B$3,G$1:R$1,0))*IF(OR(F589="L",F589="S",F589="I"),-1,1)</f>
        <v>-85</v>
      </c>
      <c r="AO589" s="487" t="str">
        <f>+VLOOKUP($AJ589,Data_Validation!$A:$D,1,0)</f>
        <v>G36002</v>
      </c>
      <c r="AP589" s="487" t="str">
        <f>+VLOOKUP($AJ589,Data_Validation!$A:$D,3,0)</f>
        <v>Bilan</v>
      </c>
      <c r="AQ589" s="487" t="str">
        <f>+VLOOKUP($AJ589,Data_Validation!$A:$D,4,0)</f>
        <v>Capital Actions</v>
      </c>
      <c r="AR589" s="487" t="s">
        <v>299</v>
      </c>
      <c r="AS589" s="487">
        <f>+VLOOKUP($AJ589,Data_Validation!$A:$E,5,0)</f>
        <v>0</v>
      </c>
      <c r="AT589" s="904" t="str">
        <f t="shared" si="57"/>
        <v>G36002</v>
      </c>
      <c r="AU589" s="488" t="str">
        <f t="shared" si="58"/>
        <v>ACTIONS B</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2214</v>
      </c>
      <c r="D590" s="706" t="s">
        <v>2215</v>
      </c>
      <c r="E590" s="706" t="s">
        <v>333</v>
      </c>
      <c r="F590" s="706" t="s">
        <v>1135</v>
      </c>
      <c r="G590" s="706">
        <v>85</v>
      </c>
      <c r="H590" s="706">
        <v>85</v>
      </c>
      <c r="I590" s="706">
        <v>85</v>
      </c>
      <c r="J590" s="706">
        <v>85</v>
      </c>
      <c r="K590" s="706">
        <v>85</v>
      </c>
      <c r="L590" s="706">
        <v>85</v>
      </c>
      <c r="M590" s="706">
        <v>85</v>
      </c>
      <c r="N590" s="706">
        <v>85</v>
      </c>
      <c r="O590" s="706">
        <v>85</v>
      </c>
      <c r="P590" s="706">
        <v>85</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G36003</v>
      </c>
      <c r="AK590" s="905" t="str">
        <f t="shared" si="55"/>
        <v>ACTIONS C</v>
      </c>
      <c r="AL590" s="905">
        <f>IFERROR(INDEX(G590:R590,1,MATCH(Parametres!$B$3,G$1:R$1,0)-1)*IF(OR(F590="L",F590="S",F590="I"),-1,1),"")</f>
        <v>-85</v>
      </c>
      <c r="AM590" s="1047">
        <f t="shared" si="56"/>
        <v>0</v>
      </c>
      <c r="AN590" s="905">
        <f>INDEX(G590:R590,1,MATCH(Parametres!$B$3,G$1:R$1,0))*IF(OR(F590="L",F590="S",F590="I"),-1,1)</f>
        <v>-85</v>
      </c>
      <c r="AO590" s="487" t="str">
        <f>+VLOOKUP($AJ590,Data_Validation!$A:$D,1,0)</f>
        <v>G36003</v>
      </c>
      <c r="AP590" s="487" t="str">
        <f>+VLOOKUP($AJ590,Data_Validation!$A:$D,3,0)</f>
        <v>Bilan</v>
      </c>
      <c r="AQ590" s="487" t="str">
        <f>+VLOOKUP($AJ590,Data_Validation!$A:$D,4,0)</f>
        <v>Capital Actions</v>
      </c>
      <c r="AR590" s="487" t="s">
        <v>299</v>
      </c>
      <c r="AS590" s="487">
        <f>+VLOOKUP($AJ590,Data_Validation!$A:$E,5,0)</f>
        <v>0</v>
      </c>
      <c r="AT590" s="904" t="str">
        <f t="shared" si="57"/>
        <v>G36003</v>
      </c>
      <c r="AU590" s="488" t="str">
        <f t="shared" si="58"/>
        <v>ACTIONS C</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2216</v>
      </c>
      <c r="D591" s="706" t="s">
        <v>2217</v>
      </c>
      <c r="E591" s="706" t="s">
        <v>333</v>
      </c>
      <c r="F591" s="706" t="s">
        <v>1135</v>
      </c>
      <c r="G591" s="706">
        <v>51</v>
      </c>
      <c r="H591" s="706">
        <v>51</v>
      </c>
      <c r="I591" s="706">
        <v>51</v>
      </c>
      <c r="J591" s="706">
        <v>51</v>
      </c>
      <c r="K591" s="706">
        <v>51</v>
      </c>
      <c r="L591" s="706">
        <v>51</v>
      </c>
      <c r="M591" s="706">
        <v>51</v>
      </c>
      <c r="N591" s="706">
        <v>51</v>
      </c>
      <c r="O591" s="706">
        <v>51</v>
      </c>
      <c r="P591" s="706">
        <v>51</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G36004</v>
      </c>
      <c r="AK591" s="905" t="str">
        <f t="shared" si="55"/>
        <v>ACTIONS E</v>
      </c>
      <c r="AL591" s="905">
        <f>IFERROR(INDEX(G591:R591,1,MATCH(Parametres!$B$3,G$1:R$1,0)-1)*IF(OR(F591="L",F591="S",F591="I"),-1,1),"")</f>
        <v>-51</v>
      </c>
      <c r="AM591" s="905">
        <f t="shared" si="56"/>
        <v>0</v>
      </c>
      <c r="AN591" s="905">
        <f>INDEX(G591:R591,1,MATCH(Parametres!$B$3,G$1:R$1,0))*IF(OR(F591="L",F591="S",F591="I"),-1,1)</f>
        <v>-51</v>
      </c>
      <c r="AO591" s="487" t="str">
        <f>+VLOOKUP($AJ591,Data_Validation!$A:$D,1,0)</f>
        <v>G36004</v>
      </c>
      <c r="AP591" s="487" t="str">
        <f>+VLOOKUP($AJ591,Data_Validation!$A:$D,3,0)</f>
        <v>Bilan</v>
      </c>
      <c r="AQ591" s="487" t="str">
        <f>+VLOOKUP($AJ591,Data_Validation!$A:$D,4,0)</f>
        <v>Capital Actions</v>
      </c>
      <c r="AR591" s="487" t="s">
        <v>299</v>
      </c>
      <c r="AS591" s="487">
        <f>+VLOOKUP($AJ591,Data_Validation!$A:$E,5,0)</f>
        <v>0</v>
      </c>
      <c r="AT591" s="904" t="str">
        <f t="shared" si="57"/>
        <v>G36004</v>
      </c>
      <c r="AU591" s="488" t="str">
        <f t="shared" si="58"/>
        <v>ACTIONS E</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hidden="1" customHeight="1">
      <c r="A592" s="706" t="s">
        <v>1148</v>
      </c>
      <c r="B592" s="706">
        <v>2026</v>
      </c>
      <c r="C592" s="706" t="s">
        <v>2218</v>
      </c>
      <c r="D592" s="706" t="s">
        <v>2219</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G36005</v>
      </c>
      <c r="AK592" s="905" t="str">
        <f t="shared" si="55"/>
        <v>VALEUR RACHETABLE ACT E</v>
      </c>
      <c r="AL592" s="905">
        <f>IFERROR(INDEX(G592:R592,1,MATCH(Parametres!$B$3,G$1:R$1,0)-1)*IF(OR(F592="L",F592="S",F592="I"),-1,1),"")</f>
        <v>0</v>
      </c>
      <c r="AM592" s="905">
        <f t="shared" si="56"/>
        <v>0</v>
      </c>
      <c r="AN592" s="905">
        <f>INDEX(G592:R592,1,MATCH(Parametres!$B$3,G$1:R$1,0))*IF(OR(F592="L",F592="S",F592="I"),-1,1)</f>
        <v>0</v>
      </c>
      <c r="AO592" s="487" t="str">
        <f>+VLOOKUP($AJ592,Data_Validation!$A:$D,1,0)</f>
        <v>G36005</v>
      </c>
      <c r="AP592" s="487" t="str">
        <f>+VLOOKUP($AJ592,Data_Validation!$A:$D,3,0)</f>
        <v>Bilan</v>
      </c>
      <c r="AQ592" s="487" t="str">
        <f>+VLOOKUP($AJ592,Data_Validation!$A:$D,4,0)</f>
        <v>Capital Actions</v>
      </c>
      <c r="AR592" s="487" t="s">
        <v>299</v>
      </c>
      <c r="AS592" s="487">
        <f>+VLOOKUP($AJ592,Data_Validation!$A:$E,5,0)</f>
        <v>0</v>
      </c>
      <c r="AT592" s="904" t="str">
        <f t="shared" si="57"/>
        <v>G36005</v>
      </c>
      <c r="AU592" s="488" t="str">
        <f t="shared" si="58"/>
        <v>VALEUR RACHETABLE ACT E</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hidden="1" customHeight="1">
      <c r="A593" s="706" t="s">
        <v>1148</v>
      </c>
      <c r="B593" s="706">
        <v>2026</v>
      </c>
      <c r="C593" s="706" t="s">
        <v>3327</v>
      </c>
      <c r="D593" s="706" t="s">
        <v>3328</v>
      </c>
      <c r="E593" s="706" t="s">
        <v>333</v>
      </c>
      <c r="F593" s="706" t="s">
        <v>1135</v>
      </c>
      <c r="G593" s="706">
        <v>0</v>
      </c>
      <c r="H593" s="706">
        <v>0</v>
      </c>
      <c r="I593" s="706">
        <v>0</v>
      </c>
      <c r="J593" s="706">
        <v>0</v>
      </c>
      <c r="K593" s="706">
        <v>0</v>
      </c>
      <c r="L593" s="706">
        <v>0</v>
      </c>
      <c r="M593" s="706">
        <v>1349853</v>
      </c>
      <c r="N593" s="706">
        <v>1349853</v>
      </c>
      <c r="O593" s="706">
        <v>1349853</v>
      </c>
      <c r="P593" s="706">
        <v>1349853</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G36006</v>
      </c>
      <c r="AK593" s="905" t="str">
        <f t="shared" si="55"/>
        <v>ACTIONS F</v>
      </c>
      <c r="AL593" s="905">
        <f>IFERROR(INDEX(G593:R593,1,MATCH(Parametres!$B$3,G$1:R$1,0)-1)*IF(OR(F593="L",F593="S",F593="I"),-1,1),"")</f>
        <v>-1349853</v>
      </c>
      <c r="AM593" s="905">
        <f t="shared" si="56"/>
        <v>0</v>
      </c>
      <c r="AN593" s="905">
        <f>INDEX(G593:R593,1,MATCH(Parametres!$B$3,G$1:R$1,0))*IF(OR(F593="L",F593="S",F593="I"),-1,1)</f>
        <v>-1349853</v>
      </c>
      <c r="AO593" s="487" t="str">
        <f>+VLOOKUP($AJ593,Data_Validation!$A:$D,1,0)</f>
        <v>G36006</v>
      </c>
      <c r="AP593" s="487" t="str">
        <f>+VLOOKUP($AJ593,Data_Validation!$A:$D,3,0)</f>
        <v>Bilan</v>
      </c>
      <c r="AQ593" s="487" t="str">
        <f>+VLOOKUP($AJ593,Data_Validation!$A:$D,4,0)</f>
        <v>Capital Actions</v>
      </c>
      <c r="AR593" s="487" t="s">
        <v>299</v>
      </c>
      <c r="AS593" s="487">
        <f>+VLOOKUP($AJ593,Data_Validation!$A:$E,5,0)</f>
        <v>0</v>
      </c>
      <c r="AT593" s="904" t="str">
        <f t="shared" si="57"/>
        <v>G36006</v>
      </c>
      <c r="AU593" s="488" t="str">
        <f t="shared" si="58"/>
        <v>ACTIONS F</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hidden="1" customHeight="1">
      <c r="A594" s="706" t="s">
        <v>1148</v>
      </c>
      <c r="B594" s="706">
        <v>2026</v>
      </c>
      <c r="C594" s="706" t="s">
        <v>2220</v>
      </c>
      <c r="D594" s="706" t="s">
        <v>2221</v>
      </c>
      <c r="E594" s="706" t="s">
        <v>333</v>
      </c>
      <c r="F594" s="706" t="s">
        <v>1135</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G36009</v>
      </c>
      <c r="AK594" s="905" t="str">
        <f t="shared" si="55"/>
        <v>AJUST CAPITAL-ACTIONS</v>
      </c>
      <c r="AL594" s="905">
        <f>IFERROR(INDEX(G594:R594,1,MATCH(Parametres!$B$3,G$1:R$1,0)-1)*IF(OR(F594="L",F594="S",F594="I"),-1,1),"")</f>
        <v>0</v>
      </c>
      <c r="AM594" s="905">
        <f t="shared" si="56"/>
        <v>0</v>
      </c>
      <c r="AN594" s="905">
        <f>INDEX(G594:R594,1,MATCH(Parametres!$B$3,G$1:R$1,0))*IF(OR(F594="L",F594="S",F594="I"),-1,1)</f>
        <v>0</v>
      </c>
      <c r="AO594" s="487" t="str">
        <f>+VLOOKUP($AJ594,Data_Validation!$A:$D,1,0)</f>
        <v>G36009</v>
      </c>
      <c r="AP594" s="487" t="str">
        <f>+VLOOKUP($AJ594,Data_Validation!$A:$D,3,0)</f>
        <v>Bilan</v>
      </c>
      <c r="AQ594" s="487" t="str">
        <f>+VLOOKUP($AJ594,Data_Validation!$A:$D,4,0)</f>
        <v>Capital Actions</v>
      </c>
      <c r="AR594" s="487" t="s">
        <v>299</v>
      </c>
      <c r="AS594" s="487">
        <f>+VLOOKUP($AJ594,Data_Validation!$A:$E,5,0)</f>
        <v>0</v>
      </c>
      <c r="AT594" s="904" t="str">
        <f t="shared" si="57"/>
        <v>G36009</v>
      </c>
      <c r="AU594" s="488" t="str">
        <f t="shared" si="58"/>
        <v>AJUST CAPITAL-ACTIONS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hidden="1" customHeight="1">
      <c r="A595" s="706" t="s">
        <v>1148</v>
      </c>
      <c r="B595" s="706">
        <v>2026</v>
      </c>
      <c r="C595" s="706" t="s">
        <v>3329</v>
      </c>
      <c r="D595" s="706" t="s">
        <v>3330</v>
      </c>
      <c r="E595" s="706" t="s">
        <v>333</v>
      </c>
      <c r="F595" s="706" t="s">
        <v>1135</v>
      </c>
      <c r="G595" s="706">
        <v>0</v>
      </c>
      <c r="H595" s="706">
        <v>0</v>
      </c>
      <c r="I595" s="706">
        <v>0</v>
      </c>
      <c r="J595" s="706">
        <v>0</v>
      </c>
      <c r="K595" s="706">
        <v>0</v>
      </c>
      <c r="L595" s="706">
        <v>0</v>
      </c>
      <c r="M595" s="706">
        <v>-1349838</v>
      </c>
      <c r="N595" s="706">
        <v>-1349838</v>
      </c>
      <c r="O595" s="706">
        <v>-1349838</v>
      </c>
      <c r="P595" s="706">
        <v>-1349838</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G36100</v>
      </c>
      <c r="AK595" s="905" t="str">
        <f t="shared" ref="AK595:AK658" si="61">D595</f>
        <v>AJUST ACTIONS RACHETABLE</v>
      </c>
      <c r="AL595" s="905">
        <f>IFERROR(INDEX(G595:R595,1,MATCH(Parametres!$B$3,G$1:R$1,0)-1)*IF(OR(F595="L",F595="S",F595="I"),-1,1),"")</f>
        <v>1349838</v>
      </c>
      <c r="AM595" s="905">
        <f t="shared" si="56"/>
        <v>0</v>
      </c>
      <c r="AN595" s="905">
        <f>INDEX(G595:R595,1,MATCH(Parametres!$B$3,G$1:R$1,0))*IF(OR(F595="L",F595="S",F595="I"),-1,1)</f>
        <v>1349838</v>
      </c>
      <c r="AO595" s="487" t="str">
        <f>+VLOOKUP($AJ595,Data_Validation!$A:$D,1,0)</f>
        <v>G36100</v>
      </c>
      <c r="AP595" s="487" t="str">
        <f>+VLOOKUP($AJ595,Data_Validation!$A:$D,3,0)</f>
        <v>Bilan</v>
      </c>
      <c r="AQ595" s="487" t="str">
        <f>+VLOOKUP($AJ595,Data_Validation!$A:$D,4,0)</f>
        <v>Capital Actions</v>
      </c>
      <c r="AR595" s="487" t="s">
        <v>299</v>
      </c>
      <c r="AS595" s="487">
        <f>+VLOOKUP($AJ595,Data_Validation!$A:$E,5,0)</f>
        <v>0</v>
      </c>
      <c r="AT595" s="904" t="str">
        <f t="shared" si="57"/>
        <v>G36100</v>
      </c>
      <c r="AU595" s="488" t="str">
        <f t="shared" si="58"/>
        <v>AJUST ACTIONS RACHETABLE</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hidden="1" customHeight="1">
      <c r="A596" s="706" t="s">
        <v>1148</v>
      </c>
      <c r="B596" s="706">
        <v>2026</v>
      </c>
      <c r="C596" s="706" t="s">
        <v>2222</v>
      </c>
      <c r="D596" s="706" t="s">
        <v>2223</v>
      </c>
      <c r="E596" s="706" t="s">
        <v>333</v>
      </c>
      <c r="F596" s="706" t="s">
        <v>1135</v>
      </c>
      <c r="G596" s="706">
        <v>9723956.0099999998</v>
      </c>
      <c r="H596" s="706">
        <v>9723956.0099999998</v>
      </c>
      <c r="I596" s="706">
        <v>9723956.0099999998</v>
      </c>
      <c r="J596" s="706">
        <v>9723956.0099999998</v>
      </c>
      <c r="K596" s="706">
        <v>9723956.0099999998</v>
      </c>
      <c r="L596" s="706">
        <v>9723956.0099999998</v>
      </c>
      <c r="M596" s="706">
        <v>8651948</v>
      </c>
      <c r="N596" s="706">
        <v>8651948</v>
      </c>
      <c r="O596" s="706">
        <v>8651948</v>
      </c>
      <c r="P596" s="706">
        <v>8651948</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G37000</v>
      </c>
      <c r="AK596" s="905" t="str">
        <f t="shared" si="61"/>
        <v>BENEFICES NON REPARTIS</v>
      </c>
      <c r="AL596" s="905">
        <f>IFERROR(INDEX(G596:R596,1,MATCH(Parametres!$B$3,G$1:R$1,0)-1)*IF(OR(F596="L",F596="S",F596="I"),-1,1),"")</f>
        <v>-8651948</v>
      </c>
      <c r="AM596" s="905">
        <f t="shared" si="56"/>
        <v>0</v>
      </c>
      <c r="AN596" s="905">
        <f>INDEX(G596:R596,1,MATCH(Parametres!$B$3,G$1:R$1,0))*IF(OR(F596="L",F596="S",F596="I"),-1,1)</f>
        <v>-8651948</v>
      </c>
      <c r="AO596" s="487" t="str">
        <f>+VLOOKUP($AJ596,Data_Validation!$A:$D,1,0)</f>
        <v>G37000</v>
      </c>
      <c r="AP596" s="487" t="str">
        <f>+VLOOKUP($AJ596,Data_Validation!$A:$D,3,0)</f>
        <v>Bilan</v>
      </c>
      <c r="AQ596" s="487" t="str">
        <f>+VLOOKUP($AJ596,Data_Validation!$A:$D,4,0)</f>
        <v>Bénéfices non répartis</v>
      </c>
      <c r="AR596" s="487" t="s">
        <v>299</v>
      </c>
      <c r="AS596" s="487">
        <f>+VLOOKUP($AJ596,Data_Validation!$A:$E,5,0)</f>
        <v>0</v>
      </c>
      <c r="AT596" s="904" t="str">
        <f t="shared" si="57"/>
        <v>G37000</v>
      </c>
      <c r="AU596" s="488" t="str">
        <f t="shared" si="58"/>
        <v>BENEFICES NON REPARTIS</v>
      </c>
      <c r="AV596" s="899">
        <f>IFERROR(INDEX(V596:AG596,1,MATCH(Parametres!$B$3,V$1:AG$1,0)-1)*IF(OR(C596="L",C596="S",C596="I"),-1,1),"")</f>
        <v>0</v>
      </c>
      <c r="AW596" s="899">
        <f t="shared" si="59"/>
        <v>0</v>
      </c>
      <c r="AX596" s="899">
        <f>INDEX(V596:AG596,1,MATCH(Parametres!$B$3,V$1:AG$1,0))*IF(OR(C596="L",C596="S",C596="I"),-1,1)</f>
        <v>0</v>
      </c>
      <c r="AY596" s="487" t="s">
        <v>337</v>
      </c>
      <c r="AZ596" s="487">
        <f>+VLOOKUP($AJ596,Data_Validation!$A:$E,5,0)</f>
        <v>0</v>
      </c>
    </row>
    <row r="597" spans="1:52" ht="15" hidden="1" customHeight="1">
      <c r="A597" s="706" t="s">
        <v>1148</v>
      </c>
      <c r="B597" s="706">
        <v>2026</v>
      </c>
      <c r="C597" s="706" t="s">
        <v>2224</v>
      </c>
      <c r="D597" s="706" t="s">
        <v>2225</v>
      </c>
      <c r="E597" s="706" t="s">
        <v>333</v>
      </c>
      <c r="F597" s="706" t="s">
        <v>1135</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G37500</v>
      </c>
      <c r="AK597" s="905" t="str">
        <f t="shared" si="61"/>
        <v>DIVIDENDES RECUS</v>
      </c>
      <c r="AL597" s="905">
        <f>IFERROR(INDEX(G597:R597,1,MATCH(Parametres!$B$3,G$1:R$1,0)-1)*IF(OR(F597="L",F597="S",F597="I"),-1,1),"")</f>
        <v>0</v>
      </c>
      <c r="AM597" s="905">
        <f t="shared" si="56"/>
        <v>0</v>
      </c>
      <c r="AN597" s="905">
        <f>INDEX(G597:R597,1,MATCH(Parametres!$B$3,G$1:R$1,0))*IF(OR(F597="L",F597="S",F597="I"),-1,1)</f>
        <v>0</v>
      </c>
      <c r="AO597" s="487" t="str">
        <f>+VLOOKUP($AJ597,Data_Validation!$A:$D,1,0)</f>
        <v>G37500</v>
      </c>
      <c r="AP597" s="487">
        <f>+VLOOKUP($AJ597,Data_Validation!$A:$D,3,0)</f>
        <v>0</v>
      </c>
      <c r="AQ597" s="487">
        <f>+VLOOKUP($AJ597,Data_Validation!$A:$D,4,0)</f>
        <v>0</v>
      </c>
      <c r="AR597" s="487" t="s">
        <v>299</v>
      </c>
      <c r="AS597" s="487">
        <f>+VLOOKUP($AJ597,Data_Validation!$A:$E,5,0)</f>
        <v>0</v>
      </c>
      <c r="AT597" s="904" t="str">
        <f t="shared" si="57"/>
        <v>G37500</v>
      </c>
      <c r="AU597" s="488" t="str">
        <f t="shared" si="58"/>
        <v>DIVIDENDES RECUS</v>
      </c>
      <c r="AV597" s="899">
        <f>IFERROR(INDEX(V597:AG597,1,MATCH(Parametres!$B$3,V$1:AG$1,0)-1)*IF(OR(C597="L",C597="S",C597="I"),-1,1),"")</f>
        <v>0</v>
      </c>
      <c r="AW597" s="899">
        <f t="shared" si="59"/>
        <v>0</v>
      </c>
      <c r="AX597" s="899">
        <f>INDEX(V597:AG597,1,MATCH(Parametres!$B$3,V$1:AG$1,0))*IF(OR(C597="L",C597="S",C597="I"),-1,1)</f>
        <v>0</v>
      </c>
      <c r="AY597" s="487" t="s">
        <v>337</v>
      </c>
      <c r="AZ597" s="487">
        <f>+VLOOKUP($AJ597,Data_Validation!$A:$E,5,0)</f>
        <v>0</v>
      </c>
    </row>
    <row r="598" spans="1:52" ht="15" hidden="1" customHeight="1">
      <c r="A598" s="706" t="s">
        <v>1148</v>
      </c>
      <c r="B598" s="706">
        <v>2026</v>
      </c>
      <c r="C598" s="706" t="s">
        <v>2226</v>
      </c>
      <c r="D598" s="706" t="s">
        <v>2227</v>
      </c>
      <c r="E598" s="706" t="s">
        <v>333</v>
      </c>
      <c r="F598" s="706" t="s">
        <v>1135</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G38000</v>
      </c>
      <c r="AK598" s="905" t="str">
        <f t="shared" si="61"/>
        <v>PLACEMENTS</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G38000</v>
      </c>
      <c r="AU598" s="488" t="str">
        <f t="shared" si="58"/>
        <v>PLACEMENTS</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hidden="1" customHeight="1">
      <c r="A599" s="706" t="s">
        <v>1148</v>
      </c>
      <c r="B599" s="706">
        <v>2026</v>
      </c>
      <c r="C599" s="706" t="s">
        <v>2228</v>
      </c>
      <c r="D599" s="706" t="s">
        <v>2229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G40000</v>
      </c>
      <c r="AK599" s="905" t="str">
        <f t="shared" si="61"/>
        <v>VENTE VOLT</v>
      </c>
      <c r="AL599" s="905">
        <f>IFERROR(INDEX(G599:R599,1,MATCH(Parametres!$B$3,G$1:R$1,0)-1)*IF(OR(F599="L",F599="S",F599="I"),-1,1),"")</f>
        <v>0</v>
      </c>
      <c r="AM599" s="905">
        <f t="shared" si="56"/>
        <v>0</v>
      </c>
      <c r="AN599" s="905">
        <f>INDEX(G599:R599,1,MATCH(Parametres!$B$3,G$1:R$1,0))*IF(OR(F599="L",F599="S",F599="I"),-1,1)</f>
        <v>0</v>
      </c>
      <c r="AO599" s="487" t="str">
        <f>+VLOOKUP($AJ599,Data_Validation!$A:$D,1,0)</f>
        <v>G40000</v>
      </c>
      <c r="AP599" s="487" t="str">
        <f>+VLOOKUP($AJ599,Data_Validation!$A:$D,3,0)</f>
        <v>Véhicules neufs</v>
      </c>
      <c r="AQ599" s="487" t="str">
        <f>+VLOOKUP($AJ599,Data_Validation!$A:$D,4,0)</f>
        <v>Autos détail</v>
      </c>
      <c r="AR599" s="487" t="s">
        <v>299</v>
      </c>
      <c r="AS599" s="487" t="str">
        <f>+VLOOKUP($AJ599,Data_Validation!$A:$E,5,0)</f>
        <v>Oui</v>
      </c>
      <c r="AT599" s="904" t="str">
        <f t="shared" si="57"/>
        <v>G40000</v>
      </c>
      <c r="AU599" s="488" t="str">
        <f t="shared" si="58"/>
        <v>VENTE VOLT</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hidden="1" customHeight="1">
      <c r="A600" s="706" t="s">
        <v>1148</v>
      </c>
      <c r="B600" s="706">
        <v>2026</v>
      </c>
      <c r="C600" s="706" t="s">
        <v>2230</v>
      </c>
      <c r="D600" s="706" t="s">
        <v>2231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G40004</v>
      </c>
      <c r="AK600" s="905" t="str">
        <f t="shared" si="61"/>
        <v>VENTE BUICK REGAL</v>
      </c>
      <c r="AL600" s="905">
        <f>IFERROR(INDEX(G600:R600,1,MATCH(Parametres!$B$3,G$1:R$1,0)-1)*IF(OR(F600="L",F600="S",F600="I"),-1,1),"")</f>
        <v>0</v>
      </c>
      <c r="AM600" s="905">
        <f t="shared" si="56"/>
        <v>0</v>
      </c>
      <c r="AN600" s="905">
        <f>INDEX(G600:R600,1,MATCH(Parametres!$B$3,G$1:R$1,0))*IF(OR(F600="L",F600="S",F600="I"),-1,1)</f>
        <v>0</v>
      </c>
      <c r="AO600" s="487" t="str">
        <f>+VLOOKUP($AJ600,Data_Validation!$A:$D,1,0)</f>
        <v>G40004</v>
      </c>
      <c r="AP600" s="487" t="str">
        <f>+VLOOKUP($AJ600,Data_Validation!$A:$D,3,0)</f>
        <v>Véhicules neufs</v>
      </c>
      <c r="AQ600" s="487" t="str">
        <f>+VLOOKUP($AJ600,Data_Validation!$A:$D,4,0)</f>
        <v>Autos détail</v>
      </c>
      <c r="AR600" s="487" t="s">
        <v>299</v>
      </c>
      <c r="AS600" s="487" t="str">
        <f>+VLOOKUP($AJ600,Data_Validation!$A:$E,5,0)</f>
        <v>Oui</v>
      </c>
      <c r="AT600" s="904" t="str">
        <f t="shared" si="57"/>
        <v>G40004</v>
      </c>
      <c r="AU600" s="488" t="str">
        <f t="shared" si="58"/>
        <v>VENTE BUICK REGAL</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hidden="1" customHeight="1">
      <c r="A601" s="706" t="s">
        <v>1148</v>
      </c>
      <c r="B601" s="706">
        <v>2026</v>
      </c>
      <c r="C601" s="706" t="s">
        <v>2232</v>
      </c>
      <c r="D601" s="706" t="s">
        <v>2233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G40100</v>
      </c>
      <c r="AK601" s="905" t="str">
        <f t="shared" si="61"/>
        <v>VTES-MALIBU</v>
      </c>
      <c r="AL601" s="905">
        <f>IFERROR(INDEX(G601:R601,1,MATCH(Parametres!$B$3,G$1:R$1,0)-1)*IF(OR(F601="L",F601="S",F601="I"),-1,1),"")</f>
        <v>0</v>
      </c>
      <c r="AM601" s="905">
        <f t="shared" si="56"/>
        <v>0</v>
      </c>
      <c r="AN601" s="905">
        <f>INDEX(G601:R601,1,MATCH(Parametres!$B$3,G$1:R$1,0))*IF(OR(F601="L",F601="S",F601="I"),-1,1)</f>
        <v>0</v>
      </c>
      <c r="AO601" s="487" t="str">
        <f>+VLOOKUP($AJ601,Data_Validation!$A:$D,1,0)</f>
        <v>G40100</v>
      </c>
      <c r="AP601" s="487" t="str">
        <f>+VLOOKUP($AJ601,Data_Validation!$A:$D,3,0)</f>
        <v>Véhicules neufs</v>
      </c>
      <c r="AQ601" s="487" t="str">
        <f>+VLOOKUP($AJ601,Data_Validation!$A:$D,4,0)</f>
        <v>Autos détail</v>
      </c>
      <c r="AR601" s="487" t="s">
        <v>299</v>
      </c>
      <c r="AS601" s="487" t="str">
        <f>+VLOOKUP($AJ601,Data_Validation!$A:$E,5,0)</f>
        <v>Oui</v>
      </c>
      <c r="AT601" s="904" t="str">
        <f t="shared" si="57"/>
        <v>G40100</v>
      </c>
      <c r="AU601" s="488" t="str">
        <f t="shared" si="58"/>
        <v>VTES-MALIBU</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hidden="1" customHeight="1">
      <c r="A602" s="706" t="s">
        <v>1148</v>
      </c>
      <c r="B602" s="706">
        <v>2026</v>
      </c>
      <c r="C602" s="706" t="s">
        <v>2234</v>
      </c>
      <c r="D602" s="706" t="s">
        <v>2235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G40101</v>
      </c>
      <c r="AK602" s="905" t="str">
        <f t="shared" si="61"/>
        <v>VENTE BUICK LACROSSE</v>
      </c>
      <c r="AL602" s="905">
        <f>IFERROR(INDEX(G602:R602,1,MATCH(Parametres!$B$3,G$1:R$1,0)-1)*IF(OR(F602="L",F602="S",F602="I"),-1,1),"")</f>
        <v>0</v>
      </c>
      <c r="AM602" s="905">
        <f t="shared" si="56"/>
        <v>0</v>
      </c>
      <c r="AN602" s="905">
        <f>INDEX(G602:R602,1,MATCH(Parametres!$B$3,G$1:R$1,0))*IF(OR(F602="L",F602="S",F602="I"),-1,1)</f>
        <v>0</v>
      </c>
      <c r="AO602" s="487" t="str">
        <f>+VLOOKUP($AJ602,Data_Validation!$A:$D,1,0)</f>
        <v>G40101</v>
      </c>
      <c r="AP602" s="487" t="str">
        <f>+VLOOKUP($AJ602,Data_Validation!$A:$D,3,0)</f>
        <v>Véhicules neufs</v>
      </c>
      <c r="AQ602" s="487" t="str">
        <f>+VLOOKUP($AJ602,Data_Validation!$A:$D,4,0)</f>
        <v>Autos détail</v>
      </c>
      <c r="AR602" s="487" t="s">
        <v>299</v>
      </c>
      <c r="AS602" s="487" t="str">
        <f>+VLOOKUP($AJ602,Data_Validation!$A:$E,5,0)</f>
        <v>Oui</v>
      </c>
      <c r="AT602" s="904" t="str">
        <f t="shared" si="57"/>
        <v>G40101</v>
      </c>
      <c r="AU602" s="488" t="str">
        <f t="shared" si="58"/>
        <v>VENTE BUICK LACROSSE</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hidden="1" customHeight="1">
      <c r="A603" s="706" t="s">
        <v>1148</v>
      </c>
      <c r="B603" s="706">
        <v>2026</v>
      </c>
      <c r="C603" s="706" t="s">
        <v>2236</v>
      </c>
      <c r="D603" s="706" t="s">
        <v>2237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G40120</v>
      </c>
      <c r="AK603" s="905" t="str">
        <f t="shared" si="61"/>
        <v>VTES-MALIBU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G40120</v>
      </c>
      <c r="AU603" s="488" t="str">
        <f t="shared" si="58"/>
        <v>VTES-MALIBU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hidden="1" customHeight="1">
      <c r="A604" s="706" t="s">
        <v>1148</v>
      </c>
      <c r="B604" s="706">
        <v>2026</v>
      </c>
      <c r="C604" s="706" t="s">
        <v>2238</v>
      </c>
      <c r="D604" s="706" t="s">
        <v>2239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G40200</v>
      </c>
      <c r="AK604" s="905" t="str">
        <f t="shared" si="61"/>
        <v>VTES-MALIBU MAXX</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G40200</v>
      </c>
      <c r="AU604" s="488" t="str">
        <f t="shared" si="58"/>
        <v>VTES-MALIBU MAXX</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hidden="1" customHeight="1">
      <c r="A605" s="706" t="s">
        <v>1148</v>
      </c>
      <c r="B605" s="706">
        <v>2026</v>
      </c>
      <c r="C605" s="706" t="s">
        <v>2240</v>
      </c>
      <c r="D605" s="706" t="s">
        <v>2241</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G40201</v>
      </c>
      <c r="AK605" s="905" t="str">
        <f t="shared" si="61"/>
        <v>VENTES - SONIC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G40201</v>
      </c>
      <c r="AU605" s="488" t="str">
        <f t="shared" si="58"/>
        <v>VENTES - SONIC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hidden="1" customHeight="1">
      <c r="A606" s="706" t="s">
        <v>1148</v>
      </c>
      <c r="B606" s="706">
        <v>2026</v>
      </c>
      <c r="C606" s="706" t="s">
        <v>2242</v>
      </c>
      <c r="D606" s="706" t="s">
        <v>2243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G40204</v>
      </c>
      <c r="AK606" s="905" t="str">
        <f t="shared" si="61"/>
        <v>VENTES - VERANO</v>
      </c>
      <c r="AL606" s="905">
        <f>IFERROR(INDEX(G606:R606,1,MATCH(Parametres!$B$3,G$1:R$1,0)-1)*IF(OR(F606="L",F606="S",F606="I"),-1,1),"")</f>
        <v>0</v>
      </c>
      <c r="AM606" s="905">
        <f t="shared" si="56"/>
        <v>0</v>
      </c>
      <c r="AN606" s="905">
        <f>INDEX(G606:R606,1,MATCH(Parametres!$B$3,G$1:R$1,0))*IF(OR(F606="L",F606="S",F606="I"),-1,1)</f>
        <v>0</v>
      </c>
      <c r="AO606" s="487" t="str">
        <f>+VLOOKUP($AJ606,Data_Validation!$A:$D,1,0)</f>
        <v>G40204</v>
      </c>
      <c r="AP606" s="487" t="str">
        <f>+VLOOKUP($AJ606,Data_Validation!$A:$D,3,0)</f>
        <v>Véhicules neufs</v>
      </c>
      <c r="AQ606" s="487" t="str">
        <f>+VLOOKUP($AJ606,Data_Validation!$A:$D,4,0)</f>
        <v>Autos détail</v>
      </c>
      <c r="AR606" s="487" t="s">
        <v>299</v>
      </c>
      <c r="AS606" s="487" t="str">
        <f>+VLOOKUP($AJ606,Data_Validation!$A:$E,5,0)</f>
        <v>Oui</v>
      </c>
      <c r="AT606" s="904" t="str">
        <f t="shared" si="57"/>
        <v>G40204</v>
      </c>
      <c r="AU606" s="488" t="str">
        <f t="shared" si="58"/>
        <v>VENTES - VERANO</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hidden="1" customHeight="1">
      <c r="A607" s="706" t="s">
        <v>1148</v>
      </c>
      <c r="B607" s="706">
        <v>2026</v>
      </c>
      <c r="C607" s="706" t="s">
        <v>2244</v>
      </c>
      <c r="D607" s="706" t="s">
        <v>2245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G40300</v>
      </c>
      <c r="AK607" s="905" t="str">
        <f t="shared" si="61"/>
        <v>VTES-IMPALA</v>
      </c>
      <c r="AL607" s="905">
        <f>IFERROR(INDEX(G607:R607,1,MATCH(Parametres!$B$3,G$1:R$1,0)-1)*IF(OR(F607="L",F607="S",F607="I"),-1,1),"")</f>
        <v>0</v>
      </c>
      <c r="AM607" s="905">
        <f t="shared" si="56"/>
        <v>0</v>
      </c>
      <c r="AN607" s="905">
        <f>INDEX(G607:R607,1,MATCH(Parametres!$B$3,G$1:R$1,0))*IF(OR(F607="L",F607="S",F607="I"),-1,1)</f>
        <v>0</v>
      </c>
      <c r="AO607" s="487" t="str">
        <f>+VLOOKUP($AJ607,Data_Validation!$A:$D,1,0)</f>
        <v>G40300</v>
      </c>
      <c r="AP607" s="487" t="str">
        <f>+VLOOKUP($AJ607,Data_Validation!$A:$D,3,0)</f>
        <v>Véhicules neufs</v>
      </c>
      <c r="AQ607" s="487" t="str">
        <f>+VLOOKUP($AJ607,Data_Validation!$A:$D,4,0)</f>
        <v>Autos détail</v>
      </c>
      <c r="AR607" s="487" t="s">
        <v>299</v>
      </c>
      <c r="AS607" s="487" t="str">
        <f>+VLOOKUP($AJ607,Data_Validation!$A:$E,5,0)</f>
        <v>Oui</v>
      </c>
      <c r="AT607" s="904" t="str">
        <f t="shared" si="57"/>
        <v>G40300</v>
      </c>
      <c r="AU607" s="488" t="str">
        <f t="shared" si="58"/>
        <v>VTES-IMPALA</v>
      </c>
      <c r="AV607" s="899">
        <f>IFERROR(INDEX(V607:AG607,1,MATCH(Parametres!$B$3,V$1:AG$1,0)-1)*IF(OR(C607="L",C607="S",C607="I"),-1,1),"")</f>
        <v>0</v>
      </c>
      <c r="AW607" s="899">
        <f t="shared" si="59"/>
        <v>0</v>
      </c>
      <c r="AX607" s="899">
        <f>INDEX(V607:AG607,1,MATCH(Parametres!$B$3,V$1:AG$1,0))*IF(OR(C607="L",C607="S",C607="I"),-1,1)</f>
        <v>0</v>
      </c>
      <c r="AY607" s="487" t="s">
        <v>337</v>
      </c>
      <c r="AZ607" s="487" t="str">
        <f>+VLOOKUP($AJ607,Data_Validation!$A:$E,5,0)</f>
        <v>Oui</v>
      </c>
    </row>
    <row r="608" spans="1:52" ht="15" hidden="1" customHeight="1">
      <c r="A608" s="706" t="s">
        <v>1148</v>
      </c>
      <c r="B608" s="706">
        <v>2026</v>
      </c>
      <c r="C608" s="706" t="s">
        <v>2246</v>
      </c>
      <c r="D608" s="706" t="s">
        <v>2247</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G40320</v>
      </c>
      <c r="AK608" s="905" t="str">
        <f t="shared" si="61"/>
        <v>VTES-IMPALA          -LOC</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G40320</v>
      </c>
      <c r="AU608" s="488" t="str">
        <f t="shared" si="58"/>
        <v>VTES-IMPALA          -LOC</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hidden="1" customHeight="1">
      <c r="A609" s="706" t="s">
        <v>1148</v>
      </c>
      <c r="B609" s="706">
        <v>2026</v>
      </c>
      <c r="C609" s="706" t="s">
        <v>2248</v>
      </c>
      <c r="D609" s="706" t="s">
        <v>2249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G40400</v>
      </c>
      <c r="AK609" s="905" t="str">
        <f t="shared" si="61"/>
        <v>VENTES / SPARK</v>
      </c>
      <c r="AL609" s="905">
        <f>IFERROR(INDEX(G609:R609,1,MATCH(Parametres!$B$3,G$1:R$1,0)-1)*IF(OR(F609="L",F609="S",F609="I"),-1,1),"")</f>
        <v>0</v>
      </c>
      <c r="AM609" s="905">
        <f t="shared" si="56"/>
        <v>0</v>
      </c>
      <c r="AN609" s="905">
        <f>INDEX(G609:R609,1,MATCH(Parametres!$B$3,G$1:R$1,0))*IF(OR(F609="L",F609="S",F609="I"),-1,1)</f>
        <v>0</v>
      </c>
      <c r="AO609" s="487" t="str">
        <f>+VLOOKUP($AJ609,Data_Validation!$A:$D,1,0)</f>
        <v>G40400</v>
      </c>
      <c r="AP609" s="487" t="str">
        <f>+VLOOKUP($AJ609,Data_Validation!$A:$D,3,0)</f>
        <v>Véhicules neufs</v>
      </c>
      <c r="AQ609" s="487" t="str">
        <f>+VLOOKUP($AJ609,Data_Validation!$A:$D,4,0)</f>
        <v>Autos détail</v>
      </c>
      <c r="AR609" s="487" t="s">
        <v>299</v>
      </c>
      <c r="AS609" s="487" t="str">
        <f>+VLOOKUP($AJ609,Data_Validation!$A:$E,5,0)</f>
        <v>Oui</v>
      </c>
      <c r="AT609" s="904" t="str">
        <f t="shared" si="57"/>
        <v>G40400</v>
      </c>
      <c r="AU609" s="488" t="str">
        <f t="shared" si="58"/>
        <v>VENTES / SPARK</v>
      </c>
      <c r="AV609" s="899">
        <f>IFERROR(INDEX(V609:AG609,1,MATCH(Parametres!$B$3,V$1:AG$1,0)-1)*IF(OR(C609="L",C609="S",C609="I"),-1,1),"")</f>
        <v>0</v>
      </c>
      <c r="AW609" s="899">
        <f t="shared" si="59"/>
        <v>0</v>
      </c>
      <c r="AX609" s="899">
        <f>INDEX(V609:AG609,1,MATCH(Parametres!$B$3,V$1:AG$1,0))*IF(OR(C609="L",C609="S",C609="I"),-1,1)</f>
        <v>0</v>
      </c>
      <c r="AY609" s="487" t="s">
        <v>337</v>
      </c>
      <c r="AZ609" s="487" t="str">
        <f>+VLOOKUP($AJ609,Data_Validation!$A:$E,5,0)</f>
        <v>Oui</v>
      </c>
    </row>
    <row r="610" spans="1:52" ht="15" hidden="1" customHeight="1">
      <c r="A610" s="706" t="s">
        <v>1148</v>
      </c>
      <c r="B610" s="706">
        <v>2026</v>
      </c>
      <c r="C610" s="706" t="s">
        <v>2250</v>
      </c>
      <c r="D610" s="706" t="s">
        <v>2251</v>
      </c>
      <c r="E610" s="706" t="s">
        <v>1149</v>
      </c>
      <c r="F610" s="706" t="s">
        <v>1149</v>
      </c>
      <c r="G610" s="706">
        <v>0</v>
      </c>
      <c r="H610" s="706">
        <v>0</v>
      </c>
      <c r="I610" s="706">
        <v>0</v>
      </c>
      <c r="J610" s="706">
        <v>102018.5</v>
      </c>
      <c r="K610" s="706">
        <v>203641.5</v>
      </c>
      <c r="L610" s="706">
        <v>349904.5</v>
      </c>
      <c r="M610" s="706">
        <v>449377.5</v>
      </c>
      <c r="N610" s="706">
        <v>449377.5</v>
      </c>
      <c r="O610" s="706">
        <v>608598.86</v>
      </c>
      <c r="P610" s="706">
        <v>608598.86</v>
      </c>
      <c r="Q610" s="706">
        <v>0</v>
      </c>
      <c r="R610" s="706">
        <v>0</v>
      </c>
      <c r="S610" s="706">
        <v>67622.100000000006</v>
      </c>
      <c r="T610" s="706">
        <v>67622.100000000006</v>
      </c>
      <c r="U610" s="706">
        <v>0</v>
      </c>
      <c r="V610" s="706">
        <v>0</v>
      </c>
      <c r="W610" s="706">
        <v>0</v>
      </c>
      <c r="X610" s="706">
        <v>0</v>
      </c>
      <c r="Y610" s="706">
        <v>1</v>
      </c>
      <c r="Z610" s="706">
        <v>2</v>
      </c>
      <c r="AA610" s="706">
        <v>3</v>
      </c>
      <c r="AB610" s="706">
        <v>4</v>
      </c>
      <c r="AC610" s="706">
        <v>4</v>
      </c>
      <c r="AD610" s="706">
        <v>5</v>
      </c>
      <c r="AE610" s="706">
        <v>5</v>
      </c>
      <c r="AF610" s="706">
        <v>0</v>
      </c>
      <c r="AG610" s="706">
        <v>0</v>
      </c>
      <c r="AH610" s="706">
        <v>1</v>
      </c>
      <c r="AI610" s="706">
        <v>1</v>
      </c>
      <c r="AJ610" s="905" t="str">
        <f t="shared" si="60"/>
        <v>G40500</v>
      </c>
      <c r="AK610" s="905" t="str">
        <f t="shared" si="61"/>
        <v>VTES-CORVETTE</v>
      </c>
      <c r="AL610" s="905">
        <f>IFERROR(INDEX(G610:R610,1,MATCH(Parametres!$B$3,G$1:R$1,0)-1)*IF(OR(F610="L",F610="S",F610="I"),-1,1),"")</f>
        <v>-449377.5</v>
      </c>
      <c r="AM610" s="905">
        <f t="shared" si="56"/>
        <v>-159221.35999999999</v>
      </c>
      <c r="AN610" s="905">
        <f>INDEX(G610:R610,1,MATCH(Parametres!$B$3,G$1:R$1,0))*IF(OR(F610="L",F610="S",F610="I"),-1,1)</f>
        <v>-608598.86</v>
      </c>
      <c r="AO610" s="487" t="str">
        <f>+VLOOKUP($AJ610,Data_Validation!$A:$D,1,0)</f>
        <v>G40500</v>
      </c>
      <c r="AP610" s="487" t="str">
        <f>+VLOOKUP($AJ610,Data_Validation!$A:$D,3,0)</f>
        <v>Véhicules neufs</v>
      </c>
      <c r="AQ610" s="487" t="str">
        <f>+VLOOKUP($AJ610,Data_Validation!$A:$D,4,0)</f>
        <v>Autos détail</v>
      </c>
      <c r="AR610" s="487" t="s">
        <v>299</v>
      </c>
      <c r="AS610" s="487" t="str">
        <f>+VLOOKUP($AJ610,Data_Validation!$A:$E,5,0)</f>
        <v>Oui</v>
      </c>
      <c r="AT610" s="904" t="str">
        <f t="shared" si="57"/>
        <v>G40500</v>
      </c>
      <c r="AU610" s="488" t="str">
        <f t="shared" si="58"/>
        <v>VTES-CORVETTE</v>
      </c>
      <c r="AV610" s="899">
        <f>IFERROR(INDEX(V610:AG610,1,MATCH(Parametres!$B$3,V$1:AG$1,0)-1)*IF(OR(C610="L",C610="S",C610="I"),-1,1),"")</f>
        <v>4</v>
      </c>
      <c r="AW610" s="899">
        <f t="shared" si="59"/>
        <v>1</v>
      </c>
      <c r="AX610" s="899">
        <f>INDEX(V610:AG610,1,MATCH(Parametres!$B$3,V$1:AG$1,0))*IF(OR(C610="L",C610="S",C610="I"),-1,1)</f>
        <v>5</v>
      </c>
      <c r="AY610" s="487" t="s">
        <v>337</v>
      </c>
      <c r="AZ610" s="487" t="str">
        <f>+VLOOKUP($AJ610,Data_Validation!$A:$E,5,0)</f>
        <v>Oui</v>
      </c>
    </row>
    <row r="611" spans="1:52" ht="15" hidden="1" customHeight="1">
      <c r="A611" s="706" t="s">
        <v>1148</v>
      </c>
      <c r="B611" s="706">
        <v>2026</v>
      </c>
      <c r="C611" s="706" t="s">
        <v>2252</v>
      </c>
      <c r="D611" s="706" t="s">
        <v>2253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G40600</v>
      </c>
      <c r="AK611" s="905" t="str">
        <f t="shared" si="61"/>
        <v>VTES-AVEO</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G40600</v>
      </c>
      <c r="AU611" s="488" t="str">
        <f t="shared" si="58"/>
        <v>VTES-AVEO</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2254</v>
      </c>
      <c r="D612" s="706" t="s">
        <v>2255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G40620</v>
      </c>
      <c r="AK612" s="905" t="str">
        <f t="shared" si="61"/>
        <v>VTES-AVEO            -LOC</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G40620</v>
      </c>
      <c r="AU612" s="488" t="str">
        <f t="shared" si="58"/>
        <v>VTES-AVEO            -LOC</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hidden="1" customHeight="1">
      <c r="A613" s="706" t="s">
        <v>1148</v>
      </c>
      <c r="B613" s="706">
        <v>2026</v>
      </c>
      <c r="C613" s="706" t="s">
        <v>2256</v>
      </c>
      <c r="D613" s="706" t="s">
        <v>2257</v>
      </c>
      <c r="E613" s="706" t="s">
        <v>1149</v>
      </c>
      <c r="F613" s="706" t="s">
        <v>1149</v>
      </c>
      <c r="G613" s="706">
        <v>0</v>
      </c>
      <c r="H613" s="706">
        <v>0</v>
      </c>
      <c r="I613" s="706">
        <v>0</v>
      </c>
      <c r="J613" s="706">
        <v>0</v>
      </c>
      <c r="K613" s="706">
        <v>46018</v>
      </c>
      <c r="L613" s="706">
        <v>46018</v>
      </c>
      <c r="M613" s="706">
        <v>46018</v>
      </c>
      <c r="N613" s="706">
        <v>174813.7</v>
      </c>
      <c r="O613" s="706">
        <v>306560.2</v>
      </c>
      <c r="P613" s="706">
        <v>306560.2</v>
      </c>
      <c r="Q613" s="706">
        <v>0</v>
      </c>
      <c r="R613" s="706">
        <v>0</v>
      </c>
      <c r="S613" s="706">
        <v>34062.239999999998</v>
      </c>
      <c r="T613" s="706">
        <v>34062.239999999998</v>
      </c>
      <c r="U613" s="706">
        <v>0</v>
      </c>
      <c r="V613" s="706">
        <v>0</v>
      </c>
      <c r="W613" s="706">
        <v>0</v>
      </c>
      <c r="X613" s="706">
        <v>0</v>
      </c>
      <c r="Y613" s="706">
        <v>0</v>
      </c>
      <c r="Z613" s="706">
        <v>1</v>
      </c>
      <c r="AA613" s="706">
        <v>1</v>
      </c>
      <c r="AB613" s="706">
        <v>1</v>
      </c>
      <c r="AC613" s="706">
        <v>4</v>
      </c>
      <c r="AD613" s="706">
        <v>7</v>
      </c>
      <c r="AE613" s="706">
        <v>7</v>
      </c>
      <c r="AF613" s="706">
        <v>0</v>
      </c>
      <c r="AG613" s="706">
        <v>0</v>
      </c>
      <c r="AH613" s="706">
        <v>1</v>
      </c>
      <c r="AI613" s="706">
        <v>1</v>
      </c>
      <c r="AJ613" s="905" t="str">
        <f t="shared" si="60"/>
        <v>G40700</v>
      </c>
      <c r="AK613" s="905" t="str">
        <f t="shared" si="61"/>
        <v>VENTES BOLT - EV</v>
      </c>
      <c r="AL613" s="905">
        <f>IFERROR(INDEX(G613:R613,1,MATCH(Parametres!$B$3,G$1:R$1,0)-1)*IF(OR(F613="L",F613="S",F613="I"),-1,1),"")</f>
        <v>-174813.7</v>
      </c>
      <c r="AM613" s="905">
        <f t="shared" si="56"/>
        <v>-131746.5</v>
      </c>
      <c r="AN613" s="905">
        <f>INDEX(G613:R613,1,MATCH(Parametres!$B$3,G$1:R$1,0))*IF(OR(F613="L",F613="S",F613="I"),-1,1)</f>
        <v>-306560.2</v>
      </c>
      <c r="AO613" s="487" t="str">
        <f>+VLOOKUP($AJ613,Data_Validation!$A:$D,1,0)</f>
        <v>G40700</v>
      </c>
      <c r="AP613" s="487" t="str">
        <f>+VLOOKUP($AJ613,Data_Validation!$A:$D,3,0)</f>
        <v>Véhicules neufs</v>
      </c>
      <c r="AQ613" s="487" t="str">
        <f>+VLOOKUP($AJ613,Data_Validation!$A:$D,4,0)</f>
        <v>Camions electriques</v>
      </c>
      <c r="AR613" s="487" t="s">
        <v>299</v>
      </c>
      <c r="AS613" s="487" t="str">
        <f>+VLOOKUP($AJ613,Data_Validation!$A:$E,5,0)</f>
        <v>Oui</v>
      </c>
      <c r="AT613" s="904" t="str">
        <f t="shared" si="57"/>
        <v>G40700</v>
      </c>
      <c r="AU613" s="488" t="str">
        <f t="shared" si="58"/>
        <v>VENTES BOLT - EV</v>
      </c>
      <c r="AV613" s="899">
        <f>IFERROR(INDEX(V613:AG613,1,MATCH(Parametres!$B$3,V$1:AG$1,0)-1)*IF(OR(C613="L",C613="S",C613="I"),-1,1),"")</f>
        <v>4</v>
      </c>
      <c r="AW613" s="899">
        <f t="shared" si="59"/>
        <v>3</v>
      </c>
      <c r="AX613" s="899">
        <f>INDEX(V613:AG613,1,MATCH(Parametres!$B$3,V$1:AG$1,0))*IF(OR(C613="L",C613="S",C613="I"),-1,1)</f>
        <v>7</v>
      </c>
      <c r="AY613" s="487" t="s">
        <v>337</v>
      </c>
      <c r="AZ613" s="487" t="str">
        <f>+VLOOKUP($AJ613,Data_Validation!$A:$E,5,0)</f>
        <v>Oui</v>
      </c>
    </row>
    <row r="614" spans="1:52" ht="15" hidden="1" customHeight="1">
      <c r="A614" s="706" t="s">
        <v>1148</v>
      </c>
      <c r="B614" s="706">
        <v>2026</v>
      </c>
      <c r="C614" s="706" t="s">
        <v>2258</v>
      </c>
      <c r="D614" s="706" t="s">
        <v>2259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G40720</v>
      </c>
      <c r="AK614" s="905" t="str">
        <f t="shared" si="61"/>
        <v>VTES-OPTRA           -LOC</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G40720</v>
      </c>
      <c r="AU614" s="488" t="str">
        <f t="shared" si="58"/>
        <v>VTES-OPTRA           -LOC</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hidden="1" customHeight="1">
      <c r="A615" s="706" t="s">
        <v>1148</v>
      </c>
      <c r="B615" s="706">
        <v>2026</v>
      </c>
      <c r="C615" s="706" t="s">
        <v>2260</v>
      </c>
      <c r="D615" s="706" t="s">
        <v>2261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G40800</v>
      </c>
      <c r="AK615" s="905" t="str">
        <f t="shared" si="61"/>
        <v>VTES-EPICA</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G40800</v>
      </c>
      <c r="AU615" s="488" t="str">
        <f t="shared" si="58"/>
        <v>VTES-EPICA</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hidden="1" customHeight="1">
      <c r="A616" s="706" t="s">
        <v>1148</v>
      </c>
      <c r="B616" s="706">
        <v>2026</v>
      </c>
      <c r="C616" s="706" t="s">
        <v>2262</v>
      </c>
      <c r="D616" s="706" t="s">
        <v>2263</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G40820</v>
      </c>
      <c r="AK616" s="905" t="str">
        <f t="shared" si="61"/>
        <v>VTES-EPICA           -LOC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G40820</v>
      </c>
      <c r="AU616" s="488" t="str">
        <f t="shared" si="58"/>
        <v>VTES-EPICA           -LOC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hidden="1" customHeight="1">
      <c r="A617" s="706" t="s">
        <v>1148</v>
      </c>
      <c r="B617" s="706">
        <v>2026</v>
      </c>
      <c r="C617" s="706" t="s">
        <v>2264</v>
      </c>
      <c r="D617" s="706" t="s">
        <v>2265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G40900</v>
      </c>
      <c r="AK617" s="905" t="str">
        <f t="shared" si="61"/>
        <v>VTES-COBALT</v>
      </c>
      <c r="AL617" s="905">
        <f>IFERROR(INDEX(G617:R617,1,MATCH(Parametres!$B$3,G$1:R$1,0)-1)*IF(OR(F617="L",F617="S",F617="I"),-1,1),"")</f>
        <v>0</v>
      </c>
      <c r="AM617" s="905">
        <f t="shared" si="56"/>
        <v>0</v>
      </c>
      <c r="AN617" s="905">
        <f>INDEX(G617:R617,1,MATCH(Parametres!$B$3,G$1:R$1,0))*IF(OR(F617="L",F617="S",F617="I"),-1,1)</f>
        <v>0</v>
      </c>
      <c r="AO617" s="487" t="str">
        <f>+VLOOKUP($AJ617,Data_Validation!$A:$D,1,0)</f>
        <v>G40900</v>
      </c>
      <c r="AP617" s="487" t="str">
        <f>+VLOOKUP($AJ617,Data_Validation!$A:$D,3,0)</f>
        <v>Véhicules neufs</v>
      </c>
      <c r="AQ617" s="487" t="str">
        <f>+VLOOKUP($AJ617,Data_Validation!$A:$D,4,0)</f>
        <v>Autos détail</v>
      </c>
      <c r="AR617" s="487" t="s">
        <v>299</v>
      </c>
      <c r="AS617" s="487" t="str">
        <f>+VLOOKUP($AJ617,Data_Validation!$A:$E,5,0)</f>
        <v>Oui</v>
      </c>
      <c r="AT617" s="904" t="str">
        <f t="shared" si="57"/>
        <v>G40900</v>
      </c>
      <c r="AU617" s="488" t="str">
        <f t="shared" si="58"/>
        <v>VTES-COBALT</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hidden="1" customHeight="1">
      <c r="A618" s="706" t="s">
        <v>1148</v>
      </c>
      <c r="B618" s="706">
        <v>2026</v>
      </c>
      <c r="C618" s="706" t="s">
        <v>2266</v>
      </c>
      <c r="D618" s="706" t="s">
        <v>2267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G40920</v>
      </c>
      <c r="AK618" s="905" t="str">
        <f t="shared" si="61"/>
        <v>VTES-COBALT          -LOC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G40920</v>
      </c>
      <c r="AU618" s="488" t="str">
        <f t="shared" si="58"/>
        <v>VTES-COBALT          -LOC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hidden="1" customHeight="1">
      <c r="A619" s="706" t="s">
        <v>1148</v>
      </c>
      <c r="B619" s="706">
        <v>2026</v>
      </c>
      <c r="C619" s="706" t="s">
        <v>2268</v>
      </c>
      <c r="D619" s="706" t="s">
        <v>2269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G41000</v>
      </c>
      <c r="AK619" s="905" t="str">
        <f t="shared" si="61"/>
        <v>VENTES CAMARO</v>
      </c>
      <c r="AL619" s="905">
        <f>IFERROR(INDEX(G619:R619,1,MATCH(Parametres!$B$3,G$1:R$1,0)-1)*IF(OR(F619="L",F619="S",F619="I"),-1,1),"")</f>
        <v>0</v>
      </c>
      <c r="AM619" s="905">
        <f t="shared" si="56"/>
        <v>0</v>
      </c>
      <c r="AN619" s="905">
        <f>INDEX(G619:R619,1,MATCH(Parametres!$B$3,G$1:R$1,0))*IF(OR(F619="L",F619="S",F619="I"),-1,1)</f>
        <v>0</v>
      </c>
      <c r="AO619" s="487" t="str">
        <f>+VLOOKUP($AJ619,Data_Validation!$A:$D,1,0)</f>
        <v>G41000</v>
      </c>
      <c r="AP619" s="487" t="str">
        <f>+VLOOKUP($AJ619,Data_Validation!$A:$D,3,0)</f>
        <v>Véhicules neufs</v>
      </c>
      <c r="AQ619" s="487" t="str">
        <f>+VLOOKUP($AJ619,Data_Validation!$A:$D,4,0)</f>
        <v>Autos détail</v>
      </c>
      <c r="AR619" s="487" t="s">
        <v>299</v>
      </c>
      <c r="AS619" s="487" t="str">
        <f>+VLOOKUP($AJ619,Data_Validation!$A:$E,5,0)</f>
        <v>Oui</v>
      </c>
      <c r="AT619" s="904" t="str">
        <f t="shared" si="57"/>
        <v>G41000</v>
      </c>
      <c r="AU619" s="488" t="str">
        <f t="shared" si="58"/>
        <v>VENTES CAMARO</v>
      </c>
      <c r="AV619" s="899">
        <f>IFERROR(INDEX(V619:AG619,1,MATCH(Parametres!$B$3,V$1:AG$1,0)-1)*IF(OR(C619="L",C619="S",C619="I"),-1,1),"")</f>
        <v>0</v>
      </c>
      <c r="AW619" s="899">
        <f t="shared" si="59"/>
        <v>0</v>
      </c>
      <c r="AX619" s="899">
        <f>INDEX(V619:AG619,1,MATCH(Parametres!$B$3,V$1:AG$1,0))*IF(OR(C619="L",C619="S",C619="I"),-1,1)</f>
        <v>0</v>
      </c>
      <c r="AY619" s="487" t="s">
        <v>337</v>
      </c>
      <c r="AZ619" s="487" t="str">
        <f>+VLOOKUP($AJ619,Data_Validation!$A:$E,5,0)</f>
        <v>Oui</v>
      </c>
    </row>
    <row r="620" spans="1:52" ht="15" hidden="1" customHeight="1">
      <c r="A620" s="706" t="s">
        <v>1148</v>
      </c>
      <c r="B620" s="706">
        <v>2026</v>
      </c>
      <c r="C620" s="706" t="s">
        <v>2270</v>
      </c>
      <c r="D620" s="706" t="s">
        <v>2271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G41100</v>
      </c>
      <c r="AK620" s="905" t="str">
        <f t="shared" si="61"/>
        <v>VENTES CRUZE</v>
      </c>
      <c r="AL620" s="905">
        <f>IFERROR(INDEX(G620:R620,1,MATCH(Parametres!$B$3,G$1:R$1,0)-1)*IF(OR(F620="L",F620="S",F620="I"),-1,1),"")</f>
        <v>0</v>
      </c>
      <c r="AM620" s="905">
        <f t="shared" si="56"/>
        <v>0</v>
      </c>
      <c r="AN620" s="905">
        <f>INDEX(G620:R620,1,MATCH(Parametres!$B$3,G$1:R$1,0))*IF(OR(F620="L",F620="S",F620="I"),-1,1)</f>
        <v>0</v>
      </c>
      <c r="AO620" s="487" t="str">
        <f>+VLOOKUP($AJ620,Data_Validation!$A:$D,1,0)</f>
        <v>G41100</v>
      </c>
      <c r="AP620" s="487" t="str">
        <f>+VLOOKUP($AJ620,Data_Validation!$A:$D,3,0)</f>
        <v>Véhicules neufs</v>
      </c>
      <c r="AQ620" s="487" t="str">
        <f>+VLOOKUP($AJ620,Data_Validation!$A:$D,4,0)</f>
        <v>Autos détail</v>
      </c>
      <c r="AR620" s="487" t="s">
        <v>299</v>
      </c>
      <c r="AS620" s="487" t="str">
        <f>+VLOOKUP($AJ620,Data_Validation!$A:$E,5,0)</f>
        <v>Oui</v>
      </c>
      <c r="AT620" s="904" t="str">
        <f t="shared" si="57"/>
        <v>G41100</v>
      </c>
      <c r="AU620" s="488" t="str">
        <f t="shared" si="58"/>
        <v>VENTES CRUZE</v>
      </c>
      <c r="AV620" s="899">
        <f>IFERROR(INDEX(V620:AG620,1,MATCH(Parametres!$B$3,V$1:AG$1,0)-1)*IF(OR(C620="L",C620="S",C620="I"),-1,1),"")</f>
        <v>0</v>
      </c>
      <c r="AW620" s="899">
        <f t="shared" si="59"/>
        <v>0</v>
      </c>
      <c r="AX620" s="899">
        <f>INDEX(V620:AG620,1,MATCH(Parametres!$B$3,V$1:AG$1,0))*IF(OR(C620="L",C620="S",C620="I"),-1,1)</f>
        <v>0</v>
      </c>
      <c r="AY620" s="487" t="s">
        <v>337</v>
      </c>
      <c r="AZ620" s="487" t="str">
        <f>+VLOOKUP($AJ620,Data_Validation!$A:$E,5,0)</f>
        <v>Oui</v>
      </c>
    </row>
    <row r="621" spans="1:52" ht="15" hidden="1" customHeight="1">
      <c r="A621" s="706" t="s">
        <v>1148</v>
      </c>
      <c r="B621" s="706">
        <v>2026</v>
      </c>
      <c r="C621" s="706" t="s">
        <v>2272</v>
      </c>
      <c r="D621" s="706" t="s">
        <v>2273</v>
      </c>
      <c r="E621" s="706" t="s">
        <v>333</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G41600</v>
      </c>
      <c r="AK621" s="905" t="str">
        <f t="shared" si="61"/>
        <v>*PROGRAMME GENERAL MOTORS</v>
      </c>
      <c r="AL621" s="905">
        <f>IFERROR(INDEX(G621:R621,1,MATCH(Parametres!$B$3,G$1:R$1,0)-1)*IF(OR(F621="L",F621="S",F621="I"),-1,1),"")</f>
        <v>0</v>
      </c>
      <c r="AM621" s="1047">
        <f t="shared" si="56"/>
        <v>0</v>
      </c>
      <c r="AN621" s="905">
        <f>INDEX(G621:R621,1,MATCH(Parametres!$B$3,G$1:R$1,0))*IF(OR(F621="L",F621="S",F621="I"),-1,1)</f>
        <v>0</v>
      </c>
      <c r="AO621" s="487" t="str">
        <f>+VLOOKUP($AJ621,Data_Validation!$A:$D,1,0)</f>
        <v>G41600</v>
      </c>
      <c r="AP621" s="487">
        <f>+VLOOKUP($AJ621,Data_Validation!$A:$D,3,0)</f>
        <v>0</v>
      </c>
      <c r="AQ621" s="487">
        <f>+VLOOKUP($AJ621,Data_Validation!$A:$D,4,0)</f>
        <v>0</v>
      </c>
      <c r="AR621" s="487" t="s">
        <v>299</v>
      </c>
      <c r="AS621" s="487">
        <f>+VLOOKUP($AJ621,Data_Validation!$A:$E,5,0)</f>
        <v>0</v>
      </c>
      <c r="AT621" s="904" t="str">
        <f t="shared" si="57"/>
        <v>G41600</v>
      </c>
      <c r="AU621" s="488" t="str">
        <f t="shared" si="58"/>
        <v>*PROGRAMME GENERAL MOTORS</v>
      </c>
      <c r="AV621" s="899">
        <f>IFERROR(INDEX(V621:AG621,1,MATCH(Parametres!$B$3,V$1:AG$1,0)-1)*IF(OR(C621="L",C621="S",C621="I"),-1,1),"")</f>
        <v>0</v>
      </c>
      <c r="AW621" s="899">
        <f t="shared" si="59"/>
        <v>0</v>
      </c>
      <c r="AX621" s="899">
        <f>INDEX(V621:AG621,1,MATCH(Parametres!$B$3,V$1:AG$1,0))*IF(OR(C621="L",C621="S",C621="I"),-1,1)</f>
        <v>0</v>
      </c>
      <c r="AY621" s="487" t="s">
        <v>337</v>
      </c>
      <c r="AZ621" s="487">
        <f>+VLOOKUP($AJ621,Data_Validation!$A:$E,5,0)</f>
        <v>0</v>
      </c>
    </row>
    <row r="622" spans="1:52" ht="15" hidden="1" customHeight="1">
      <c r="A622" s="706" t="s">
        <v>1148</v>
      </c>
      <c r="B622" s="706">
        <v>2026</v>
      </c>
      <c r="C622" s="706" t="s">
        <v>2274</v>
      </c>
      <c r="D622" s="706" t="s">
        <v>2275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G41700</v>
      </c>
      <c r="AK622" s="905" t="str">
        <f t="shared" si="61"/>
        <v>VTES-CHEV AUTOS AUTRES</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G41700</v>
      </c>
      <c r="AU622" s="488" t="str">
        <f t="shared" si="58"/>
        <v>VTES-CHEV AUTOS AUTRES</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2276</v>
      </c>
      <c r="D623" s="706" t="s">
        <v>2277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G41720</v>
      </c>
      <c r="AK623" s="905" t="str">
        <f t="shared" si="61"/>
        <v>VTES-CHEV AUTOS AUTRE-LOC</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G41720</v>
      </c>
      <c r="AU623" s="488" t="str">
        <f t="shared" si="58"/>
        <v>VTES-CHEV AUTOS AUTRE-LOC</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hidden="1" customHeight="1">
      <c r="A624" s="706" t="s">
        <v>1148</v>
      </c>
      <c r="B624" s="706">
        <v>2026</v>
      </c>
      <c r="C624" s="706" t="s">
        <v>2278</v>
      </c>
      <c r="D624" s="706" t="s">
        <v>2279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20</v>
      </c>
      <c r="W624" s="706">
        <v>54</v>
      </c>
      <c r="X624" s="706">
        <v>104</v>
      </c>
      <c r="Y624" s="706">
        <v>159</v>
      </c>
      <c r="Z624" s="706">
        <v>186</v>
      </c>
      <c r="AA624" s="706">
        <v>230</v>
      </c>
      <c r="AB624" s="706">
        <v>272</v>
      </c>
      <c r="AC624" s="706">
        <v>320</v>
      </c>
      <c r="AD624" s="706">
        <v>358</v>
      </c>
      <c r="AE624" s="706">
        <v>359</v>
      </c>
      <c r="AF624" s="706">
        <v>0</v>
      </c>
      <c r="AG624" s="706">
        <v>0</v>
      </c>
      <c r="AH624" s="706">
        <v>40</v>
      </c>
      <c r="AI624" s="706">
        <v>40</v>
      </c>
      <c r="AJ624" s="905" t="str">
        <f t="shared" si="60"/>
        <v>G41799</v>
      </c>
      <c r="AK624" s="905" t="str">
        <f t="shared" si="61"/>
        <v>VTES-ECHANGE CONCESSIONN.</v>
      </c>
      <c r="AL624" s="905">
        <f>IFERROR(INDEX(G624:R624,1,MATCH(Parametres!$B$3,G$1:R$1,0)-1)*IF(OR(F624="L",F624="S",F624="I"),-1,1),"")</f>
        <v>0</v>
      </c>
      <c r="AM624" s="905">
        <f t="shared" si="56"/>
        <v>0</v>
      </c>
      <c r="AN624" s="905">
        <f>INDEX(G624:R624,1,MATCH(Parametres!$B$3,G$1:R$1,0))*IF(OR(F624="L",F624="S",F624="I"),-1,1)</f>
        <v>0</v>
      </c>
      <c r="AO624" s="487" t="str">
        <f>+VLOOKUP($AJ624,Data_Validation!$A:$D,1,0)</f>
        <v>G41799</v>
      </c>
      <c r="AP624" s="487">
        <f>+VLOOKUP($AJ624,Data_Validation!$A:$D,3,0)</f>
        <v>0</v>
      </c>
      <c r="AQ624" s="487">
        <f>+VLOOKUP($AJ624,Data_Validation!$A:$D,4,0)</f>
        <v>0</v>
      </c>
      <c r="AR624" s="487" t="s">
        <v>299</v>
      </c>
      <c r="AS624" s="487">
        <f>+VLOOKUP($AJ624,Data_Validation!$A:$E,5,0)</f>
        <v>0</v>
      </c>
      <c r="AT624" s="904" t="str">
        <f t="shared" si="57"/>
        <v>G41799</v>
      </c>
      <c r="AU624" s="488" t="str">
        <f t="shared" si="58"/>
        <v>VTES-ECHANGE CONCESSIONN.</v>
      </c>
      <c r="AV624" s="899">
        <f>IFERROR(INDEX(V624:AG624,1,MATCH(Parametres!$B$3,V$1:AG$1,0)-1)*IF(OR(C624="L",C624="S",C624="I"),-1,1),"")</f>
        <v>320</v>
      </c>
      <c r="AW624" s="899">
        <f t="shared" si="59"/>
        <v>38</v>
      </c>
      <c r="AX624" s="899">
        <f>INDEX(V624:AG624,1,MATCH(Parametres!$B$3,V$1:AG$1,0))*IF(OR(C624="L",C624="S",C624="I"),-1,1)</f>
        <v>358</v>
      </c>
      <c r="AY624" s="487" t="s">
        <v>337</v>
      </c>
      <c r="AZ624" s="487">
        <f>+VLOOKUP($AJ624,Data_Validation!$A:$E,5,0)</f>
        <v>0</v>
      </c>
    </row>
    <row r="625" spans="1:52" ht="15" hidden="1" customHeight="1">
      <c r="A625" s="706" t="s">
        <v>1148</v>
      </c>
      <c r="B625" s="706">
        <v>2026</v>
      </c>
      <c r="C625" s="706" t="s">
        <v>2280</v>
      </c>
      <c r="D625" s="706" t="s">
        <v>2281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G41800</v>
      </c>
      <c r="AK625" s="905" t="str">
        <f t="shared" si="61"/>
        <v>AUTRES CHEVROLET</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G41800</v>
      </c>
      <c r="AU625" s="488" t="str">
        <f t="shared" si="58"/>
        <v>AUTRES CHEVROLET</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hidden="1" customHeight="1">
      <c r="A626" s="706" t="s">
        <v>1148</v>
      </c>
      <c r="B626" s="706">
        <v>2026</v>
      </c>
      <c r="C626" s="706" t="s">
        <v>2282</v>
      </c>
      <c r="D626" s="706" t="s">
        <v>2283</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G42000</v>
      </c>
      <c r="AK626" s="905" t="str">
        <f t="shared" si="61"/>
        <v>VTES-PARCS VOITURES</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G42000</v>
      </c>
      <c r="AU626" s="488" t="str">
        <f t="shared" si="58"/>
        <v>VTES-PARCS VOITURES</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hidden="1" customHeight="1">
      <c r="A627" s="706" t="s">
        <v>1148</v>
      </c>
      <c r="B627" s="706">
        <v>2026</v>
      </c>
      <c r="C627" s="706" t="s">
        <v>2284</v>
      </c>
      <c r="D627" s="706" t="s">
        <v>2285</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G42100</v>
      </c>
      <c r="AK627" s="905" t="str">
        <f t="shared" si="61"/>
        <v>VTES-VOITURES INTERNE</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G42100</v>
      </c>
      <c r="AU627" s="488" t="str">
        <f t="shared" si="58"/>
        <v>VTES-VOITURES INTERNE</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hidden="1" customHeight="1">
      <c r="A628" s="706" t="s">
        <v>1148</v>
      </c>
      <c r="B628" s="706">
        <v>2026</v>
      </c>
      <c r="C628" s="706" t="s">
        <v>2286</v>
      </c>
      <c r="D628" s="706" t="s">
        <v>2287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G42300</v>
      </c>
      <c r="AK628" s="905" t="str">
        <f t="shared" si="61"/>
        <v>VTES-VENTURES-UPLAND VAN</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G42300</v>
      </c>
      <c r="AU628" s="488" t="str">
        <f t="shared" si="58"/>
        <v>VTES-VENTURES-UPLAND VAN</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hidden="1" customHeight="1">
      <c r="A629" s="706" t="s">
        <v>1148</v>
      </c>
      <c r="B629" s="706">
        <v>2026</v>
      </c>
      <c r="C629" s="706" t="s">
        <v>2288</v>
      </c>
      <c r="D629" s="706" t="s">
        <v>2289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G42312</v>
      </c>
      <c r="AK629" s="905" t="str">
        <f t="shared" si="61"/>
        <v>VTES-KODIAK/TOPKICK 4/5</v>
      </c>
      <c r="AL629" s="905">
        <f>IFERROR(INDEX(G629:R629,1,MATCH(Parametres!$B$3,G$1:R$1,0)-1)*IF(OR(F629="L",F629="S",F629="I"),-1,1),"")</f>
        <v>0</v>
      </c>
      <c r="AM629" s="905">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G42312</v>
      </c>
      <c r="AU629" s="488" t="str">
        <f t="shared" si="58"/>
        <v>VTES-KODIAK/TOPKICK 4/5</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hidden="1" customHeight="1">
      <c r="A630" s="706" t="s">
        <v>1148</v>
      </c>
      <c r="B630" s="706">
        <v>2026</v>
      </c>
      <c r="C630" s="706" t="s">
        <v>2290</v>
      </c>
      <c r="D630" s="706" t="s">
        <v>2291</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G42320</v>
      </c>
      <c r="AK630" s="905" t="str">
        <f t="shared" si="61"/>
        <v>VTES-VENTURE-UPLANDER-LOC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G42320</v>
      </c>
      <c r="AU630" s="488" t="str">
        <f t="shared" si="58"/>
        <v>VTES-VENTURE-UPLANDER-LOC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hidden="1" customHeight="1">
      <c r="A631" s="706" t="s">
        <v>1148</v>
      </c>
      <c r="B631" s="706">
        <v>2026</v>
      </c>
      <c r="C631" s="706" t="s">
        <v>2292</v>
      </c>
      <c r="D631" s="706" t="s">
        <v>2293</v>
      </c>
      <c r="E631" s="706" t="s">
        <v>1149</v>
      </c>
      <c r="F631" s="706" t="s">
        <v>1149</v>
      </c>
      <c r="G631" s="706">
        <v>93796.43</v>
      </c>
      <c r="H631" s="706">
        <v>93796.43</v>
      </c>
      <c r="I631" s="706">
        <v>93796.43</v>
      </c>
      <c r="J631" s="706">
        <v>240565.64</v>
      </c>
      <c r="K631" s="706">
        <v>330422.31</v>
      </c>
      <c r="L631" s="706">
        <v>330422.31</v>
      </c>
      <c r="M631" s="706">
        <v>469151.31</v>
      </c>
      <c r="N631" s="706">
        <v>573703.9</v>
      </c>
      <c r="O631" s="706">
        <v>573703.9</v>
      </c>
      <c r="P631" s="706">
        <v>573703.9</v>
      </c>
      <c r="Q631" s="706">
        <v>0</v>
      </c>
      <c r="R631" s="706">
        <v>0</v>
      </c>
      <c r="S631" s="706">
        <v>63744.88</v>
      </c>
      <c r="T631" s="706">
        <v>63744.88</v>
      </c>
      <c r="U631" s="706">
        <v>0</v>
      </c>
      <c r="V631" s="706">
        <v>2</v>
      </c>
      <c r="W631" s="706">
        <v>2</v>
      </c>
      <c r="X631" s="706">
        <v>2</v>
      </c>
      <c r="Y631" s="706">
        <v>5</v>
      </c>
      <c r="Z631" s="706">
        <v>7</v>
      </c>
      <c r="AA631" s="706">
        <v>7</v>
      </c>
      <c r="AB631" s="706">
        <v>10</v>
      </c>
      <c r="AC631" s="706">
        <v>12</v>
      </c>
      <c r="AD631" s="706">
        <v>12</v>
      </c>
      <c r="AE631" s="706">
        <v>12</v>
      </c>
      <c r="AF631" s="706">
        <v>0</v>
      </c>
      <c r="AG631" s="706">
        <v>0</v>
      </c>
      <c r="AH631" s="706">
        <v>1</v>
      </c>
      <c r="AI631" s="706">
        <v>1</v>
      </c>
      <c r="AJ631" s="905" t="str">
        <f t="shared" si="60"/>
        <v>G42400</v>
      </c>
      <c r="AK631" s="905" t="str">
        <f t="shared" si="61"/>
        <v>VTES-TERRAIN</v>
      </c>
      <c r="AL631" s="905">
        <f>IFERROR(INDEX(G631:R631,1,MATCH(Parametres!$B$3,G$1:R$1,0)-1)*IF(OR(F631="L",F631="S",F631="I"),-1,1),"")</f>
        <v>-573703.9</v>
      </c>
      <c r="AM631" s="1047">
        <f t="shared" si="56"/>
        <v>0</v>
      </c>
      <c r="AN631" s="905">
        <f>INDEX(G631:R631,1,MATCH(Parametres!$B$3,G$1:R$1,0))*IF(OR(F631="L",F631="S",F631="I"),-1,1)</f>
        <v>-573703.9</v>
      </c>
      <c r="AO631" s="487" t="str">
        <f>+VLOOKUP($AJ631,Data_Validation!$A:$D,1,0)</f>
        <v>G42400</v>
      </c>
      <c r="AP631" s="487" t="str">
        <f>+VLOOKUP($AJ631,Data_Validation!$A:$D,3,0)</f>
        <v>Véhicules neufs</v>
      </c>
      <c r="AQ631" s="487" t="str">
        <f>+VLOOKUP($AJ631,Data_Validation!$A:$D,4,0)</f>
        <v>Camions détail</v>
      </c>
      <c r="AR631" s="487" t="s">
        <v>299</v>
      </c>
      <c r="AS631" s="487" t="str">
        <f>+VLOOKUP($AJ631,Data_Validation!$A:$E,5,0)</f>
        <v>Oui</v>
      </c>
      <c r="AT631" s="904" t="str">
        <f t="shared" si="57"/>
        <v>G42400</v>
      </c>
      <c r="AU631" s="488" t="str">
        <f t="shared" si="58"/>
        <v>VTES-TERRAIN</v>
      </c>
      <c r="AV631" s="899">
        <f>IFERROR(INDEX(V631:AG631,1,MATCH(Parametres!$B$3,V$1:AG$1,0)-1)*IF(OR(C631="L",C631="S",C631="I"),-1,1),"")</f>
        <v>12</v>
      </c>
      <c r="AW631" s="899">
        <f t="shared" si="59"/>
        <v>0</v>
      </c>
      <c r="AX631" s="899">
        <f>INDEX(V631:AG631,1,MATCH(Parametres!$B$3,V$1:AG$1,0))*IF(OR(C631="L",C631="S",C631="I"),-1,1)</f>
        <v>12</v>
      </c>
      <c r="AY631" s="487" t="s">
        <v>337</v>
      </c>
      <c r="AZ631" s="487" t="str">
        <f>+VLOOKUP($AJ631,Data_Validation!$A:$E,5,0)</f>
        <v>Oui</v>
      </c>
    </row>
    <row r="632" spans="1:52" ht="15" hidden="1" customHeight="1">
      <c r="A632" s="706" t="s">
        <v>1148</v>
      </c>
      <c r="B632" s="706">
        <v>2026</v>
      </c>
      <c r="C632" s="706" t="s">
        <v>2294</v>
      </c>
      <c r="D632" s="706" t="s">
        <v>2295</v>
      </c>
      <c r="E632" s="706" t="s">
        <v>1149</v>
      </c>
      <c r="F632" s="706" t="s">
        <v>1149</v>
      </c>
      <c r="G632" s="706">
        <v>0</v>
      </c>
      <c r="H632" s="706">
        <v>0</v>
      </c>
      <c r="I632" s="706">
        <v>0</v>
      </c>
      <c r="J632" s="706">
        <v>0</v>
      </c>
      <c r="K632" s="706">
        <v>409811.5</v>
      </c>
      <c r="L632" s="706">
        <v>668670.41</v>
      </c>
      <c r="M632" s="706">
        <v>1186449.53</v>
      </c>
      <c r="N632" s="706">
        <v>1792442.06</v>
      </c>
      <c r="O632" s="706">
        <v>3161694.2</v>
      </c>
      <c r="P632" s="706">
        <v>3390222.51</v>
      </c>
      <c r="Q632" s="706">
        <v>0</v>
      </c>
      <c r="R632" s="706">
        <v>0</v>
      </c>
      <c r="S632" s="706">
        <v>351299.36</v>
      </c>
      <c r="T632" s="706">
        <v>351299.36</v>
      </c>
      <c r="U632" s="706">
        <v>0</v>
      </c>
      <c r="V632" s="706">
        <v>0</v>
      </c>
      <c r="W632" s="706">
        <v>0</v>
      </c>
      <c r="X632" s="706">
        <v>0</v>
      </c>
      <c r="Y632" s="706">
        <v>0</v>
      </c>
      <c r="Z632" s="706">
        <v>9</v>
      </c>
      <c r="AA632" s="706">
        <v>15</v>
      </c>
      <c r="AB632" s="706">
        <v>27</v>
      </c>
      <c r="AC632" s="706">
        <v>41</v>
      </c>
      <c r="AD632" s="706">
        <v>72</v>
      </c>
      <c r="AE632" s="706">
        <v>77</v>
      </c>
      <c r="AF632" s="706">
        <v>0</v>
      </c>
      <c r="AG632" s="706">
        <v>0</v>
      </c>
      <c r="AH632" s="706">
        <v>8</v>
      </c>
      <c r="AI632" s="706">
        <v>8</v>
      </c>
      <c r="AJ632" s="905" t="str">
        <f t="shared" si="60"/>
        <v>G42401</v>
      </c>
      <c r="AK632" s="905" t="str">
        <f t="shared" si="61"/>
        <v>VENTES - BOLT EUV</v>
      </c>
      <c r="AL632" s="905">
        <f>IFERROR(INDEX(G632:R632,1,MATCH(Parametres!$B$3,G$1:R$1,0)-1)*IF(OR(F632="L",F632="S",F632="I"),-1,1),"")</f>
        <v>-1792442.06</v>
      </c>
      <c r="AM632" s="905">
        <f t="shared" si="56"/>
        <v>-1369252.1400000001</v>
      </c>
      <c r="AN632" s="905">
        <f>INDEX(G632:R632,1,MATCH(Parametres!$B$3,G$1:R$1,0))*IF(OR(F632="L",F632="S",F632="I"),-1,1)</f>
        <v>-3161694.2</v>
      </c>
      <c r="AO632" s="487" t="str">
        <f>+VLOOKUP($AJ632,Data_Validation!$A:$D,1,0)</f>
        <v>G42401</v>
      </c>
      <c r="AP632" s="487" t="str">
        <f>+VLOOKUP($AJ632,Data_Validation!$A:$D,3,0)</f>
        <v>Véhicules neufs</v>
      </c>
      <c r="AQ632" s="487" t="str">
        <f>+VLOOKUP($AJ632,Data_Validation!$A:$D,4,0)</f>
        <v>Camions electriques</v>
      </c>
      <c r="AR632" s="487" t="s">
        <v>299</v>
      </c>
      <c r="AS632" s="487" t="str">
        <f>+VLOOKUP($AJ632,Data_Validation!$A:$E,5,0)</f>
        <v>Oui</v>
      </c>
      <c r="AT632" s="904" t="str">
        <f t="shared" si="57"/>
        <v>G42401</v>
      </c>
      <c r="AU632" s="488" t="str">
        <f t="shared" si="58"/>
        <v>VENTES - BOLT EUV</v>
      </c>
      <c r="AV632" s="899">
        <f>IFERROR(INDEX(V632:AG632,1,MATCH(Parametres!$B$3,V$1:AG$1,0)-1)*IF(OR(C632="L",C632="S",C632="I"),-1,1),"")</f>
        <v>41</v>
      </c>
      <c r="AW632" s="899">
        <f t="shared" si="59"/>
        <v>31</v>
      </c>
      <c r="AX632" s="899">
        <f>INDEX(V632:AG632,1,MATCH(Parametres!$B$3,V$1:AG$1,0))*IF(OR(C632="L",C632="S",C632="I"),-1,1)</f>
        <v>72</v>
      </c>
      <c r="AY632" s="487" t="s">
        <v>337</v>
      </c>
      <c r="AZ632" s="487" t="str">
        <f>+VLOOKUP($AJ632,Data_Validation!$A:$E,5,0)</f>
        <v>Oui</v>
      </c>
    </row>
    <row r="633" spans="1:52" ht="15" hidden="1" customHeight="1">
      <c r="A633" s="706" t="s">
        <v>1148</v>
      </c>
      <c r="B633" s="706">
        <v>2026</v>
      </c>
      <c r="C633" s="706" t="s">
        <v>2296</v>
      </c>
      <c r="D633" s="706" t="s">
        <v>2297</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G42412</v>
      </c>
      <c r="AK633" s="905" t="str">
        <f t="shared" si="61"/>
        <v>VTES-TOPKICK 6/7/8 C</v>
      </c>
      <c r="AL633" s="905">
        <f>IFERROR(INDEX(G633:R633,1,MATCH(Parametres!$B$3,G$1:R$1,0)-1)*IF(OR(F633="L",F633="S",F633="I"),-1,1),"")</f>
        <v>0</v>
      </c>
      <c r="AM633" s="905">
        <f t="shared" si="56"/>
        <v>0</v>
      </c>
      <c r="AN633" s="905">
        <f>INDEX(G633:R633,1,MATCH(Parametres!$B$3,G$1:R$1,0))*IF(OR(F633="L",F633="S",F633="I"),-1,1)</f>
        <v>0</v>
      </c>
      <c r="AO633" s="487" t="e">
        <f>+VLOOKUP($AJ633,Data_Validation!$A:$D,1,0)</f>
        <v>#N/A</v>
      </c>
      <c r="AP633" s="487" t="e">
        <f>+VLOOKUP($AJ633,Data_Validation!$A:$D,3,0)</f>
        <v>#N/A</v>
      </c>
      <c r="AQ633" s="487" t="e">
        <f>+VLOOKUP($AJ633,Data_Validation!$A:$D,4,0)</f>
        <v>#N/A</v>
      </c>
      <c r="AR633" s="487" t="s">
        <v>299</v>
      </c>
      <c r="AS633" s="487" t="e">
        <f>+VLOOKUP($AJ633,Data_Validation!$A:$E,5,0)</f>
        <v>#N/A</v>
      </c>
      <c r="AT633" s="904" t="str">
        <f t="shared" si="57"/>
        <v>G42412</v>
      </c>
      <c r="AU633" s="488" t="str">
        <f t="shared" si="58"/>
        <v>VTES-TOPKICK 6/7/8 C</v>
      </c>
      <c r="AV633" s="899">
        <f>IFERROR(INDEX(V633:AG633,1,MATCH(Parametres!$B$3,V$1:AG$1,0)-1)*IF(OR(C633="L",C633="S",C633="I"),-1,1),"")</f>
        <v>0</v>
      </c>
      <c r="AW633" s="899">
        <f t="shared" si="59"/>
        <v>0</v>
      </c>
      <c r="AX633" s="899">
        <f>INDEX(V633:AG633,1,MATCH(Parametres!$B$3,V$1:AG$1,0))*IF(OR(C633="L",C633="S",C633="I"),-1,1)</f>
        <v>0</v>
      </c>
      <c r="AY633" s="487" t="s">
        <v>337</v>
      </c>
      <c r="AZ633" s="487" t="e">
        <f>+VLOOKUP($AJ633,Data_Validation!$A:$E,5,0)</f>
        <v>#N/A</v>
      </c>
    </row>
    <row r="634" spans="1:52" ht="15" hidden="1" customHeight="1">
      <c r="A634" s="706" t="s">
        <v>1148</v>
      </c>
      <c r="B634" s="706">
        <v>2026</v>
      </c>
      <c r="C634" s="706" t="s">
        <v>2298</v>
      </c>
      <c r="D634" s="706" t="s">
        <v>2299</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G42500</v>
      </c>
      <c r="AK634" s="905" t="str">
        <f t="shared" si="61"/>
        <v>VTES-G EXPRESS</v>
      </c>
      <c r="AL634" s="905">
        <f>IFERROR(INDEX(G634:R634,1,MATCH(Parametres!$B$3,G$1:R$1,0)-1)*IF(OR(F634="L",F634="S",F634="I"),-1,1),"")</f>
        <v>0</v>
      </c>
      <c r="AM634" s="905">
        <f t="shared" si="56"/>
        <v>0</v>
      </c>
      <c r="AN634" s="905">
        <f>INDEX(G634:R634,1,MATCH(Parametres!$B$3,G$1:R$1,0))*IF(OR(F634="L",F634="S",F634="I"),-1,1)</f>
        <v>0</v>
      </c>
      <c r="AO634" s="487" t="str">
        <f>+VLOOKUP($AJ634,Data_Validation!$A:$D,1,0)</f>
        <v>G42500</v>
      </c>
      <c r="AP634" s="487" t="str">
        <f>+VLOOKUP($AJ634,Data_Validation!$A:$D,3,0)</f>
        <v>Véhicules neufs</v>
      </c>
      <c r="AQ634" s="487" t="str">
        <f>+VLOOKUP($AJ634,Data_Validation!$A:$D,4,0)</f>
        <v>Camions détail</v>
      </c>
      <c r="AR634" s="487" t="s">
        <v>299</v>
      </c>
      <c r="AS634" s="487" t="str">
        <f>+VLOOKUP($AJ634,Data_Validation!$A:$E,5,0)</f>
        <v>Oui</v>
      </c>
      <c r="AT634" s="904" t="str">
        <f t="shared" si="57"/>
        <v>G42500</v>
      </c>
      <c r="AU634" s="488" t="str">
        <f t="shared" si="58"/>
        <v>VTES-G EXPRESS</v>
      </c>
      <c r="AV634" s="899">
        <f>IFERROR(INDEX(V634:AG634,1,MATCH(Parametres!$B$3,V$1:AG$1,0)-1)*IF(OR(C634="L",C634="S",C634="I"),-1,1),"")</f>
        <v>0</v>
      </c>
      <c r="AW634" s="899">
        <f t="shared" si="59"/>
        <v>0</v>
      </c>
      <c r="AX634" s="899">
        <f>INDEX(V634:AG634,1,MATCH(Parametres!$B$3,V$1:AG$1,0))*IF(OR(C634="L",C634="S",C634="I"),-1,1)</f>
        <v>0</v>
      </c>
      <c r="AY634" s="487" t="s">
        <v>337</v>
      </c>
      <c r="AZ634" s="487" t="str">
        <f>+VLOOKUP($AJ634,Data_Validation!$A:$E,5,0)</f>
        <v>Oui</v>
      </c>
    </row>
    <row r="635" spans="1:52" ht="15" hidden="1" customHeight="1">
      <c r="A635" s="706" t="s">
        <v>1148</v>
      </c>
      <c r="B635" s="706">
        <v>2026</v>
      </c>
      <c r="C635" s="706" t="s">
        <v>2300</v>
      </c>
      <c r="D635" s="706" t="s">
        <v>2301</v>
      </c>
      <c r="E635" s="706" t="s">
        <v>1149</v>
      </c>
      <c r="F635" s="706" t="s">
        <v>1149</v>
      </c>
      <c r="G635" s="706">
        <v>0</v>
      </c>
      <c r="H635" s="706">
        <v>0</v>
      </c>
      <c r="I635" s="706">
        <v>0</v>
      </c>
      <c r="J635" s="706">
        <v>0</v>
      </c>
      <c r="K635" s="706">
        <v>50150</v>
      </c>
      <c r="L635" s="706">
        <v>50150</v>
      </c>
      <c r="M635" s="706">
        <v>50150</v>
      </c>
      <c r="N635" s="706">
        <v>50150</v>
      </c>
      <c r="O635" s="706">
        <v>50150</v>
      </c>
      <c r="P635" s="706">
        <v>50150</v>
      </c>
      <c r="Q635" s="706">
        <v>0</v>
      </c>
      <c r="R635" s="706">
        <v>0</v>
      </c>
      <c r="S635" s="706">
        <v>5572.22</v>
      </c>
      <c r="T635" s="706">
        <v>5572.22</v>
      </c>
      <c r="U635" s="706">
        <v>0</v>
      </c>
      <c r="V635" s="706">
        <v>0</v>
      </c>
      <c r="W635" s="706">
        <v>0</v>
      </c>
      <c r="X635" s="706">
        <v>0</v>
      </c>
      <c r="Y635" s="706">
        <v>0</v>
      </c>
      <c r="Z635" s="706">
        <v>1</v>
      </c>
      <c r="AA635" s="706">
        <v>1</v>
      </c>
      <c r="AB635" s="706">
        <v>1</v>
      </c>
      <c r="AC635" s="706">
        <v>1</v>
      </c>
      <c r="AD635" s="706">
        <v>1</v>
      </c>
      <c r="AE635" s="706">
        <v>1</v>
      </c>
      <c r="AF635" s="706">
        <v>0</v>
      </c>
      <c r="AG635" s="706">
        <v>0</v>
      </c>
      <c r="AH635" s="706">
        <v>0</v>
      </c>
      <c r="AI635" s="706">
        <v>0</v>
      </c>
      <c r="AJ635" s="905" t="str">
        <f t="shared" si="60"/>
        <v>G42502</v>
      </c>
      <c r="AK635" s="905" t="str">
        <f t="shared" si="61"/>
        <v>VENTES SAVANA</v>
      </c>
      <c r="AL635" s="905">
        <f>IFERROR(INDEX(G635:R635,1,MATCH(Parametres!$B$3,G$1:R$1,0)-1)*IF(OR(F635="L",F635="S",F635="I"),-1,1),"")</f>
        <v>-50150</v>
      </c>
      <c r="AM635" s="905">
        <f t="shared" si="56"/>
        <v>0</v>
      </c>
      <c r="AN635" s="905">
        <f>INDEX(G635:R635,1,MATCH(Parametres!$B$3,G$1:R$1,0))*IF(OR(F635="L",F635="S",F635="I"),-1,1)</f>
        <v>-50150</v>
      </c>
      <c r="AO635" s="487" t="str">
        <f>+VLOOKUP($AJ635,Data_Validation!$A:$D,1,0)</f>
        <v>G42502</v>
      </c>
      <c r="AP635" s="487" t="str">
        <f>+VLOOKUP($AJ635,Data_Validation!$A:$D,3,0)</f>
        <v>Véhicules neufs</v>
      </c>
      <c r="AQ635" s="487" t="str">
        <f>+VLOOKUP($AJ635,Data_Validation!$A:$D,4,0)</f>
        <v>Camions electriques</v>
      </c>
      <c r="AR635" s="487" t="s">
        <v>299</v>
      </c>
      <c r="AS635" s="487" t="str">
        <f>+VLOOKUP($AJ635,Data_Validation!$A:$E,5,0)</f>
        <v>Oui</v>
      </c>
      <c r="AT635" s="904" t="str">
        <f t="shared" si="57"/>
        <v>G42502</v>
      </c>
      <c r="AU635" s="488" t="str">
        <f t="shared" si="58"/>
        <v>VENTES SAVANA</v>
      </c>
      <c r="AV635" s="899">
        <f>IFERROR(INDEX(V635:AG635,1,MATCH(Parametres!$B$3,V$1:AG$1,0)-1)*IF(OR(C635="L",C635="S",C635="I"),-1,1),"")</f>
        <v>1</v>
      </c>
      <c r="AW635" s="899">
        <f t="shared" si="59"/>
        <v>0</v>
      </c>
      <c r="AX635" s="899">
        <f>INDEX(V635:AG635,1,MATCH(Parametres!$B$3,V$1:AG$1,0))*IF(OR(C635="L",C635="S",C635="I"),-1,1)</f>
        <v>1</v>
      </c>
      <c r="AY635" s="487" t="s">
        <v>337</v>
      </c>
      <c r="AZ635" s="487" t="str">
        <f>+VLOOKUP($AJ635,Data_Validation!$A:$E,5,0)</f>
        <v>Oui</v>
      </c>
    </row>
    <row r="636" spans="1:52" ht="15" hidden="1" customHeight="1">
      <c r="A636" s="706" t="s">
        <v>1148</v>
      </c>
      <c r="B636" s="706">
        <v>2026</v>
      </c>
      <c r="C636" s="706" t="s">
        <v>2302</v>
      </c>
      <c r="D636" s="706" t="s">
        <v>2303</v>
      </c>
      <c r="E636" s="706" t="s">
        <v>1149</v>
      </c>
      <c r="F636" s="706" t="s">
        <v>1149</v>
      </c>
      <c r="G636" s="706">
        <v>0</v>
      </c>
      <c r="H636" s="706">
        <v>0</v>
      </c>
      <c r="I636" s="706">
        <v>0</v>
      </c>
      <c r="J636" s="706">
        <v>0</v>
      </c>
      <c r="K636" s="706">
        <v>0</v>
      </c>
      <c r="L636" s="706">
        <v>0</v>
      </c>
      <c r="M636" s="706">
        <v>0</v>
      </c>
      <c r="N636" s="706">
        <v>0</v>
      </c>
      <c r="O636" s="706">
        <v>0</v>
      </c>
      <c r="P636" s="706">
        <v>0</v>
      </c>
      <c r="Q636" s="706">
        <v>0</v>
      </c>
      <c r="R636" s="706">
        <v>0</v>
      </c>
      <c r="S636" s="706">
        <v>0</v>
      </c>
      <c r="T636" s="706">
        <v>0</v>
      </c>
      <c r="U636" s="706">
        <v>0</v>
      </c>
      <c r="V636" s="706">
        <v>0</v>
      </c>
      <c r="W636" s="706">
        <v>0</v>
      </c>
      <c r="X636" s="706">
        <v>0</v>
      </c>
      <c r="Y636" s="706">
        <v>0</v>
      </c>
      <c r="Z636" s="706">
        <v>0</v>
      </c>
      <c r="AA636" s="706">
        <v>0</v>
      </c>
      <c r="AB636" s="706">
        <v>0</v>
      </c>
      <c r="AC636" s="706">
        <v>0</v>
      </c>
      <c r="AD636" s="706">
        <v>0</v>
      </c>
      <c r="AE636" s="706">
        <v>0</v>
      </c>
      <c r="AF636" s="706">
        <v>0</v>
      </c>
      <c r="AG636" s="706">
        <v>0</v>
      </c>
      <c r="AH636" s="706">
        <v>0</v>
      </c>
      <c r="AI636" s="706">
        <v>0</v>
      </c>
      <c r="AJ636" s="905" t="str">
        <f t="shared" si="60"/>
        <v>G42512</v>
      </c>
      <c r="AK636" s="905" t="str">
        <f t="shared" si="61"/>
        <v>VTES-TOPKICK 6/7/8 T</v>
      </c>
      <c r="AL636" s="905">
        <f>IFERROR(INDEX(G636:R636,1,MATCH(Parametres!$B$3,G$1:R$1,0)-1)*IF(OR(F636="L",F636="S",F636="I"),-1,1),"")</f>
        <v>0</v>
      </c>
      <c r="AM636" s="905">
        <f t="shared" si="56"/>
        <v>0</v>
      </c>
      <c r="AN636" s="905">
        <f>INDEX(G636:R636,1,MATCH(Parametres!$B$3,G$1:R$1,0))*IF(OR(F636="L",F636="S",F636="I"),-1,1)</f>
        <v>0</v>
      </c>
      <c r="AO636" s="487" t="e">
        <f>+VLOOKUP($AJ636,Data_Validation!$A:$D,1,0)</f>
        <v>#N/A</v>
      </c>
      <c r="AP636" s="487" t="e">
        <f>+VLOOKUP($AJ636,Data_Validation!$A:$D,3,0)</f>
        <v>#N/A</v>
      </c>
      <c r="AQ636" s="487" t="e">
        <f>+VLOOKUP($AJ636,Data_Validation!$A:$D,4,0)</f>
        <v>#N/A</v>
      </c>
      <c r="AR636" s="487" t="s">
        <v>299</v>
      </c>
      <c r="AS636" s="487" t="e">
        <f>+VLOOKUP($AJ636,Data_Validation!$A:$E,5,0)</f>
        <v>#N/A</v>
      </c>
      <c r="AT636" s="904" t="str">
        <f t="shared" si="57"/>
        <v>G42512</v>
      </c>
      <c r="AU636" s="488" t="str">
        <f t="shared" si="58"/>
        <v>VTES-TOPKICK 6/7/8 T</v>
      </c>
      <c r="AV636" s="899">
        <f>IFERROR(INDEX(V636:AG636,1,MATCH(Parametres!$B$3,V$1:AG$1,0)-1)*IF(OR(C636="L",C636="S",C636="I"),-1,1),"")</f>
        <v>0</v>
      </c>
      <c r="AW636" s="899">
        <f t="shared" si="59"/>
        <v>0</v>
      </c>
      <c r="AX636" s="899">
        <f>INDEX(V636:AG636,1,MATCH(Parametres!$B$3,V$1:AG$1,0))*IF(OR(C636="L",C636="S",C636="I"),-1,1)</f>
        <v>0</v>
      </c>
      <c r="AY636" s="487" t="s">
        <v>337</v>
      </c>
      <c r="AZ636" s="487" t="e">
        <f>+VLOOKUP($AJ636,Data_Validation!$A:$E,5,0)</f>
        <v>#N/A</v>
      </c>
    </row>
    <row r="637" spans="1:52" ht="15" hidden="1" customHeight="1">
      <c r="A637" s="706" t="s">
        <v>1148</v>
      </c>
      <c r="B637" s="706">
        <v>2026</v>
      </c>
      <c r="C637" s="706" t="s">
        <v>2304</v>
      </c>
      <c r="D637" s="706" t="s">
        <v>2305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G42520</v>
      </c>
      <c r="AK637" s="905" t="str">
        <f t="shared" si="61"/>
        <v>VTES-G EXPRESS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G42520</v>
      </c>
      <c r="AU637" s="488" t="str">
        <f t="shared" si="58"/>
        <v>VTES-G EXPRESS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hidden="1" customHeight="1">
      <c r="A638" s="706" t="s">
        <v>1148</v>
      </c>
      <c r="B638" s="706">
        <v>2026</v>
      </c>
      <c r="C638" s="706" t="s">
        <v>2306</v>
      </c>
      <c r="D638" s="706" t="s">
        <v>2307</v>
      </c>
      <c r="E638" s="706" t="s">
        <v>1149</v>
      </c>
      <c r="F638" s="706" t="s">
        <v>1149</v>
      </c>
      <c r="G638" s="706">
        <v>0</v>
      </c>
      <c r="H638" s="706">
        <v>133245.68</v>
      </c>
      <c r="I638" s="706">
        <v>133245.68</v>
      </c>
      <c r="J638" s="706">
        <v>190253.68</v>
      </c>
      <c r="K638" s="706">
        <v>249977.68</v>
      </c>
      <c r="L638" s="706">
        <v>306489.21000000002</v>
      </c>
      <c r="M638" s="706">
        <v>419411.99</v>
      </c>
      <c r="N638" s="706">
        <v>537227.49</v>
      </c>
      <c r="O638" s="706">
        <v>537227.49</v>
      </c>
      <c r="P638" s="706">
        <v>537227.49</v>
      </c>
      <c r="Q638" s="706">
        <v>0</v>
      </c>
      <c r="R638" s="706">
        <v>0</v>
      </c>
      <c r="S638" s="706">
        <v>59691.94</v>
      </c>
      <c r="T638" s="706">
        <v>59691.94</v>
      </c>
      <c r="U638" s="706">
        <v>0</v>
      </c>
      <c r="V638" s="706">
        <v>0</v>
      </c>
      <c r="W638" s="706">
        <v>2</v>
      </c>
      <c r="X638" s="706">
        <v>2</v>
      </c>
      <c r="Y638" s="706">
        <v>3</v>
      </c>
      <c r="Z638" s="706">
        <v>4</v>
      </c>
      <c r="AA638" s="706">
        <v>5</v>
      </c>
      <c r="AB638" s="706">
        <v>7</v>
      </c>
      <c r="AC638" s="706">
        <v>9</v>
      </c>
      <c r="AD638" s="706">
        <v>9</v>
      </c>
      <c r="AE638" s="706">
        <v>9</v>
      </c>
      <c r="AF638" s="706">
        <v>0</v>
      </c>
      <c r="AG638" s="706">
        <v>0</v>
      </c>
      <c r="AH638" s="706">
        <v>1</v>
      </c>
      <c r="AI638" s="706">
        <v>1</v>
      </c>
      <c r="AJ638" s="905" t="str">
        <f t="shared" si="60"/>
        <v>G42600</v>
      </c>
      <c r="AK638" s="905" t="str">
        <f t="shared" si="61"/>
        <v>VTES-S-PICKUP/COLORADO</v>
      </c>
      <c r="AL638" s="905">
        <f>IFERROR(INDEX(G638:R638,1,MATCH(Parametres!$B$3,G$1:R$1,0)-1)*IF(OR(F638="L",F638="S",F638="I"),-1,1),"")</f>
        <v>-537227.49</v>
      </c>
      <c r="AM638" s="905">
        <f t="shared" si="56"/>
        <v>0</v>
      </c>
      <c r="AN638" s="905">
        <f>INDEX(G638:R638,1,MATCH(Parametres!$B$3,G$1:R$1,0))*IF(OR(F638="L",F638="S",F638="I"),-1,1)</f>
        <v>-537227.49</v>
      </c>
      <c r="AO638" s="487" t="str">
        <f>+VLOOKUP($AJ638,Data_Validation!$A:$D,1,0)</f>
        <v>G42600</v>
      </c>
      <c r="AP638" s="487" t="str">
        <f>+VLOOKUP($AJ638,Data_Validation!$A:$D,3,0)</f>
        <v>Véhicules neufs</v>
      </c>
      <c r="AQ638" s="487" t="str">
        <f>+VLOOKUP($AJ638,Data_Validation!$A:$D,4,0)</f>
        <v>Camions détail</v>
      </c>
      <c r="AR638" s="487" t="s">
        <v>299</v>
      </c>
      <c r="AS638" s="487" t="str">
        <f>+VLOOKUP($AJ638,Data_Validation!$A:$E,5,0)</f>
        <v>Oui</v>
      </c>
      <c r="AT638" s="904" t="str">
        <f t="shared" si="57"/>
        <v>G42600</v>
      </c>
      <c r="AU638" s="488" t="str">
        <f t="shared" si="58"/>
        <v>VTES-S-PICKUP/COLORADO</v>
      </c>
      <c r="AV638" s="899">
        <f>IFERROR(INDEX(V638:AG638,1,MATCH(Parametres!$B$3,V$1:AG$1,0)-1)*IF(OR(C638="L",C638="S",C638="I"),-1,1),"")</f>
        <v>9</v>
      </c>
      <c r="AW638" s="899">
        <f t="shared" si="59"/>
        <v>0</v>
      </c>
      <c r="AX638" s="899">
        <f>INDEX(V638:AG638,1,MATCH(Parametres!$B$3,V$1:AG$1,0))*IF(OR(C638="L",C638="S",C638="I"),-1,1)</f>
        <v>9</v>
      </c>
      <c r="AY638" s="487" t="s">
        <v>337</v>
      </c>
      <c r="AZ638" s="487" t="str">
        <f>+VLOOKUP($AJ638,Data_Validation!$A:$E,5,0)</f>
        <v>Oui</v>
      </c>
    </row>
    <row r="639" spans="1:52" ht="15" hidden="1" customHeight="1">
      <c r="A639" s="706" t="s">
        <v>1148</v>
      </c>
      <c r="B639" s="706">
        <v>2026</v>
      </c>
      <c r="C639" s="706" t="s">
        <v>2308</v>
      </c>
      <c r="D639" s="706" t="s">
        <v>2309</v>
      </c>
      <c r="E639" s="706" t="s">
        <v>1149</v>
      </c>
      <c r="F639" s="706" t="s">
        <v>1149</v>
      </c>
      <c r="G639" s="706">
        <v>66630.850000000006</v>
      </c>
      <c r="H639" s="706">
        <v>66630.850000000006</v>
      </c>
      <c r="I639" s="706">
        <v>66630.850000000006</v>
      </c>
      <c r="J639" s="706">
        <v>66630.850000000006</v>
      </c>
      <c r="K639" s="706">
        <v>66630.850000000006</v>
      </c>
      <c r="L639" s="706">
        <v>66630.850000000006</v>
      </c>
      <c r="M639" s="706">
        <v>133454.26999999999</v>
      </c>
      <c r="N639" s="706">
        <v>189477.27</v>
      </c>
      <c r="O639" s="706">
        <v>314040.14</v>
      </c>
      <c r="P639" s="706">
        <v>314040.14</v>
      </c>
      <c r="Q639" s="706">
        <v>0</v>
      </c>
      <c r="R639" s="706">
        <v>0</v>
      </c>
      <c r="S639" s="706">
        <v>34893.35</v>
      </c>
      <c r="T639" s="706">
        <v>34893.35</v>
      </c>
      <c r="U639" s="706">
        <v>0</v>
      </c>
      <c r="V639" s="706">
        <v>1</v>
      </c>
      <c r="W639" s="706">
        <v>1</v>
      </c>
      <c r="X639" s="706">
        <v>1</v>
      </c>
      <c r="Y639" s="706">
        <v>1</v>
      </c>
      <c r="Z639" s="706">
        <v>1</v>
      </c>
      <c r="AA639" s="706">
        <v>1</v>
      </c>
      <c r="AB639" s="706">
        <v>2</v>
      </c>
      <c r="AC639" s="706">
        <v>3</v>
      </c>
      <c r="AD639" s="706">
        <v>5</v>
      </c>
      <c r="AE639" s="706">
        <v>5</v>
      </c>
      <c r="AF639" s="706">
        <v>0</v>
      </c>
      <c r="AG639" s="706">
        <v>0</v>
      </c>
      <c r="AH639" s="706">
        <v>1</v>
      </c>
      <c r="AI639" s="706">
        <v>1</v>
      </c>
      <c r="AJ639" s="905" t="str">
        <f t="shared" si="60"/>
        <v>G42602</v>
      </c>
      <c r="AK639" s="905" t="str">
        <f t="shared" si="61"/>
        <v>VENTES GMC CANYON</v>
      </c>
      <c r="AL639" s="905">
        <f>IFERROR(INDEX(G639:R639,1,MATCH(Parametres!$B$3,G$1:R$1,0)-1)*IF(OR(F639="L",F639="S",F639="I"),-1,1),"")</f>
        <v>-189477.27</v>
      </c>
      <c r="AM639" s="905">
        <f t="shared" si="56"/>
        <v>-124562.87000000002</v>
      </c>
      <c r="AN639" s="905">
        <f>INDEX(G639:R639,1,MATCH(Parametres!$B$3,G$1:R$1,0))*IF(OR(F639="L",F639="S",F639="I"),-1,1)</f>
        <v>-314040.14</v>
      </c>
      <c r="AO639" s="487" t="str">
        <f>+VLOOKUP($AJ639,Data_Validation!$A:$D,1,0)</f>
        <v>G42602</v>
      </c>
      <c r="AP639" s="487" t="str">
        <f>+VLOOKUP($AJ639,Data_Validation!$A:$D,3,0)</f>
        <v>Véhicules neufs</v>
      </c>
      <c r="AQ639" s="487" t="str">
        <f>+VLOOKUP($AJ639,Data_Validation!$A:$D,4,0)</f>
        <v>Camions détail</v>
      </c>
      <c r="AR639" s="487" t="s">
        <v>299</v>
      </c>
      <c r="AS639" s="487" t="str">
        <f>+VLOOKUP($AJ639,Data_Validation!$A:$E,5,0)</f>
        <v>Oui</v>
      </c>
      <c r="AT639" s="904" t="str">
        <f t="shared" si="57"/>
        <v>G42602</v>
      </c>
      <c r="AU639" s="488" t="str">
        <f t="shared" si="58"/>
        <v>VENTES GMC CANYON</v>
      </c>
      <c r="AV639" s="899">
        <f>IFERROR(INDEX(V639:AG639,1,MATCH(Parametres!$B$3,V$1:AG$1,0)-1)*IF(OR(C639="L",C639="S",C639="I"),-1,1),"")</f>
        <v>3</v>
      </c>
      <c r="AW639" s="899">
        <f t="shared" si="59"/>
        <v>2</v>
      </c>
      <c r="AX639" s="899">
        <f>INDEX(V639:AG639,1,MATCH(Parametres!$B$3,V$1:AG$1,0))*IF(OR(C639="L",C639="S",C639="I"),-1,1)</f>
        <v>5</v>
      </c>
      <c r="AY639" s="487" t="s">
        <v>337</v>
      </c>
      <c r="AZ639" s="487" t="str">
        <f>+VLOOKUP($AJ639,Data_Validation!$A:$E,5,0)</f>
        <v>Oui</v>
      </c>
    </row>
    <row r="640" spans="1:52" ht="15" hidden="1" customHeight="1">
      <c r="A640" s="706" t="s">
        <v>1148</v>
      </c>
      <c r="B640" s="706">
        <v>2026</v>
      </c>
      <c r="C640" s="706" t="s">
        <v>2310</v>
      </c>
      <c r="D640" s="706" t="s">
        <v>2311</v>
      </c>
      <c r="E640" s="706" t="s">
        <v>1149</v>
      </c>
      <c r="F640" s="706" t="s">
        <v>1149</v>
      </c>
      <c r="G640" s="706">
        <v>46340</v>
      </c>
      <c r="H640" s="706">
        <v>97633</v>
      </c>
      <c r="I640" s="706">
        <v>97633</v>
      </c>
      <c r="J640" s="706">
        <v>245035.39</v>
      </c>
      <c r="K640" s="706">
        <v>300989.39</v>
      </c>
      <c r="L640" s="706">
        <v>300989.39</v>
      </c>
      <c r="M640" s="706">
        <v>300989.39</v>
      </c>
      <c r="N640" s="706">
        <v>357986.39</v>
      </c>
      <c r="O640" s="706">
        <v>357986.39</v>
      </c>
      <c r="P640" s="706">
        <v>357986.39</v>
      </c>
      <c r="Q640" s="706">
        <v>0</v>
      </c>
      <c r="R640" s="706">
        <v>0</v>
      </c>
      <c r="S640" s="706">
        <v>39776.269999999997</v>
      </c>
      <c r="T640" s="706">
        <v>39776.269999999997</v>
      </c>
      <c r="U640" s="706">
        <v>0</v>
      </c>
      <c r="V640" s="706">
        <v>1</v>
      </c>
      <c r="W640" s="706">
        <v>2</v>
      </c>
      <c r="X640" s="706">
        <v>2</v>
      </c>
      <c r="Y640" s="706">
        <v>5</v>
      </c>
      <c r="Z640" s="706">
        <v>6</v>
      </c>
      <c r="AA640" s="706">
        <v>6</v>
      </c>
      <c r="AB640" s="706">
        <v>6</v>
      </c>
      <c r="AC640" s="706">
        <v>7</v>
      </c>
      <c r="AD640" s="706">
        <v>7</v>
      </c>
      <c r="AE640" s="706">
        <v>7</v>
      </c>
      <c r="AF640" s="706">
        <v>0</v>
      </c>
      <c r="AG640" s="706">
        <v>0</v>
      </c>
      <c r="AH640" s="706">
        <v>1</v>
      </c>
      <c r="AI640" s="706">
        <v>1</v>
      </c>
      <c r="AJ640" s="905" t="str">
        <f t="shared" si="60"/>
        <v>G42612</v>
      </c>
      <c r="AK640" s="905" t="str">
        <f t="shared" si="61"/>
        <v>VTES-BUICK ENVISION</v>
      </c>
      <c r="AL640" s="905">
        <f>IFERROR(INDEX(G640:R640,1,MATCH(Parametres!$B$3,G$1:R$1,0)-1)*IF(OR(F640="L",F640="S",F640="I"),-1,1),"")</f>
        <v>-357986.39</v>
      </c>
      <c r="AM640" s="905">
        <f t="shared" si="56"/>
        <v>0</v>
      </c>
      <c r="AN640" s="905">
        <f>INDEX(G640:R640,1,MATCH(Parametres!$B$3,G$1:R$1,0))*IF(OR(F640="L",F640="S",F640="I"),-1,1)</f>
        <v>-357986.39</v>
      </c>
      <c r="AO640" s="487" t="str">
        <f>+VLOOKUP($AJ640,Data_Validation!$A:$D,1,0)</f>
        <v>G42612</v>
      </c>
      <c r="AP640" s="487" t="str">
        <f>+VLOOKUP($AJ640,Data_Validation!$A:$D,3,0)</f>
        <v>Véhicules neufs</v>
      </c>
      <c r="AQ640" s="487" t="str">
        <f>+VLOOKUP($AJ640,Data_Validation!$A:$D,4,0)</f>
        <v>Camions détail</v>
      </c>
      <c r="AR640" s="487" t="s">
        <v>299</v>
      </c>
      <c r="AS640" s="487" t="str">
        <f>+VLOOKUP($AJ640,Data_Validation!$A:$E,5,0)</f>
        <v>Oui</v>
      </c>
      <c r="AT640" s="904" t="str">
        <f t="shared" si="57"/>
        <v>G42612</v>
      </c>
      <c r="AU640" s="488" t="str">
        <f t="shared" si="58"/>
        <v>VTES-BUICK ENVISION</v>
      </c>
      <c r="AV640" s="899">
        <f>IFERROR(INDEX(V640:AG640,1,MATCH(Parametres!$B$3,V$1:AG$1,0)-1)*IF(OR(C640="L",C640="S",C640="I"),-1,1),"")</f>
        <v>7</v>
      </c>
      <c r="AW640" s="899">
        <f t="shared" si="59"/>
        <v>0</v>
      </c>
      <c r="AX640" s="899">
        <f>INDEX(V640:AG640,1,MATCH(Parametres!$B$3,V$1:AG$1,0))*IF(OR(C640="L",C640="S",C640="I"),-1,1)</f>
        <v>7</v>
      </c>
      <c r="AY640" s="487" t="s">
        <v>337</v>
      </c>
      <c r="AZ640" s="487" t="str">
        <f>+VLOOKUP($AJ640,Data_Validation!$A:$E,5,0)</f>
        <v>Oui</v>
      </c>
    </row>
    <row r="641" spans="1:52" ht="15" hidden="1" customHeight="1">
      <c r="A641" s="706" t="s">
        <v>1148</v>
      </c>
      <c r="B641" s="706">
        <v>2026</v>
      </c>
      <c r="C641" s="706" t="s">
        <v>2312</v>
      </c>
      <c r="D641" s="706" t="s">
        <v>2313</v>
      </c>
      <c r="E641" s="706" t="s">
        <v>1149</v>
      </c>
      <c r="F641" s="706" t="s">
        <v>1149</v>
      </c>
      <c r="G641" s="706">
        <v>0</v>
      </c>
      <c r="H641" s="706">
        <v>0</v>
      </c>
      <c r="I641" s="706">
        <v>69622.98</v>
      </c>
      <c r="J641" s="706">
        <v>205199.02</v>
      </c>
      <c r="K641" s="706">
        <v>238124.56</v>
      </c>
      <c r="L641" s="706">
        <v>341374.39</v>
      </c>
      <c r="M641" s="706">
        <v>377507.42</v>
      </c>
      <c r="N641" s="706">
        <v>377507.42</v>
      </c>
      <c r="O641" s="706">
        <v>482435.27</v>
      </c>
      <c r="P641" s="706">
        <v>482435.27</v>
      </c>
      <c r="Q641" s="706">
        <v>0</v>
      </c>
      <c r="R641" s="706">
        <v>0</v>
      </c>
      <c r="S641" s="706">
        <v>53603.92</v>
      </c>
      <c r="T641" s="706">
        <v>53603.92</v>
      </c>
      <c r="U641" s="706">
        <v>0</v>
      </c>
      <c r="V641" s="706">
        <v>0</v>
      </c>
      <c r="W641" s="706">
        <v>0</v>
      </c>
      <c r="X641" s="706">
        <v>2</v>
      </c>
      <c r="Y641" s="706">
        <v>6</v>
      </c>
      <c r="Z641" s="706">
        <v>7</v>
      </c>
      <c r="AA641" s="706">
        <v>10</v>
      </c>
      <c r="AB641" s="706">
        <v>11</v>
      </c>
      <c r="AC641" s="706">
        <v>11</v>
      </c>
      <c r="AD641" s="706">
        <v>14</v>
      </c>
      <c r="AE641" s="706">
        <v>14</v>
      </c>
      <c r="AF641" s="706">
        <v>0</v>
      </c>
      <c r="AG641" s="706">
        <v>0</v>
      </c>
      <c r="AH641" s="706">
        <v>2</v>
      </c>
      <c r="AI641" s="706">
        <v>2</v>
      </c>
      <c r="AJ641" s="905" t="str">
        <f t="shared" si="60"/>
        <v>G42613</v>
      </c>
      <c r="AK641" s="905" t="str">
        <f t="shared" si="61"/>
        <v>VTES-BUICK ENVISTA</v>
      </c>
      <c r="AL641" s="905">
        <f>IFERROR(INDEX(G641:R641,1,MATCH(Parametres!$B$3,G$1:R$1,0)-1)*IF(OR(F641="L",F641="S",F641="I"),-1,1),"")</f>
        <v>-377507.42</v>
      </c>
      <c r="AM641" s="1047">
        <f t="shared" si="56"/>
        <v>-104927.85000000003</v>
      </c>
      <c r="AN641" s="905">
        <f>INDEX(G641:R641,1,MATCH(Parametres!$B$3,G$1:R$1,0))*IF(OR(F641="L",F641="S",F641="I"),-1,1)</f>
        <v>-482435.27</v>
      </c>
      <c r="AO641" s="487" t="str">
        <f>+VLOOKUP($AJ641,Data_Validation!$A:$D,1,0)</f>
        <v>G42613</v>
      </c>
      <c r="AP641" s="487" t="str">
        <f>+VLOOKUP($AJ641,Data_Validation!$A:$D,3,0)</f>
        <v>Véhicules neufs</v>
      </c>
      <c r="AQ641" s="487" t="str">
        <f>+VLOOKUP($AJ641,Data_Validation!$A:$D,4,0)</f>
        <v>Camions détail</v>
      </c>
      <c r="AR641" s="487" t="s">
        <v>299</v>
      </c>
      <c r="AS641" s="487" t="str">
        <f>+VLOOKUP($AJ641,Data_Validation!$A:$E,5,0)</f>
        <v>Oui</v>
      </c>
      <c r="AT641" s="904" t="str">
        <f t="shared" si="57"/>
        <v>G42613</v>
      </c>
      <c r="AU641" s="488" t="str">
        <f t="shared" si="58"/>
        <v>VTES-BUICK ENVISTA</v>
      </c>
      <c r="AV641" s="899">
        <f>IFERROR(INDEX(V641:AG641,1,MATCH(Parametres!$B$3,V$1:AG$1,0)-1)*IF(OR(C641="L",C641="S",C641="I"),-1,1),"")</f>
        <v>11</v>
      </c>
      <c r="AW641" s="899">
        <f t="shared" si="59"/>
        <v>3</v>
      </c>
      <c r="AX641" s="899">
        <f>INDEX(V641:AG641,1,MATCH(Parametres!$B$3,V$1:AG$1,0))*IF(OR(C641="L",C641="S",C641="I"),-1,1)</f>
        <v>14</v>
      </c>
      <c r="AY641" s="487" t="s">
        <v>337</v>
      </c>
      <c r="AZ641" s="487" t="str">
        <f>+VLOOKUP($AJ641,Data_Validation!$A:$E,5,0)</f>
        <v>Oui</v>
      </c>
    </row>
    <row r="642" spans="1:52" ht="15" hidden="1" customHeight="1">
      <c r="A642" s="706" t="s">
        <v>1148</v>
      </c>
      <c r="B642" s="706">
        <v>2026</v>
      </c>
      <c r="C642" s="706" t="s">
        <v>2314</v>
      </c>
      <c r="D642" s="706" t="s">
        <v>2315</v>
      </c>
      <c r="E642" s="706" t="s">
        <v>1149</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905" t="str">
        <f t="shared" si="60"/>
        <v>G42620</v>
      </c>
      <c r="AK642" s="905" t="str">
        <f t="shared" si="61"/>
        <v>VTES-SPICK/COLORDO   -LOC</v>
      </c>
      <c r="AL642" s="905">
        <f>IFERROR(INDEX(G642:R642,1,MATCH(Parametres!$B$3,G$1:R$1,0)-1)*IF(OR(F642="L",F642="S",F642="I"),-1,1),"")</f>
        <v>0</v>
      </c>
      <c r="AM642" s="905">
        <f t="shared" si="56"/>
        <v>0</v>
      </c>
      <c r="AN642" s="905">
        <f>INDEX(G642:R642,1,MATCH(Parametres!$B$3,G$1:R$1,0))*IF(OR(F642="L",F642="S",F642="I"),-1,1)</f>
        <v>0</v>
      </c>
      <c r="AO642" s="487" t="e">
        <f>+VLOOKUP($AJ642,Data_Validation!$A:$D,1,0)</f>
        <v>#N/A</v>
      </c>
      <c r="AP642" s="487" t="e">
        <f>+VLOOKUP($AJ642,Data_Validation!$A:$D,3,0)</f>
        <v>#N/A</v>
      </c>
      <c r="AQ642" s="487" t="e">
        <f>+VLOOKUP($AJ642,Data_Validation!$A:$D,4,0)</f>
        <v>#N/A</v>
      </c>
      <c r="AR642" s="487" t="s">
        <v>299</v>
      </c>
      <c r="AS642" s="487" t="e">
        <f>+VLOOKUP($AJ642,Data_Validation!$A:$E,5,0)</f>
        <v>#N/A</v>
      </c>
      <c r="AT642" s="904" t="str">
        <f t="shared" si="57"/>
        <v>G42620</v>
      </c>
      <c r="AU642" s="488" t="str">
        <f t="shared" si="58"/>
        <v>VTES-SPICK/COLORDO   -LOC</v>
      </c>
      <c r="AV642" s="899">
        <f>IFERROR(INDEX(V642:AG642,1,MATCH(Parametres!$B$3,V$1:AG$1,0)-1)*IF(OR(C642="L",C642="S",C642="I"),-1,1),"")</f>
        <v>0</v>
      </c>
      <c r="AW642" s="899">
        <f t="shared" si="59"/>
        <v>0</v>
      </c>
      <c r="AX642" s="899">
        <f>INDEX(V642:AG642,1,MATCH(Parametres!$B$3,V$1:AG$1,0))*IF(OR(C642="L",C642="S",C642="I"),-1,1)</f>
        <v>0</v>
      </c>
      <c r="AY642" s="487" t="s">
        <v>337</v>
      </c>
      <c r="AZ642" s="487" t="e">
        <f>+VLOOKUP($AJ642,Data_Validation!$A:$E,5,0)</f>
        <v>#N/A</v>
      </c>
    </row>
    <row r="643" spans="1:52" ht="15" hidden="1" customHeight="1">
      <c r="A643" s="706" t="s">
        <v>1148</v>
      </c>
      <c r="B643" s="706">
        <v>2026</v>
      </c>
      <c r="C643" s="706" t="s">
        <v>2316</v>
      </c>
      <c r="D643" s="706" t="s">
        <v>2317</v>
      </c>
      <c r="E643" s="706" t="s">
        <v>1149</v>
      </c>
      <c r="F643" s="706" t="s">
        <v>1149</v>
      </c>
      <c r="G643" s="706">
        <v>62388</v>
      </c>
      <c r="H643" s="706">
        <v>120522.54</v>
      </c>
      <c r="I643" s="706">
        <v>120522.54</v>
      </c>
      <c r="J643" s="706">
        <v>182683.54</v>
      </c>
      <c r="K643" s="706">
        <v>252626.54</v>
      </c>
      <c r="L643" s="706">
        <v>311964.53999999998</v>
      </c>
      <c r="M643" s="706">
        <v>516521.54</v>
      </c>
      <c r="N643" s="706">
        <v>516521.54</v>
      </c>
      <c r="O643" s="706">
        <v>639828.82999999996</v>
      </c>
      <c r="P643" s="706">
        <v>639828.82999999996</v>
      </c>
      <c r="Q643" s="706">
        <v>0</v>
      </c>
      <c r="R643" s="706">
        <v>0</v>
      </c>
      <c r="S643" s="706">
        <v>71092.09</v>
      </c>
      <c r="T643" s="706">
        <v>71092.09</v>
      </c>
      <c r="U643" s="706">
        <v>0</v>
      </c>
      <c r="V643" s="706">
        <v>1</v>
      </c>
      <c r="W643" s="706">
        <v>2</v>
      </c>
      <c r="X643" s="706">
        <v>2</v>
      </c>
      <c r="Y643" s="706">
        <v>3</v>
      </c>
      <c r="Z643" s="706">
        <v>4</v>
      </c>
      <c r="AA643" s="706">
        <v>5</v>
      </c>
      <c r="AB643" s="706">
        <v>8</v>
      </c>
      <c r="AC643" s="706">
        <v>8</v>
      </c>
      <c r="AD643" s="706">
        <v>10</v>
      </c>
      <c r="AE643" s="706">
        <v>10</v>
      </c>
      <c r="AF643" s="706">
        <v>0</v>
      </c>
      <c r="AG643" s="706">
        <v>0</v>
      </c>
      <c r="AH643" s="706">
        <v>1</v>
      </c>
      <c r="AI643" s="706">
        <v>1</v>
      </c>
      <c r="AJ643" s="905" t="str">
        <f t="shared" si="60"/>
        <v>G42700</v>
      </c>
      <c r="AK643" s="905" t="str">
        <f t="shared" si="61"/>
        <v>VTES-TRAVERSE</v>
      </c>
      <c r="AL643" s="905">
        <f>IFERROR(INDEX(G643:R643,1,MATCH(Parametres!$B$3,G$1:R$1,0)-1)*IF(OR(F643="L",F643="S",F643="I"),-1,1),"")</f>
        <v>-516521.54</v>
      </c>
      <c r="AM643" s="905">
        <f t="shared" si="56"/>
        <v>-123307.28999999998</v>
      </c>
      <c r="AN643" s="905">
        <f>INDEX(G643:R643,1,MATCH(Parametres!$B$3,G$1:R$1,0))*IF(OR(F643="L",F643="S",F643="I"),-1,1)</f>
        <v>-639828.82999999996</v>
      </c>
      <c r="AO643" s="487" t="str">
        <f>+VLOOKUP($AJ643,Data_Validation!$A:$D,1,0)</f>
        <v>G42700</v>
      </c>
      <c r="AP643" s="487" t="str">
        <f>+VLOOKUP($AJ643,Data_Validation!$A:$D,3,0)</f>
        <v>Véhicules neufs</v>
      </c>
      <c r="AQ643" s="487" t="str">
        <f>+VLOOKUP($AJ643,Data_Validation!$A:$D,4,0)</f>
        <v>Camions détail</v>
      </c>
      <c r="AR643" s="487" t="s">
        <v>299</v>
      </c>
      <c r="AS643" s="487" t="str">
        <f>+VLOOKUP($AJ643,Data_Validation!$A:$E,5,0)</f>
        <v>Oui</v>
      </c>
      <c r="AT643" s="904" t="str">
        <f t="shared" si="57"/>
        <v>G42700</v>
      </c>
      <c r="AU643" s="488" t="str">
        <f t="shared" si="58"/>
        <v>VTES-TRAVERSE</v>
      </c>
      <c r="AV643" s="899">
        <f>IFERROR(INDEX(V643:AG643,1,MATCH(Parametres!$B$3,V$1:AG$1,0)-1)*IF(OR(C643="L",C643="S",C643="I"),-1,1),"")</f>
        <v>8</v>
      </c>
      <c r="AW643" s="899">
        <f t="shared" si="59"/>
        <v>2</v>
      </c>
      <c r="AX643" s="899">
        <f>INDEX(V643:AG643,1,MATCH(Parametres!$B$3,V$1:AG$1,0))*IF(OR(C643="L",C643="S",C643="I"),-1,1)</f>
        <v>10</v>
      </c>
      <c r="AY643" s="487" t="s">
        <v>337</v>
      </c>
      <c r="AZ643" s="487" t="str">
        <f>+VLOOKUP($AJ643,Data_Validation!$A:$E,5,0)</f>
        <v>Oui</v>
      </c>
    </row>
    <row r="644" spans="1:52" ht="15" hidden="1" customHeight="1">
      <c r="A644" s="706" t="s">
        <v>1148</v>
      </c>
      <c r="B644" s="706">
        <v>2026</v>
      </c>
      <c r="C644" s="706" t="s">
        <v>2318</v>
      </c>
      <c r="D644" s="706" t="s">
        <v>2319</v>
      </c>
      <c r="E644" s="706" t="s">
        <v>1149</v>
      </c>
      <c r="F644" s="706" t="s">
        <v>1149</v>
      </c>
      <c r="G644" s="706">
        <v>0</v>
      </c>
      <c r="H644" s="706">
        <v>0</v>
      </c>
      <c r="I644" s="706">
        <v>0</v>
      </c>
      <c r="J644" s="706">
        <v>78598.5</v>
      </c>
      <c r="K644" s="706">
        <v>144076.42000000001</v>
      </c>
      <c r="L644" s="706">
        <v>144076.42000000001</v>
      </c>
      <c r="M644" s="706">
        <v>144076.42000000001</v>
      </c>
      <c r="N644" s="706">
        <v>144076.42000000001</v>
      </c>
      <c r="O644" s="706">
        <v>144076.42000000001</v>
      </c>
      <c r="P644" s="706">
        <v>144076.42000000001</v>
      </c>
      <c r="Q644" s="706">
        <v>0</v>
      </c>
      <c r="R644" s="706">
        <v>0</v>
      </c>
      <c r="S644" s="706">
        <v>16008.49</v>
      </c>
      <c r="T644" s="706">
        <v>16008.49</v>
      </c>
      <c r="U644" s="706">
        <v>0</v>
      </c>
      <c r="V644" s="706">
        <v>0</v>
      </c>
      <c r="W644" s="706">
        <v>0</v>
      </c>
      <c r="X644" s="706">
        <v>0</v>
      </c>
      <c r="Y644" s="706">
        <v>1</v>
      </c>
      <c r="Z644" s="706">
        <v>2</v>
      </c>
      <c r="AA644" s="706">
        <v>2</v>
      </c>
      <c r="AB644" s="706">
        <v>2</v>
      </c>
      <c r="AC644" s="706">
        <v>2</v>
      </c>
      <c r="AD644" s="706">
        <v>2</v>
      </c>
      <c r="AE644" s="706">
        <v>2</v>
      </c>
      <c r="AF644" s="706">
        <v>0</v>
      </c>
      <c r="AG644" s="706">
        <v>0</v>
      </c>
      <c r="AH644" s="706">
        <v>0</v>
      </c>
      <c r="AI644" s="706">
        <v>0</v>
      </c>
      <c r="AJ644" s="905" t="str">
        <f t="shared" si="60"/>
        <v>G42800</v>
      </c>
      <c r="AK644" s="905" t="str">
        <f t="shared" si="61"/>
        <v>VENTES BUICK ENCLAVE</v>
      </c>
      <c r="AL644" s="905">
        <f>IFERROR(INDEX(G644:R644,1,MATCH(Parametres!$B$3,G$1:R$1,0)-1)*IF(OR(F644="L",F644="S",F644="I"),-1,1),"")</f>
        <v>-144076.42000000001</v>
      </c>
      <c r="AM644" s="905">
        <f t="shared" ref="AM644:AM663" si="62">AN644-AL644</f>
        <v>0</v>
      </c>
      <c r="AN644" s="905">
        <f>INDEX(G644:R644,1,MATCH(Parametres!$B$3,G$1:R$1,0))*IF(OR(F644="L",F644="S",F644="I"),-1,1)</f>
        <v>-144076.42000000001</v>
      </c>
      <c r="AO644" s="487" t="str">
        <f>+VLOOKUP($AJ644,Data_Validation!$A:$D,1,0)</f>
        <v>G42800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G42800</v>
      </c>
      <c r="AU644" s="488" t="str">
        <f t="shared" ref="AU644:AU663" si="64">D644</f>
        <v>VENTES BUICK ENCLAVE</v>
      </c>
      <c r="AV644" s="899">
        <f>IFERROR(INDEX(V644:AG644,1,MATCH(Parametres!$B$3,V$1:AG$1,0)-1)*IF(OR(C644="L",C644="S",C644="I"),-1,1),"")</f>
        <v>2</v>
      </c>
      <c r="AW644" s="899">
        <f t="shared" ref="AW644:AW663" si="65">AX644-AV644</f>
        <v>0</v>
      </c>
      <c r="AX644" s="899">
        <f>INDEX(V644:AG644,1,MATCH(Parametres!$B$3,V$1:AG$1,0))*IF(OR(C644="L",C644="S",C644="I"),-1,1)</f>
        <v>2</v>
      </c>
      <c r="AY644" s="487" t="s">
        <v>337</v>
      </c>
      <c r="AZ644" s="487" t="str">
        <f>+VLOOKUP($AJ644,Data_Validation!$A:$E,5,0)</f>
        <v>Oui</v>
      </c>
    </row>
    <row r="645" spans="1:52" ht="15" hidden="1" customHeight="1">
      <c r="A645" s="706" t="s">
        <v>1148</v>
      </c>
      <c r="B645" s="706">
        <v>2026</v>
      </c>
      <c r="C645" s="706" t="s">
        <v>2320</v>
      </c>
      <c r="D645" s="706" t="s">
        <v>2321</v>
      </c>
      <c r="E645" s="706" t="s">
        <v>1149</v>
      </c>
      <c r="F645" s="706" t="s">
        <v>1149</v>
      </c>
      <c r="G645" s="706">
        <v>39888.67</v>
      </c>
      <c r="H645" s="706">
        <v>73703.41</v>
      </c>
      <c r="I645" s="706">
        <v>73703.41</v>
      </c>
      <c r="J645" s="706">
        <v>112838.66</v>
      </c>
      <c r="K645" s="706">
        <v>112838.66</v>
      </c>
      <c r="L645" s="706">
        <v>186623.41</v>
      </c>
      <c r="M645" s="706">
        <v>186623.41</v>
      </c>
      <c r="N645" s="706">
        <v>224877.41</v>
      </c>
      <c r="O645" s="706">
        <v>336743.91</v>
      </c>
      <c r="P645" s="706">
        <v>336743.91</v>
      </c>
      <c r="Q645" s="706">
        <v>0</v>
      </c>
      <c r="R645" s="706">
        <v>0</v>
      </c>
      <c r="S645" s="706">
        <v>37415.99</v>
      </c>
      <c r="T645" s="706">
        <v>37415.99</v>
      </c>
      <c r="U645" s="706">
        <v>0</v>
      </c>
      <c r="V645" s="706">
        <v>1</v>
      </c>
      <c r="W645" s="706">
        <v>2</v>
      </c>
      <c r="X645" s="706">
        <v>2</v>
      </c>
      <c r="Y645" s="706">
        <v>3</v>
      </c>
      <c r="Z645" s="706">
        <v>3</v>
      </c>
      <c r="AA645" s="706">
        <v>5</v>
      </c>
      <c r="AB645" s="706">
        <v>5</v>
      </c>
      <c r="AC645" s="706">
        <v>6</v>
      </c>
      <c r="AD645" s="706">
        <v>9</v>
      </c>
      <c r="AE645" s="706">
        <v>9</v>
      </c>
      <c r="AF645" s="706">
        <v>0</v>
      </c>
      <c r="AG645" s="706">
        <v>0</v>
      </c>
      <c r="AH645" s="706">
        <v>1</v>
      </c>
      <c r="AI645" s="706">
        <v>1</v>
      </c>
      <c r="AJ645" s="905" t="str">
        <f t="shared" si="60"/>
        <v>G42804</v>
      </c>
      <c r="AK645" s="905" t="str">
        <f t="shared" si="61"/>
        <v>VENTE BUICK ENCORE</v>
      </c>
      <c r="AL645" s="905">
        <f>IFERROR(INDEX(G645:R645,1,MATCH(Parametres!$B$3,G$1:R$1,0)-1)*IF(OR(F645="L",F645="S",F645="I"),-1,1),"")</f>
        <v>-224877.41</v>
      </c>
      <c r="AM645" s="905">
        <f t="shared" si="62"/>
        <v>-111866.49999999997</v>
      </c>
      <c r="AN645" s="905">
        <f>INDEX(G645:R645,1,MATCH(Parametres!$B$3,G$1:R$1,0))*IF(OR(F645="L",F645="S",F645="I"),-1,1)</f>
        <v>-336743.91</v>
      </c>
      <c r="AO645" s="487" t="str">
        <f>+VLOOKUP($AJ645,Data_Validation!$A:$D,1,0)</f>
        <v>G42804</v>
      </c>
      <c r="AP645" s="487" t="str">
        <f>+VLOOKUP($AJ645,Data_Validation!$A:$D,3,0)</f>
        <v>Véhicules neufs</v>
      </c>
      <c r="AQ645" s="487" t="str">
        <f>+VLOOKUP($AJ645,Data_Validation!$A:$D,4,0)</f>
        <v>Camions détail</v>
      </c>
      <c r="AR645" s="487" t="s">
        <v>299</v>
      </c>
      <c r="AS645" s="487" t="str">
        <f>+VLOOKUP($AJ645,Data_Validation!$A:$E,5,0)</f>
        <v>Oui</v>
      </c>
      <c r="AT645" s="904" t="str">
        <f t="shared" si="63"/>
        <v>G42804</v>
      </c>
      <c r="AU645" s="488" t="str">
        <f t="shared" si="64"/>
        <v>VENTE BUICK ENCORE</v>
      </c>
      <c r="AV645" s="899">
        <f>IFERROR(INDEX(V645:AG645,1,MATCH(Parametres!$B$3,V$1:AG$1,0)-1)*IF(OR(C645="L",C645="S",C645="I"),-1,1),"")</f>
        <v>6</v>
      </c>
      <c r="AW645" s="899">
        <f t="shared" si="65"/>
        <v>3</v>
      </c>
      <c r="AX645" s="899">
        <f>INDEX(V645:AG645,1,MATCH(Parametres!$B$3,V$1:AG$1,0))*IF(OR(C645="L",C645="S",C645="I"),-1,1)</f>
        <v>9</v>
      </c>
      <c r="AY645" s="487" t="s">
        <v>337</v>
      </c>
      <c r="AZ645" s="487" t="str">
        <f>+VLOOKUP($AJ645,Data_Validation!$A:$E,5,0)</f>
        <v>Oui</v>
      </c>
    </row>
    <row r="646" spans="1:52" ht="15" hidden="1" customHeight="1">
      <c r="A646" s="706" t="s">
        <v>1148</v>
      </c>
      <c r="B646" s="706">
        <v>2026</v>
      </c>
      <c r="C646" s="706" t="s">
        <v>2322</v>
      </c>
      <c r="D646" s="706" t="s">
        <v>2323</v>
      </c>
      <c r="E646" s="706" t="s">
        <v>1149</v>
      </c>
      <c r="F646" s="706" t="s">
        <v>1149</v>
      </c>
      <c r="G646" s="706">
        <v>0</v>
      </c>
      <c r="H646" s="706">
        <v>0</v>
      </c>
      <c r="I646" s="706">
        <v>0</v>
      </c>
      <c r="J646" s="706">
        <v>0</v>
      </c>
      <c r="K646" s="706">
        <v>0</v>
      </c>
      <c r="L646" s="706">
        <v>0</v>
      </c>
      <c r="M646" s="706">
        <v>0</v>
      </c>
      <c r="N646" s="706">
        <v>0</v>
      </c>
      <c r="O646" s="706">
        <v>0</v>
      </c>
      <c r="P646" s="706">
        <v>0</v>
      </c>
      <c r="Q646" s="706">
        <v>0</v>
      </c>
      <c r="R646" s="706">
        <v>0</v>
      </c>
      <c r="S646" s="706">
        <v>0</v>
      </c>
      <c r="T646" s="706">
        <v>0</v>
      </c>
      <c r="U646" s="706">
        <v>0</v>
      </c>
      <c r="V646" s="706">
        <v>0</v>
      </c>
      <c r="W646" s="706">
        <v>0</v>
      </c>
      <c r="X646" s="706">
        <v>0</v>
      </c>
      <c r="Y646" s="706">
        <v>0</v>
      </c>
      <c r="Z646" s="706">
        <v>0</v>
      </c>
      <c r="AA646" s="706">
        <v>0</v>
      </c>
      <c r="AB646" s="706">
        <v>0</v>
      </c>
      <c r="AC646" s="706">
        <v>0</v>
      </c>
      <c r="AD646" s="706">
        <v>0</v>
      </c>
      <c r="AE646" s="706">
        <v>0</v>
      </c>
      <c r="AF646" s="706">
        <v>0</v>
      </c>
      <c r="AG646" s="706">
        <v>0</v>
      </c>
      <c r="AH646" s="706">
        <v>0</v>
      </c>
      <c r="AI646" s="706">
        <v>0</v>
      </c>
      <c r="AJ646" s="905" t="str">
        <f t="shared" si="60"/>
        <v>G42820</v>
      </c>
      <c r="AK646" s="905" t="str">
        <f t="shared" si="61"/>
        <v>VTES-TRAIL BALSER/EXT-LOC</v>
      </c>
      <c r="AL646" s="905">
        <f>IFERROR(INDEX(G646:R646,1,MATCH(Parametres!$B$3,G$1:R$1,0)-1)*IF(OR(F646="L",F646="S",F646="I"),-1,1),"")</f>
        <v>0</v>
      </c>
      <c r="AM646" s="905">
        <f t="shared" si="62"/>
        <v>0</v>
      </c>
      <c r="AN646" s="905">
        <f>INDEX(G646:R646,1,MATCH(Parametres!$B$3,G$1:R$1,0))*IF(OR(F646="L",F646="S",F646="I"),-1,1)</f>
        <v>0</v>
      </c>
      <c r="AO646" s="487" t="e">
        <f>+VLOOKUP($AJ646,Data_Validation!$A:$D,1,0)</f>
        <v>#N/A</v>
      </c>
      <c r="AP646" s="487" t="e">
        <f>+VLOOKUP($AJ646,Data_Validation!$A:$D,3,0)</f>
        <v>#N/A</v>
      </c>
      <c r="AQ646" s="487" t="e">
        <f>+VLOOKUP($AJ646,Data_Validation!$A:$D,4,0)</f>
        <v>#N/A</v>
      </c>
      <c r="AR646" s="487" t="s">
        <v>299</v>
      </c>
      <c r="AS646" s="487" t="e">
        <f>+VLOOKUP($AJ646,Data_Validation!$A:$E,5,0)</f>
        <v>#N/A</v>
      </c>
      <c r="AT646" s="904" t="str">
        <f t="shared" si="63"/>
        <v>G42820</v>
      </c>
      <c r="AU646" s="488" t="str">
        <f t="shared" si="64"/>
        <v>VTES-TRAIL BALSER/EXT-LOC</v>
      </c>
      <c r="AV646" s="899">
        <f>IFERROR(INDEX(V646:AG646,1,MATCH(Parametres!$B$3,V$1:AG$1,0)-1)*IF(OR(C646="L",C646="S",C646="I"),-1,1),"")</f>
        <v>0</v>
      </c>
      <c r="AW646" s="899">
        <f t="shared" si="65"/>
        <v>0</v>
      </c>
      <c r="AX646" s="899">
        <f>INDEX(V646:AG646,1,MATCH(Parametres!$B$3,V$1:AG$1,0))*IF(OR(C646="L",C646="S",C646="I"),-1,1)</f>
        <v>0</v>
      </c>
      <c r="AY646" s="487" t="s">
        <v>337</v>
      </c>
      <c r="AZ646" s="487" t="e">
        <f>+VLOOKUP($AJ646,Data_Validation!$A:$E,5,0)</f>
        <v>#N/A</v>
      </c>
    </row>
    <row r="647" spans="1:52" ht="15" hidden="1" customHeight="1">
      <c r="A647" s="706" t="s">
        <v>1148</v>
      </c>
      <c r="B647" s="706">
        <v>2026</v>
      </c>
      <c r="C647" s="706" t="s">
        <v>2324</v>
      </c>
      <c r="D647" s="706" t="s">
        <v>2325</v>
      </c>
      <c r="E647" s="706" t="s">
        <v>1149</v>
      </c>
      <c r="F647" s="706" t="s">
        <v>1149</v>
      </c>
      <c r="G647" s="706">
        <v>168379.09</v>
      </c>
      <c r="H647" s="706">
        <v>262448.33</v>
      </c>
      <c r="I647" s="706">
        <v>360576.65</v>
      </c>
      <c r="J647" s="706">
        <v>483517.66</v>
      </c>
      <c r="K647" s="706">
        <v>549168.63</v>
      </c>
      <c r="L647" s="706">
        <v>579311.63</v>
      </c>
      <c r="M647" s="706">
        <v>739326.38</v>
      </c>
      <c r="N647" s="706">
        <v>828032.88</v>
      </c>
      <c r="O647" s="706">
        <v>958767.88</v>
      </c>
      <c r="P647" s="706">
        <v>1028403.38</v>
      </c>
      <c r="Q647" s="706">
        <v>0</v>
      </c>
      <c r="R647" s="706">
        <v>0</v>
      </c>
      <c r="S647" s="706">
        <v>106529.76</v>
      </c>
      <c r="T647" s="706">
        <v>106529.76</v>
      </c>
      <c r="U647" s="706">
        <v>0</v>
      </c>
      <c r="V647" s="706">
        <v>5</v>
      </c>
      <c r="W647" s="706">
        <v>8</v>
      </c>
      <c r="X647" s="706">
        <v>11</v>
      </c>
      <c r="Y647" s="706">
        <v>15</v>
      </c>
      <c r="Z647" s="706">
        <v>17</v>
      </c>
      <c r="AA647" s="706">
        <v>18</v>
      </c>
      <c r="AB647" s="706">
        <v>23</v>
      </c>
      <c r="AC647" s="706">
        <v>26</v>
      </c>
      <c r="AD647" s="706">
        <v>30</v>
      </c>
      <c r="AE647" s="706">
        <v>32</v>
      </c>
      <c r="AF647" s="706">
        <v>0</v>
      </c>
      <c r="AG647" s="706">
        <v>0</v>
      </c>
      <c r="AH647" s="706">
        <v>3</v>
      </c>
      <c r="AI647" s="706">
        <v>3</v>
      </c>
      <c r="AJ647" s="905" t="str">
        <f t="shared" si="60"/>
        <v>G42850</v>
      </c>
      <c r="AK647" s="905" t="str">
        <f t="shared" si="61"/>
        <v>VENTES CHEVROLET TRAX</v>
      </c>
      <c r="AL647" s="905">
        <f>IFERROR(INDEX(G647:R647,1,MATCH(Parametres!$B$3,G$1:R$1,0)-1)*IF(OR(F647="L",F647="S",F647="I"),-1,1),"")</f>
        <v>-828032.88</v>
      </c>
      <c r="AM647" s="905">
        <f t="shared" si="62"/>
        <v>-130735</v>
      </c>
      <c r="AN647" s="905">
        <f>INDEX(G647:R647,1,MATCH(Parametres!$B$3,G$1:R$1,0))*IF(OR(F647="L",F647="S",F647="I"),-1,1)</f>
        <v>-958767.88</v>
      </c>
      <c r="AO647" s="487" t="str">
        <f>+VLOOKUP($AJ647,Data_Validation!$A:$D,1,0)</f>
        <v>G42850</v>
      </c>
      <c r="AP647" s="487" t="str">
        <f>+VLOOKUP($AJ647,Data_Validation!$A:$D,3,0)</f>
        <v>Véhicules neufs</v>
      </c>
      <c r="AQ647" s="487" t="str">
        <f>+VLOOKUP($AJ647,Data_Validation!$A:$D,4,0)</f>
        <v>Camions détail</v>
      </c>
      <c r="AR647" s="487" t="s">
        <v>299</v>
      </c>
      <c r="AS647" s="487" t="str">
        <f>+VLOOKUP($AJ647,Data_Validation!$A:$E,5,0)</f>
        <v>Oui</v>
      </c>
      <c r="AT647" s="904" t="str">
        <f t="shared" si="63"/>
        <v>G42850</v>
      </c>
      <c r="AU647" s="488" t="str">
        <f t="shared" si="64"/>
        <v>VENTES CHEVROLET TRAX</v>
      </c>
      <c r="AV647" s="899">
        <f>IFERROR(INDEX(V647:AG647,1,MATCH(Parametres!$B$3,V$1:AG$1,0)-1)*IF(OR(C647="L",C647="S",C647="I"),-1,1),"")</f>
        <v>26</v>
      </c>
      <c r="AW647" s="899">
        <f t="shared" si="65"/>
        <v>4</v>
      </c>
      <c r="AX647" s="899">
        <f>INDEX(V647:AG647,1,MATCH(Parametres!$B$3,V$1:AG$1,0))*IF(OR(C647="L",C647="S",C647="I"),-1,1)</f>
        <v>30</v>
      </c>
      <c r="AY647" s="487" t="s">
        <v>337</v>
      </c>
      <c r="AZ647" s="487" t="str">
        <f>+VLOOKUP($AJ647,Data_Validation!$A:$E,5,0)</f>
        <v>Oui</v>
      </c>
    </row>
    <row r="648" spans="1:52" ht="15" hidden="1" customHeight="1">
      <c r="A648" s="706" t="s">
        <v>1148</v>
      </c>
      <c r="B648" s="706">
        <v>2026</v>
      </c>
      <c r="C648" s="706" t="s">
        <v>2326</v>
      </c>
      <c r="D648" s="706" t="s">
        <v>2327</v>
      </c>
      <c r="E648" s="706" t="s">
        <v>1149</v>
      </c>
      <c r="F648" s="706" t="s">
        <v>1149</v>
      </c>
      <c r="G648" s="706">
        <v>287291.71999999997</v>
      </c>
      <c r="H648" s="706">
        <v>383345.72</v>
      </c>
      <c r="I648" s="706">
        <v>648665.23</v>
      </c>
      <c r="J648" s="706">
        <v>648665.23</v>
      </c>
      <c r="K648" s="706">
        <v>719273.23</v>
      </c>
      <c r="L648" s="706">
        <v>908769.62</v>
      </c>
      <c r="M648" s="706">
        <v>908769.62</v>
      </c>
      <c r="N648" s="706">
        <v>1007730.36</v>
      </c>
      <c r="O648" s="706">
        <v>1007730.36</v>
      </c>
      <c r="P648" s="706">
        <v>1007730.36</v>
      </c>
      <c r="Q648" s="706">
        <v>0</v>
      </c>
      <c r="R648" s="706">
        <v>0</v>
      </c>
      <c r="S648" s="706">
        <v>111970.04</v>
      </c>
      <c r="T648" s="706">
        <v>111970.04</v>
      </c>
      <c r="U648" s="706">
        <v>0</v>
      </c>
      <c r="V648" s="706">
        <v>3</v>
      </c>
      <c r="W648" s="706">
        <v>4</v>
      </c>
      <c r="X648" s="706">
        <v>7</v>
      </c>
      <c r="Y648" s="706">
        <v>7</v>
      </c>
      <c r="Z648" s="706">
        <v>8</v>
      </c>
      <c r="AA648" s="706">
        <v>10</v>
      </c>
      <c r="AB648" s="706">
        <v>10</v>
      </c>
      <c r="AC648" s="706">
        <v>11</v>
      </c>
      <c r="AD648" s="706">
        <v>11</v>
      </c>
      <c r="AE648" s="706">
        <v>11</v>
      </c>
      <c r="AF648" s="706">
        <v>0</v>
      </c>
      <c r="AG648" s="706">
        <v>0</v>
      </c>
      <c r="AH648" s="706">
        <v>1</v>
      </c>
      <c r="AI648" s="706">
        <v>1</v>
      </c>
      <c r="AJ648" s="905" t="str">
        <f t="shared" si="60"/>
        <v>G42900</v>
      </c>
      <c r="AK648" s="905" t="str">
        <f t="shared" si="61"/>
        <v>VTES-TAHOE/SUBURBAN</v>
      </c>
      <c r="AL648" s="905">
        <f>IFERROR(INDEX(G648:R648,1,MATCH(Parametres!$B$3,G$1:R$1,0)-1)*IF(OR(F648="L",F648="S",F648="I"),-1,1),"")</f>
        <v>-1007730.36</v>
      </c>
      <c r="AM648" s="905">
        <f t="shared" si="62"/>
        <v>0</v>
      </c>
      <c r="AN648" s="905">
        <f>INDEX(G648:R648,1,MATCH(Parametres!$B$3,G$1:R$1,0))*IF(OR(F648="L",F648="S",F648="I"),-1,1)</f>
        <v>-1007730.36</v>
      </c>
      <c r="AO648" s="487" t="str">
        <f>+VLOOKUP($AJ648,Data_Validation!$A:$D,1,0)</f>
        <v>G42900</v>
      </c>
      <c r="AP648" s="487" t="str">
        <f>+VLOOKUP($AJ648,Data_Validation!$A:$D,3,0)</f>
        <v>Véhicules neufs</v>
      </c>
      <c r="AQ648" s="487" t="str">
        <f>+VLOOKUP($AJ648,Data_Validation!$A:$D,4,0)</f>
        <v>Camions détail</v>
      </c>
      <c r="AR648" s="487" t="s">
        <v>299</v>
      </c>
      <c r="AS648" s="487" t="str">
        <f>+VLOOKUP($AJ648,Data_Validation!$A:$E,5,0)</f>
        <v>Oui</v>
      </c>
      <c r="AT648" s="904" t="str">
        <f t="shared" si="63"/>
        <v>G42900</v>
      </c>
      <c r="AU648" s="488" t="str">
        <f t="shared" si="64"/>
        <v>VTES-TAHOE/SUBURBAN</v>
      </c>
      <c r="AV648" s="899">
        <f>IFERROR(INDEX(V648:AG648,1,MATCH(Parametres!$B$3,V$1:AG$1,0)-1)*IF(OR(C648="L",C648="S",C648="I"),-1,1),"")</f>
        <v>11</v>
      </c>
      <c r="AW648" s="899">
        <f t="shared" si="65"/>
        <v>0</v>
      </c>
      <c r="AX648" s="899">
        <f>INDEX(V648:AG648,1,MATCH(Parametres!$B$3,V$1:AG$1,0))*IF(OR(C648="L",C648="S",C648="I"),-1,1)</f>
        <v>11</v>
      </c>
      <c r="AY648" s="487" t="s">
        <v>337</v>
      </c>
      <c r="AZ648" s="487" t="str">
        <f>+VLOOKUP($AJ648,Data_Validation!$A:$E,5,0)</f>
        <v>Oui</v>
      </c>
    </row>
    <row r="649" spans="1:52" ht="15" hidden="1" customHeight="1">
      <c r="A649" s="706" t="s">
        <v>1148</v>
      </c>
      <c r="B649" s="706">
        <v>2026</v>
      </c>
      <c r="C649" s="706" t="s">
        <v>2328</v>
      </c>
      <c r="D649" s="706" t="s">
        <v>2329</v>
      </c>
      <c r="E649" s="706" t="s">
        <v>1149</v>
      </c>
      <c r="F649" s="706" t="s">
        <v>1149</v>
      </c>
      <c r="G649" s="706">
        <v>289436.21999999997</v>
      </c>
      <c r="H649" s="706">
        <v>585097.43999999994</v>
      </c>
      <c r="I649" s="706">
        <v>1072442.8400000001</v>
      </c>
      <c r="J649" s="706">
        <v>1373843.79</v>
      </c>
      <c r="K649" s="706">
        <v>1836796.65</v>
      </c>
      <c r="L649" s="706">
        <v>2376096.3199999998</v>
      </c>
      <c r="M649" s="706">
        <v>2681788.81</v>
      </c>
      <c r="N649" s="706">
        <v>2823888.81</v>
      </c>
      <c r="O649" s="706">
        <v>3249186.56</v>
      </c>
      <c r="P649" s="706">
        <v>3319174.03</v>
      </c>
      <c r="Q649" s="706">
        <v>0</v>
      </c>
      <c r="R649" s="706">
        <v>0</v>
      </c>
      <c r="S649" s="706">
        <v>361020.73</v>
      </c>
      <c r="T649" s="706">
        <v>361020.73</v>
      </c>
      <c r="U649" s="706">
        <v>0</v>
      </c>
      <c r="V649" s="706">
        <v>4</v>
      </c>
      <c r="W649" s="706">
        <v>8</v>
      </c>
      <c r="X649" s="706">
        <v>14</v>
      </c>
      <c r="Y649" s="706">
        <v>18</v>
      </c>
      <c r="Z649" s="706">
        <v>24</v>
      </c>
      <c r="AA649" s="706">
        <v>31</v>
      </c>
      <c r="AB649" s="706">
        <v>35</v>
      </c>
      <c r="AC649" s="706">
        <v>37</v>
      </c>
      <c r="AD649" s="706">
        <v>43</v>
      </c>
      <c r="AE649" s="706">
        <v>44</v>
      </c>
      <c r="AF649" s="706">
        <v>0</v>
      </c>
      <c r="AG649" s="706">
        <v>0</v>
      </c>
      <c r="AH649" s="706">
        <v>5</v>
      </c>
      <c r="AI649" s="706">
        <v>5</v>
      </c>
      <c r="AJ649" s="905" t="str">
        <f t="shared" si="60"/>
        <v>G43000</v>
      </c>
      <c r="AK649" s="905" t="str">
        <f t="shared" si="61"/>
        <v>VTES-CL 1500 SILVERADO</v>
      </c>
      <c r="AL649" s="905">
        <f>IFERROR(INDEX(G649:R649,1,MATCH(Parametres!$B$3,G$1:R$1,0)-1)*IF(OR(F649="L",F649="S",F649="I"),-1,1),"")</f>
        <v>-2823888.81</v>
      </c>
      <c r="AM649" s="905">
        <f t="shared" si="62"/>
        <v>-425297.75</v>
      </c>
      <c r="AN649" s="905">
        <f>INDEX(G649:R649,1,MATCH(Parametres!$B$3,G$1:R$1,0))*IF(OR(F649="L",F649="S",F649="I"),-1,1)</f>
        <v>-3249186.56</v>
      </c>
      <c r="AO649" s="487" t="str">
        <f>+VLOOKUP($AJ649,Data_Validation!$A:$D,1,0)</f>
        <v>G43000</v>
      </c>
      <c r="AP649" s="487" t="str">
        <f>+VLOOKUP($AJ649,Data_Validation!$A:$D,3,0)</f>
        <v>Véhicules neufs</v>
      </c>
      <c r="AQ649" s="487" t="str">
        <f>+VLOOKUP($AJ649,Data_Validation!$A:$D,4,0)</f>
        <v>Camions détail</v>
      </c>
      <c r="AR649" s="487" t="s">
        <v>299</v>
      </c>
      <c r="AS649" s="487" t="str">
        <f>+VLOOKUP($AJ649,Data_Validation!$A:$E,5,0)</f>
        <v>Oui</v>
      </c>
      <c r="AT649" s="904" t="str">
        <f t="shared" si="63"/>
        <v>G43000</v>
      </c>
      <c r="AU649" s="488" t="str">
        <f t="shared" si="64"/>
        <v>VTES-CL 1500 SILVERADO</v>
      </c>
      <c r="AV649" s="899">
        <f>IFERROR(INDEX(V649:AG649,1,MATCH(Parametres!$B$3,V$1:AG$1,0)-1)*IF(OR(C649="L",C649="S",C649="I"),-1,1),"")</f>
        <v>37</v>
      </c>
      <c r="AW649" s="899">
        <f t="shared" si="65"/>
        <v>6</v>
      </c>
      <c r="AX649" s="899">
        <f>INDEX(V649:AG649,1,MATCH(Parametres!$B$3,V$1:AG$1,0))*IF(OR(C649="L",C649="S",C649="I"),-1,1)</f>
        <v>43</v>
      </c>
      <c r="AY649" s="487" t="s">
        <v>337</v>
      </c>
      <c r="AZ649" s="487" t="str">
        <f>+VLOOKUP($AJ649,Data_Validation!$A:$E,5,0)</f>
        <v>Oui</v>
      </c>
    </row>
    <row r="650" spans="1:52" ht="15" hidden="1" customHeight="1">
      <c r="A650" s="706" t="s">
        <v>1148</v>
      </c>
      <c r="B650" s="706">
        <v>2026</v>
      </c>
      <c r="C650" s="706" t="s">
        <v>2330</v>
      </c>
      <c r="D650" s="706" t="s">
        <v>2331</v>
      </c>
      <c r="E650" s="706" t="s">
        <v>1149</v>
      </c>
      <c r="F650" s="706" t="s">
        <v>1149</v>
      </c>
      <c r="G650" s="706">
        <v>0</v>
      </c>
      <c r="H650" s="706">
        <v>0</v>
      </c>
      <c r="I650" s="706">
        <v>0</v>
      </c>
      <c r="J650" s="706">
        <v>223630.12</v>
      </c>
      <c r="K650" s="706">
        <v>223630.12</v>
      </c>
      <c r="L650" s="706">
        <v>223630.12</v>
      </c>
      <c r="M650" s="706">
        <v>337598.12</v>
      </c>
      <c r="N650" s="706">
        <v>337598.12</v>
      </c>
      <c r="O650" s="706">
        <v>431610.67</v>
      </c>
      <c r="P650" s="706">
        <v>431610.67</v>
      </c>
      <c r="Q650" s="706">
        <v>0</v>
      </c>
      <c r="R650" s="706">
        <v>0</v>
      </c>
      <c r="S650" s="706">
        <v>47956.74</v>
      </c>
      <c r="T650" s="706">
        <v>47956.74</v>
      </c>
      <c r="U650" s="706">
        <v>0</v>
      </c>
      <c r="V650" s="706">
        <v>0</v>
      </c>
      <c r="W650" s="706">
        <v>0</v>
      </c>
      <c r="X650" s="706">
        <v>0</v>
      </c>
      <c r="Y650" s="706">
        <v>2</v>
      </c>
      <c r="Z650" s="706">
        <v>2</v>
      </c>
      <c r="AA650" s="706">
        <v>2</v>
      </c>
      <c r="AB650" s="706">
        <v>3</v>
      </c>
      <c r="AC650" s="706">
        <v>3</v>
      </c>
      <c r="AD650" s="706">
        <v>4</v>
      </c>
      <c r="AE650" s="706">
        <v>4</v>
      </c>
      <c r="AF650" s="706">
        <v>0</v>
      </c>
      <c r="AG650" s="706">
        <v>0</v>
      </c>
      <c r="AH650" s="706">
        <v>0</v>
      </c>
      <c r="AI650" s="706">
        <v>0</v>
      </c>
      <c r="AJ650" s="905" t="str">
        <f t="shared" si="60"/>
        <v>G43001</v>
      </c>
      <c r="AK650" s="905" t="str">
        <f t="shared" si="61"/>
        <v>VTES - SILVERADO EV</v>
      </c>
      <c r="AL650" s="905">
        <f>IFERROR(INDEX(G650:R650,1,MATCH(Parametres!$B$3,G$1:R$1,0)-1)*IF(OR(F650="L",F650="S",F650="I"),-1,1),"")</f>
        <v>-337598.12</v>
      </c>
      <c r="AM650" s="905">
        <f t="shared" si="62"/>
        <v>-94012.549999999988</v>
      </c>
      <c r="AN650" s="905">
        <f>INDEX(G650:R650,1,MATCH(Parametres!$B$3,G$1:R$1,0))*IF(OR(F650="L",F650="S",F650="I"),-1,1)</f>
        <v>-431610.67</v>
      </c>
      <c r="AO650" s="487" t="str">
        <f>+VLOOKUP($AJ650,Data_Validation!$A:$D,1,0)</f>
        <v>G43001</v>
      </c>
      <c r="AP650" s="487" t="str">
        <f>+VLOOKUP($AJ650,Data_Validation!$A:$D,3,0)</f>
        <v>Véhicules neufs</v>
      </c>
      <c r="AQ650" s="487" t="str">
        <f>+VLOOKUP($AJ650,Data_Validation!$A:$D,4,0)</f>
        <v>Camions electriques</v>
      </c>
      <c r="AR650" s="487" t="s">
        <v>299</v>
      </c>
      <c r="AS650" s="487" t="str">
        <f>+VLOOKUP($AJ650,Data_Validation!$A:$E,5,0)</f>
        <v>Oui</v>
      </c>
      <c r="AT650" s="904" t="str">
        <f t="shared" si="63"/>
        <v>G43001</v>
      </c>
      <c r="AU650" s="488" t="str">
        <f t="shared" si="64"/>
        <v>VTES - SILVERADO EV</v>
      </c>
      <c r="AV650" s="899">
        <f>IFERROR(INDEX(V650:AG650,1,MATCH(Parametres!$B$3,V$1:AG$1,0)-1)*IF(OR(C650="L",C650="S",C650="I"),-1,1),"")</f>
        <v>3</v>
      </c>
      <c r="AW650" s="899">
        <f t="shared" si="65"/>
        <v>1</v>
      </c>
      <c r="AX650" s="899">
        <f>INDEX(V650:AG650,1,MATCH(Parametres!$B$3,V$1:AG$1,0))*IF(OR(C650="L",C650="S",C650="I"),-1,1)</f>
        <v>4</v>
      </c>
      <c r="AY650" s="487" t="s">
        <v>337</v>
      </c>
      <c r="AZ650" s="487" t="str">
        <f>+VLOOKUP($AJ650,Data_Validation!$A:$E,5,0)</f>
        <v>Oui</v>
      </c>
    </row>
    <row r="651" spans="1:52" ht="15" hidden="1" customHeight="1">
      <c r="A651" s="706" t="s">
        <v>1148</v>
      </c>
      <c r="B651" s="706">
        <v>2026</v>
      </c>
      <c r="C651" s="706" t="s">
        <v>2332</v>
      </c>
      <c r="D651" s="706" t="s">
        <v>2333</v>
      </c>
      <c r="E651" s="706" t="s">
        <v>1149</v>
      </c>
      <c r="F651" s="706" t="s">
        <v>1149</v>
      </c>
      <c r="G651" s="706">
        <v>98800</v>
      </c>
      <c r="H651" s="706">
        <v>416993.4</v>
      </c>
      <c r="I651" s="706">
        <v>761414.4</v>
      </c>
      <c r="J651" s="706">
        <v>761414.4</v>
      </c>
      <c r="K651" s="706">
        <v>1002240.95</v>
      </c>
      <c r="L651" s="706">
        <v>1426646.45</v>
      </c>
      <c r="M651" s="706">
        <v>1687018.95</v>
      </c>
      <c r="N651" s="706">
        <v>1778089.07</v>
      </c>
      <c r="O651" s="706">
        <v>1893949.61</v>
      </c>
      <c r="P651" s="706">
        <v>1893949.61</v>
      </c>
      <c r="Q651" s="706">
        <v>0</v>
      </c>
      <c r="R651" s="706">
        <v>0</v>
      </c>
      <c r="S651" s="706">
        <v>210438.85</v>
      </c>
      <c r="T651" s="706">
        <v>210438.85</v>
      </c>
      <c r="U651" s="706">
        <v>0</v>
      </c>
      <c r="V651" s="706">
        <v>1</v>
      </c>
      <c r="W651" s="706">
        <v>4</v>
      </c>
      <c r="X651" s="706">
        <v>7</v>
      </c>
      <c r="Y651" s="706">
        <v>7</v>
      </c>
      <c r="Z651" s="706">
        <v>9</v>
      </c>
      <c r="AA651" s="706">
        <v>13</v>
      </c>
      <c r="AB651" s="706">
        <v>15</v>
      </c>
      <c r="AC651" s="706">
        <v>16</v>
      </c>
      <c r="AD651" s="706">
        <v>17</v>
      </c>
      <c r="AE651" s="706">
        <v>17</v>
      </c>
      <c r="AF651" s="706">
        <v>0</v>
      </c>
      <c r="AG651" s="706">
        <v>0</v>
      </c>
      <c r="AH651" s="706">
        <v>2</v>
      </c>
      <c r="AI651" s="706">
        <v>2</v>
      </c>
      <c r="AJ651" s="905" t="str">
        <f t="shared" si="60"/>
        <v>G43002</v>
      </c>
      <c r="AK651" s="905" t="str">
        <f t="shared" si="61"/>
        <v>VENTES - YUKON</v>
      </c>
      <c r="AL651" s="905">
        <f>IFERROR(INDEX(G651:R651,1,MATCH(Parametres!$B$3,G$1:R$1,0)-1)*IF(OR(F651="L",F651="S",F651="I"),-1,1),"")</f>
        <v>-1778089.07</v>
      </c>
      <c r="AM651" s="905">
        <f t="shared" si="62"/>
        <v>-115860.54000000004</v>
      </c>
      <c r="AN651" s="905">
        <f>INDEX(G651:R651,1,MATCH(Parametres!$B$3,G$1:R$1,0))*IF(OR(F651="L",F651="S",F651="I"),-1,1)</f>
        <v>-1893949.61</v>
      </c>
      <c r="AO651" s="487" t="str">
        <f>+VLOOKUP($AJ651,Data_Validation!$A:$D,1,0)</f>
        <v>G43002</v>
      </c>
      <c r="AP651" s="487" t="str">
        <f>+VLOOKUP($AJ651,Data_Validation!$A:$D,3,0)</f>
        <v>Véhicules neufs</v>
      </c>
      <c r="AQ651" s="487" t="str">
        <f>+VLOOKUP($AJ651,Data_Validation!$A:$D,4,0)</f>
        <v>Camions détail</v>
      </c>
      <c r="AR651" s="487" t="s">
        <v>299</v>
      </c>
      <c r="AS651" s="487" t="str">
        <f>+VLOOKUP($AJ651,Data_Validation!$A:$E,5,0)</f>
        <v>Oui</v>
      </c>
      <c r="AT651" s="904" t="str">
        <f t="shared" si="63"/>
        <v>G43002</v>
      </c>
      <c r="AU651" s="488" t="str">
        <f t="shared" si="64"/>
        <v>VENTES - YUKON</v>
      </c>
      <c r="AV651" s="899">
        <f>IFERROR(INDEX(V651:AG651,1,MATCH(Parametres!$B$3,V$1:AG$1,0)-1)*IF(OR(C651="L",C651="S",C651="I"),-1,1),"")</f>
        <v>16</v>
      </c>
      <c r="AW651" s="899">
        <f t="shared" si="65"/>
        <v>1</v>
      </c>
      <c r="AX651" s="899">
        <f>INDEX(V651:AG651,1,MATCH(Parametres!$B$3,V$1:AG$1,0))*IF(OR(C651="L",C651="S",C651="I"),-1,1)</f>
        <v>17</v>
      </c>
      <c r="AY651" s="487" t="s">
        <v>337</v>
      </c>
      <c r="AZ651" s="487" t="str">
        <f>+VLOOKUP($AJ651,Data_Validation!$A:$E,5,0)</f>
        <v>Oui</v>
      </c>
    </row>
    <row r="652" spans="1:52" ht="15" hidden="1" customHeight="1">
      <c r="A652" s="706" t="s">
        <v>1148</v>
      </c>
      <c r="B652" s="706">
        <v>2026</v>
      </c>
      <c r="C652" s="706" t="s">
        <v>2334</v>
      </c>
      <c r="D652" s="706" t="s">
        <v>2335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G43020</v>
      </c>
      <c r="AK652" s="905" t="str">
        <f t="shared" si="61"/>
        <v>CL 1500 SILVERADO    -LOC</v>
      </c>
      <c r="AL652" s="905">
        <f>IFERROR(INDEX(G652:R652,1,MATCH(Parametres!$B$3,G$1:R$1,0)-1)*IF(OR(F652="L",F652="S",F652="I"),-1,1),"")</f>
        <v>0</v>
      </c>
      <c r="AM652" s="905">
        <f t="shared" si="62"/>
        <v>0</v>
      </c>
      <c r="AN652" s="905">
        <f>INDEX(G652:R652,1,MATCH(Parametres!$B$3,G$1:R$1,0))*IF(OR(F652="L",F652="S",F652="I"),-1,1)</f>
        <v>0</v>
      </c>
      <c r="AO652" s="487" t="e">
        <f>+VLOOKUP($AJ652,Data_Validation!$A:$D,1,0)</f>
        <v>#N/A</v>
      </c>
      <c r="AP652" s="487" t="e">
        <f>+VLOOKUP($AJ652,Data_Validation!$A:$D,3,0)</f>
        <v>#N/A</v>
      </c>
      <c r="AQ652" s="487" t="e">
        <f>+VLOOKUP($AJ652,Data_Validation!$A:$D,4,0)</f>
        <v>#N/A</v>
      </c>
      <c r="AR652" s="487" t="s">
        <v>299</v>
      </c>
      <c r="AS652" s="487" t="e">
        <f>+VLOOKUP($AJ652,Data_Validation!$A:$E,5,0)</f>
        <v>#N/A</v>
      </c>
      <c r="AT652" s="904" t="str">
        <f t="shared" si="63"/>
        <v>G43020</v>
      </c>
      <c r="AU652" s="488" t="str">
        <f t="shared" si="64"/>
        <v>CL 1500 SILVERADO    -LOC</v>
      </c>
      <c r="AV652" s="899">
        <f>IFERROR(INDEX(V652:AG652,1,MATCH(Parametres!$B$3,V$1:AG$1,0)-1)*IF(OR(C652="L",C652="S",C652="I"),-1,1),"")</f>
        <v>0</v>
      </c>
      <c r="AW652" s="899">
        <f t="shared" si="65"/>
        <v>0</v>
      </c>
      <c r="AX652" s="899">
        <f>INDEX(V652:AG652,1,MATCH(Parametres!$B$3,V$1:AG$1,0))*IF(OR(C652="L",C652="S",C652="I"),-1,1)</f>
        <v>0</v>
      </c>
      <c r="AY652" s="487" t="s">
        <v>337</v>
      </c>
      <c r="AZ652" s="487" t="e">
        <f>+VLOOKUP($AJ652,Data_Validation!$A:$E,5,0)</f>
        <v>#N/A</v>
      </c>
    </row>
    <row r="653" spans="1:52" ht="15" hidden="1" customHeight="1">
      <c r="A653" s="706" t="s">
        <v>1148</v>
      </c>
      <c r="B653" s="706">
        <v>2026</v>
      </c>
      <c r="C653" s="706" t="s">
        <v>2336</v>
      </c>
      <c r="D653" s="706" t="s">
        <v>2337</v>
      </c>
      <c r="E653" s="706" t="s">
        <v>1149</v>
      </c>
      <c r="F653" s="706" t="s">
        <v>1149</v>
      </c>
      <c r="G653" s="706">
        <v>99462.5</v>
      </c>
      <c r="H653" s="706">
        <v>300736.38</v>
      </c>
      <c r="I653" s="706">
        <v>699613.48</v>
      </c>
      <c r="J653" s="706">
        <v>699613.48</v>
      </c>
      <c r="K653" s="706">
        <v>797713.35</v>
      </c>
      <c r="L653" s="706">
        <v>900846.35</v>
      </c>
      <c r="M653" s="706">
        <v>982505.35</v>
      </c>
      <c r="N653" s="706">
        <v>1183426.69</v>
      </c>
      <c r="O653" s="706">
        <v>1183426.69</v>
      </c>
      <c r="P653" s="706">
        <v>1183426.69</v>
      </c>
      <c r="Q653" s="706">
        <v>0</v>
      </c>
      <c r="R653" s="706">
        <v>0</v>
      </c>
      <c r="S653" s="706">
        <v>131491.85</v>
      </c>
      <c r="T653" s="706">
        <v>131491.85</v>
      </c>
      <c r="U653" s="706">
        <v>0</v>
      </c>
      <c r="V653" s="706">
        <v>1</v>
      </c>
      <c r="W653" s="706">
        <v>3</v>
      </c>
      <c r="X653" s="706">
        <v>7</v>
      </c>
      <c r="Y653" s="706">
        <v>7</v>
      </c>
      <c r="Z653" s="706">
        <v>8</v>
      </c>
      <c r="AA653" s="706">
        <v>9</v>
      </c>
      <c r="AB653" s="706">
        <v>10</v>
      </c>
      <c r="AC653" s="706">
        <v>12</v>
      </c>
      <c r="AD653" s="706">
        <v>12</v>
      </c>
      <c r="AE653" s="706">
        <v>12</v>
      </c>
      <c r="AF653" s="706">
        <v>0</v>
      </c>
      <c r="AG653" s="706">
        <v>0</v>
      </c>
      <c r="AH653" s="706">
        <v>1</v>
      </c>
      <c r="AI653" s="706">
        <v>1</v>
      </c>
      <c r="AJ653" s="905" t="str">
        <f t="shared" si="60"/>
        <v>G43100</v>
      </c>
      <c r="AK653" s="905" t="str">
        <f t="shared" si="61"/>
        <v>VTES-CL 2500 SILVERADO</v>
      </c>
      <c r="AL653" s="905">
        <f>IFERROR(INDEX(G653:R653,1,MATCH(Parametres!$B$3,G$1:R$1,0)-1)*IF(OR(F653="L",F653="S",F653="I"),-1,1),"")</f>
        <v>-1183426.69</v>
      </c>
      <c r="AM653" s="905">
        <f t="shared" si="62"/>
        <v>0</v>
      </c>
      <c r="AN653" s="905">
        <f>INDEX(G653:R653,1,MATCH(Parametres!$B$3,G$1:R$1,0))*IF(OR(F653="L",F653="S",F653="I"),-1,1)</f>
        <v>-1183426.69</v>
      </c>
      <c r="AO653" s="487" t="str">
        <f>+VLOOKUP($AJ653,Data_Validation!$A:$D,1,0)</f>
        <v>G43100</v>
      </c>
      <c r="AP653" s="487" t="str">
        <f>+VLOOKUP($AJ653,Data_Validation!$A:$D,3,0)</f>
        <v>Véhicules neufs</v>
      </c>
      <c r="AQ653" s="487" t="str">
        <f>+VLOOKUP($AJ653,Data_Validation!$A:$D,4,0)</f>
        <v>Camions détail</v>
      </c>
      <c r="AR653" s="487" t="s">
        <v>299</v>
      </c>
      <c r="AS653" s="487" t="str">
        <f>+VLOOKUP($AJ653,Data_Validation!$A:$E,5,0)</f>
        <v>Oui</v>
      </c>
      <c r="AT653" s="904" t="str">
        <f t="shared" si="63"/>
        <v>G43100</v>
      </c>
      <c r="AU653" s="488" t="str">
        <f t="shared" si="64"/>
        <v>VTES-CL 2500 SILVERADO</v>
      </c>
      <c r="AV653" s="899">
        <f>IFERROR(INDEX(V653:AG653,1,MATCH(Parametres!$B$3,V$1:AG$1,0)-1)*IF(OR(C653="L",C653="S",C653="I"),-1,1),"")</f>
        <v>12</v>
      </c>
      <c r="AW653" s="899">
        <f t="shared" si="65"/>
        <v>0</v>
      </c>
      <c r="AX653" s="899">
        <f>INDEX(V653:AG653,1,MATCH(Parametres!$B$3,V$1:AG$1,0))*IF(OR(C653="L",C653="S",C653="I"),-1,1)</f>
        <v>12</v>
      </c>
      <c r="AY653" s="487" t="s">
        <v>337</v>
      </c>
      <c r="AZ653" s="487" t="str">
        <f>+VLOOKUP($AJ653,Data_Validation!$A:$E,5,0)</f>
        <v>Oui</v>
      </c>
    </row>
    <row r="654" spans="1:52" ht="15" hidden="1" customHeight="1">
      <c r="A654" s="706" t="s">
        <v>1148</v>
      </c>
      <c r="B654" s="706">
        <v>2026</v>
      </c>
      <c r="C654" s="706" t="s">
        <v>2338</v>
      </c>
      <c r="D654" s="706" t="s">
        <v>2339</v>
      </c>
      <c r="E654" s="706" t="s">
        <v>1149</v>
      </c>
      <c r="F654" s="706" t="s">
        <v>1149</v>
      </c>
      <c r="G654" s="706">
        <v>151109.81</v>
      </c>
      <c r="H654" s="706">
        <v>552459.31000000006</v>
      </c>
      <c r="I654" s="706">
        <v>877349.59</v>
      </c>
      <c r="J654" s="706">
        <v>1661761.38</v>
      </c>
      <c r="K654" s="706">
        <v>2046401.16</v>
      </c>
      <c r="L654" s="706">
        <v>2212712.61</v>
      </c>
      <c r="M654" s="706">
        <v>2761064.06</v>
      </c>
      <c r="N654" s="706">
        <v>3369328.95</v>
      </c>
      <c r="O654" s="706">
        <v>3756249.95</v>
      </c>
      <c r="P654" s="706">
        <v>3833793.95</v>
      </c>
      <c r="Q654" s="706">
        <v>0</v>
      </c>
      <c r="R654" s="706">
        <v>0</v>
      </c>
      <c r="S654" s="706">
        <v>417361.11</v>
      </c>
      <c r="T654" s="706">
        <v>417361.11</v>
      </c>
      <c r="U654" s="706">
        <v>0</v>
      </c>
      <c r="V654" s="706">
        <v>2</v>
      </c>
      <c r="W654" s="706">
        <v>7</v>
      </c>
      <c r="X654" s="706">
        <v>11</v>
      </c>
      <c r="Y654" s="706">
        <v>21</v>
      </c>
      <c r="Z654" s="706">
        <v>26</v>
      </c>
      <c r="AA654" s="706">
        <v>28</v>
      </c>
      <c r="AB654" s="706">
        <v>35</v>
      </c>
      <c r="AC654" s="706">
        <v>43</v>
      </c>
      <c r="AD654" s="706">
        <v>48</v>
      </c>
      <c r="AE654" s="706">
        <v>49</v>
      </c>
      <c r="AF654" s="706">
        <v>0</v>
      </c>
      <c r="AG654" s="706">
        <v>0</v>
      </c>
      <c r="AH654" s="706">
        <v>5</v>
      </c>
      <c r="AI654" s="706">
        <v>5</v>
      </c>
      <c r="AJ654" s="905" t="str">
        <f t="shared" si="60"/>
        <v>G43102</v>
      </c>
      <c r="AK654" s="905" t="str">
        <f t="shared" si="61"/>
        <v>VENTE CL 1500 SIERRA</v>
      </c>
      <c r="AL654" s="905">
        <f>IFERROR(INDEX(G654:R654,1,MATCH(Parametres!$B$3,G$1:R$1,0)-1)*IF(OR(F654="L",F654="S",F654="I"),-1,1),"")</f>
        <v>-3369328.95</v>
      </c>
      <c r="AM654" s="905">
        <f t="shared" si="62"/>
        <v>-386921</v>
      </c>
      <c r="AN654" s="905">
        <f>INDEX(G654:R654,1,MATCH(Parametres!$B$3,G$1:R$1,0))*IF(OR(F654="L",F654="S",F654="I"),-1,1)</f>
        <v>-3756249.95</v>
      </c>
      <c r="AO654" s="487" t="str">
        <f>+VLOOKUP($AJ654,Data_Validation!$A:$D,1,0)</f>
        <v>G43102</v>
      </c>
      <c r="AP654" s="487" t="str">
        <f>+VLOOKUP($AJ654,Data_Validation!$A:$D,3,0)</f>
        <v>Véhicules neufs</v>
      </c>
      <c r="AQ654" s="487" t="str">
        <f>+VLOOKUP($AJ654,Data_Validation!$A:$D,4,0)</f>
        <v>Camions détail</v>
      </c>
      <c r="AR654" s="487" t="s">
        <v>299</v>
      </c>
      <c r="AS654" s="487" t="str">
        <f>+VLOOKUP($AJ654,Data_Validation!$A:$E,5,0)</f>
        <v>Oui</v>
      </c>
      <c r="AT654" s="904" t="str">
        <f t="shared" si="63"/>
        <v>G43102</v>
      </c>
      <c r="AU654" s="488" t="str">
        <f t="shared" si="64"/>
        <v>VENTE CL 1500 SIERRA</v>
      </c>
      <c r="AV654" s="899">
        <f>IFERROR(INDEX(V654:AG654,1,MATCH(Parametres!$B$3,V$1:AG$1,0)-1)*IF(OR(C654="L",C654="S",C654="I"),-1,1),"")</f>
        <v>43</v>
      </c>
      <c r="AW654" s="899">
        <f t="shared" si="65"/>
        <v>5</v>
      </c>
      <c r="AX654" s="899">
        <f>INDEX(V654:AG654,1,MATCH(Parametres!$B$3,V$1:AG$1,0))*IF(OR(C654="L",C654="S",C654="I"),-1,1)</f>
        <v>48</v>
      </c>
      <c r="AY654" s="487" t="s">
        <v>337</v>
      </c>
      <c r="AZ654" s="487" t="str">
        <f>+VLOOKUP($AJ654,Data_Validation!$A:$E,5,0)</f>
        <v>Oui</v>
      </c>
    </row>
    <row r="655" spans="1:52" ht="15" hidden="1" customHeight="1">
      <c r="A655" s="706" t="s">
        <v>1148</v>
      </c>
      <c r="B655" s="706">
        <v>2026</v>
      </c>
      <c r="C655" s="706" t="s">
        <v>2340</v>
      </c>
      <c r="D655" s="706" t="s">
        <v>2341</v>
      </c>
      <c r="E655" s="706" t="s">
        <v>1149</v>
      </c>
      <c r="F655" s="706" t="s">
        <v>1149</v>
      </c>
      <c r="G655" s="706">
        <v>112099</v>
      </c>
      <c r="H655" s="706">
        <v>220097</v>
      </c>
      <c r="I655" s="706">
        <v>220097</v>
      </c>
      <c r="J655" s="706">
        <v>332280.53999999998</v>
      </c>
      <c r="K655" s="706">
        <v>332280.53999999998</v>
      </c>
      <c r="L655" s="706">
        <v>427949.66</v>
      </c>
      <c r="M655" s="706">
        <v>427949.66</v>
      </c>
      <c r="N655" s="706">
        <v>427949.66</v>
      </c>
      <c r="O655" s="706">
        <v>427949.66</v>
      </c>
      <c r="P655" s="706">
        <v>427949.66</v>
      </c>
      <c r="Q655" s="706">
        <v>0</v>
      </c>
      <c r="R655" s="706">
        <v>0</v>
      </c>
      <c r="S655" s="706">
        <v>47549.96</v>
      </c>
      <c r="T655" s="706">
        <v>47549.96</v>
      </c>
      <c r="U655" s="706">
        <v>0</v>
      </c>
      <c r="V655" s="706">
        <v>1</v>
      </c>
      <c r="W655" s="706">
        <v>2</v>
      </c>
      <c r="X655" s="706">
        <v>2</v>
      </c>
      <c r="Y655" s="706">
        <v>3</v>
      </c>
      <c r="Z655" s="706">
        <v>3</v>
      </c>
      <c r="AA655" s="706">
        <v>4</v>
      </c>
      <c r="AB655" s="706">
        <v>4</v>
      </c>
      <c r="AC655" s="706">
        <v>4</v>
      </c>
      <c r="AD655" s="706">
        <v>4</v>
      </c>
      <c r="AE655" s="706">
        <v>4</v>
      </c>
      <c r="AF655" s="706">
        <v>0</v>
      </c>
      <c r="AG655" s="706">
        <v>0</v>
      </c>
      <c r="AH655" s="706">
        <v>0</v>
      </c>
      <c r="AI655" s="706">
        <v>0</v>
      </c>
      <c r="AJ655" s="905" t="str">
        <f t="shared" si="60"/>
        <v>G43103</v>
      </c>
      <c r="AK655" s="905" t="str">
        <f t="shared" si="61"/>
        <v>VENTE - SIERRA EV</v>
      </c>
      <c r="AL655" s="905">
        <f>IFERROR(INDEX(G655:R655,1,MATCH(Parametres!$B$3,G$1:R$1,0)-1)*IF(OR(F655="L",F655="S",F655="I"),-1,1),"")</f>
        <v>-427949.66</v>
      </c>
      <c r="AM655" s="905">
        <f t="shared" si="62"/>
        <v>0</v>
      </c>
      <c r="AN655" s="905">
        <f>INDEX(G655:R655,1,MATCH(Parametres!$B$3,G$1:R$1,0))*IF(OR(F655="L",F655="S",F655="I"),-1,1)</f>
        <v>-427949.66</v>
      </c>
      <c r="AO655" s="487" t="str">
        <f>+VLOOKUP($AJ655,Data_Validation!$A:$D,1,0)</f>
        <v>G43103</v>
      </c>
      <c r="AP655" s="487" t="str">
        <f>+VLOOKUP($AJ655,Data_Validation!$A:$D,3,0)</f>
        <v>Véhicules neufs</v>
      </c>
      <c r="AQ655" s="487" t="str">
        <f>+VLOOKUP($AJ655,Data_Validation!$A:$D,4,0)</f>
        <v>Camions electriques</v>
      </c>
      <c r="AR655" s="487" t="s">
        <v>299</v>
      </c>
      <c r="AS655" s="487" t="str">
        <f>+VLOOKUP($AJ655,Data_Validation!$A:$E,5,0)</f>
        <v>Oui</v>
      </c>
      <c r="AT655" s="904" t="str">
        <f t="shared" si="63"/>
        <v>G43103</v>
      </c>
      <c r="AU655" s="488" t="str">
        <f t="shared" si="64"/>
        <v>VENTE - SIERRA EV</v>
      </c>
      <c r="AV655" s="899">
        <f>IFERROR(INDEX(V655:AG655,1,MATCH(Parametres!$B$3,V$1:AG$1,0)-1)*IF(OR(C655="L",C655="S",C655="I"),-1,1),"")</f>
        <v>4</v>
      </c>
      <c r="AW655" s="899">
        <f t="shared" si="65"/>
        <v>0</v>
      </c>
      <c r="AX655" s="899">
        <f>INDEX(V655:AG655,1,MATCH(Parametres!$B$3,V$1:AG$1,0))*IF(OR(C655="L",C655="S",C655="I"),-1,1)</f>
        <v>4</v>
      </c>
      <c r="AY655" s="487" t="s">
        <v>337</v>
      </c>
      <c r="AZ655" s="487" t="str">
        <f>+VLOOKUP($AJ655,Data_Validation!$A:$E,5,0)</f>
        <v>Oui</v>
      </c>
    </row>
    <row r="656" spans="1:52" ht="15" hidden="1" customHeight="1">
      <c r="A656" s="706" t="s">
        <v>1148</v>
      </c>
      <c r="B656" s="706">
        <v>2026</v>
      </c>
      <c r="C656" s="706" t="s">
        <v>2342</v>
      </c>
      <c r="D656" s="706" t="s">
        <v>2343</v>
      </c>
      <c r="E656" s="706" t="s">
        <v>1149</v>
      </c>
      <c r="F656" s="706" t="s">
        <v>1149</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905" t="str">
        <f t="shared" si="60"/>
        <v>G43120</v>
      </c>
      <c r="AK656" s="905" t="str">
        <f t="shared" si="61"/>
        <v>VTES-CL 2500 SILVERAD-LOC</v>
      </c>
      <c r="AL656" s="905">
        <f>IFERROR(INDEX(G656:R656,1,MATCH(Parametres!$B$3,G$1:R$1,0)-1)*IF(OR(F656="L",F656="S",F656="I"),-1,1),"")</f>
        <v>0</v>
      </c>
      <c r="AM656" s="905">
        <f t="shared" si="62"/>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63"/>
        <v>G43120</v>
      </c>
      <c r="AU656" s="488" t="str">
        <f t="shared" si="64"/>
        <v>VTES-CL 2500 SILVERAD-LOC</v>
      </c>
      <c r="AV656" s="899">
        <f>IFERROR(INDEX(V656:AG656,1,MATCH(Parametres!$B$3,V$1:AG$1,0)-1)*IF(OR(C656="L",C656="S",C656="I"),-1,1),"")</f>
        <v>0</v>
      </c>
      <c r="AW656" s="899">
        <f t="shared" si="65"/>
        <v>0</v>
      </c>
      <c r="AX656" s="899">
        <f>INDEX(V656:AG656,1,MATCH(Parametres!$B$3,V$1:AG$1,0))*IF(OR(C656="L",C656="S",C656="I"),-1,1)</f>
        <v>0</v>
      </c>
      <c r="AY656" s="487" t="s">
        <v>337</v>
      </c>
      <c r="AZ656" s="487" t="e">
        <f>+VLOOKUP($AJ656,Data_Validation!$A:$E,5,0)</f>
        <v>#N/A</v>
      </c>
    </row>
    <row r="657" spans="1:52" ht="15" hidden="1" customHeight="1">
      <c r="A657" s="706" t="s">
        <v>1148</v>
      </c>
      <c r="B657" s="706">
        <v>2026</v>
      </c>
      <c r="C657" s="706" t="s">
        <v>2344</v>
      </c>
      <c r="D657" s="706" t="s">
        <v>2345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G43200</v>
      </c>
      <c r="AK657" s="905" t="str">
        <f t="shared" si="61"/>
        <v>VTES-CL 3500 SILVERADO</v>
      </c>
      <c r="AL657" s="905">
        <f>IFERROR(INDEX(G657:R657,1,MATCH(Parametres!$B$3,G$1:R$1,0)-1)*IF(OR(F657="L",F657="S",F657="I"),-1,1),"")</f>
        <v>0</v>
      </c>
      <c r="AM657" s="905">
        <f t="shared" si="62"/>
        <v>0</v>
      </c>
      <c r="AN657" s="905">
        <f>INDEX(G657:R657,1,MATCH(Parametres!$B$3,G$1:R$1,0))*IF(OR(F657="L",F657="S",F657="I"),-1,1)</f>
        <v>0</v>
      </c>
      <c r="AO657" s="487" t="str">
        <f>+VLOOKUP($AJ657,Data_Validation!$A:$D,1,0)</f>
        <v>G43200</v>
      </c>
      <c r="AP657" s="487" t="str">
        <f>+VLOOKUP($AJ657,Data_Validation!$A:$D,3,0)</f>
        <v>Véhicules neufs</v>
      </c>
      <c r="AQ657" s="487" t="str">
        <f>+VLOOKUP($AJ657,Data_Validation!$A:$D,4,0)</f>
        <v>Camions détail</v>
      </c>
      <c r="AR657" s="487" t="s">
        <v>299</v>
      </c>
      <c r="AS657" s="487" t="str">
        <f>+VLOOKUP($AJ657,Data_Validation!$A:$E,5,0)</f>
        <v>Oui</v>
      </c>
      <c r="AT657" s="904" t="str">
        <f t="shared" si="63"/>
        <v>G43200</v>
      </c>
      <c r="AU657" s="488" t="str">
        <f t="shared" si="64"/>
        <v>VTES-CL 3500 SILVERADO</v>
      </c>
      <c r="AV657" s="899">
        <f>IFERROR(INDEX(V657:AG657,1,MATCH(Parametres!$B$3,V$1:AG$1,0)-1)*IF(OR(C657="L",C657="S",C657="I"),-1,1),"")</f>
        <v>0</v>
      </c>
      <c r="AW657" s="899">
        <f t="shared" si="65"/>
        <v>0</v>
      </c>
      <c r="AX657" s="899">
        <f>INDEX(V657:AG657,1,MATCH(Parametres!$B$3,V$1:AG$1,0))*IF(OR(C657="L",C657="S",C657="I"),-1,1)</f>
        <v>0</v>
      </c>
      <c r="AY657" s="487" t="s">
        <v>337</v>
      </c>
      <c r="AZ657" s="487" t="str">
        <f>+VLOOKUP($AJ657,Data_Validation!$A:$E,5,0)</f>
        <v>Oui</v>
      </c>
    </row>
    <row r="658" spans="1:52" ht="15" hidden="1" customHeight="1">
      <c r="A658" s="706" t="s">
        <v>1148</v>
      </c>
      <c r="B658" s="706">
        <v>2026</v>
      </c>
      <c r="C658" s="706" t="s">
        <v>2346</v>
      </c>
      <c r="D658" s="706" t="s">
        <v>2347</v>
      </c>
      <c r="E658" s="706" t="s">
        <v>1149</v>
      </c>
      <c r="F658" s="706" t="s">
        <v>1149</v>
      </c>
      <c r="G658" s="706">
        <v>335187.62</v>
      </c>
      <c r="H658" s="706">
        <v>335187.62</v>
      </c>
      <c r="I658" s="706">
        <v>550751.96</v>
      </c>
      <c r="J658" s="706">
        <v>988047.33</v>
      </c>
      <c r="K658" s="706">
        <v>1385656.33</v>
      </c>
      <c r="L658" s="706">
        <v>1507893.33</v>
      </c>
      <c r="M658" s="706">
        <v>1736558.83</v>
      </c>
      <c r="N658" s="706">
        <v>1844697.83</v>
      </c>
      <c r="O658" s="706">
        <v>1844697.83</v>
      </c>
      <c r="P658" s="706">
        <v>1844697.83</v>
      </c>
      <c r="Q658" s="706">
        <v>0</v>
      </c>
      <c r="R658" s="706">
        <v>0</v>
      </c>
      <c r="S658" s="706">
        <v>204966.43</v>
      </c>
      <c r="T658" s="706">
        <v>204966.43</v>
      </c>
      <c r="U658" s="706">
        <v>0</v>
      </c>
      <c r="V658" s="706">
        <v>3</v>
      </c>
      <c r="W658" s="706">
        <v>3</v>
      </c>
      <c r="X658" s="706">
        <v>5</v>
      </c>
      <c r="Y658" s="706">
        <v>9</v>
      </c>
      <c r="Z658" s="706">
        <v>13</v>
      </c>
      <c r="AA658" s="706">
        <v>14</v>
      </c>
      <c r="AB658" s="706">
        <v>16</v>
      </c>
      <c r="AC658" s="706">
        <v>17</v>
      </c>
      <c r="AD658" s="706">
        <v>17</v>
      </c>
      <c r="AE658" s="706">
        <v>17</v>
      </c>
      <c r="AF658" s="706">
        <v>0</v>
      </c>
      <c r="AG658" s="706">
        <v>0</v>
      </c>
      <c r="AH658" s="706">
        <v>2</v>
      </c>
      <c r="AI658" s="706">
        <v>2</v>
      </c>
      <c r="AJ658" s="905" t="str">
        <f t="shared" si="60"/>
        <v>G43202</v>
      </c>
      <c r="AK658" s="905" t="str">
        <f t="shared" si="61"/>
        <v>VENTES - CL2500 SIERRA</v>
      </c>
      <c r="AL658" s="905">
        <f>IFERROR(INDEX(G658:R658,1,MATCH(Parametres!$B$3,G$1:R$1,0)-1)*IF(OR(F658="L",F658="S",F658="I"),-1,1),"")</f>
        <v>-1844697.83</v>
      </c>
      <c r="AM658" s="905">
        <f t="shared" si="62"/>
        <v>0</v>
      </c>
      <c r="AN658" s="905">
        <f>INDEX(G658:R658,1,MATCH(Parametres!$B$3,G$1:R$1,0))*IF(OR(F658="L",F658="S",F658="I"),-1,1)</f>
        <v>-1844697.83</v>
      </c>
      <c r="AO658" s="487" t="str">
        <f>+VLOOKUP($AJ658,Data_Validation!$A:$D,1,0)</f>
        <v>G43202</v>
      </c>
      <c r="AP658" s="487" t="str">
        <f>+VLOOKUP($AJ658,Data_Validation!$A:$D,3,0)</f>
        <v>Véhicules neufs</v>
      </c>
      <c r="AQ658" s="487" t="str">
        <f>+VLOOKUP($AJ658,Data_Validation!$A:$D,4,0)</f>
        <v>Camions détail</v>
      </c>
      <c r="AR658" s="487" t="s">
        <v>299</v>
      </c>
      <c r="AS658" s="487" t="str">
        <f>+VLOOKUP($AJ658,Data_Validation!$A:$E,5,0)</f>
        <v>Oui</v>
      </c>
      <c r="AT658" s="904" t="str">
        <f t="shared" si="63"/>
        <v>G43202</v>
      </c>
      <c r="AU658" s="488" t="str">
        <f t="shared" si="64"/>
        <v>VENTES - CL2500 SIERRA</v>
      </c>
      <c r="AV658" s="899">
        <f>IFERROR(INDEX(V658:AG658,1,MATCH(Parametres!$B$3,V$1:AG$1,0)-1)*IF(OR(C658="L",C658="S",C658="I"),-1,1),"")</f>
        <v>17</v>
      </c>
      <c r="AW658" s="899">
        <f t="shared" si="65"/>
        <v>0</v>
      </c>
      <c r="AX658" s="899">
        <f>INDEX(V658:AG658,1,MATCH(Parametres!$B$3,V$1:AG$1,0))*IF(OR(C658="L",C658="S",C658="I"),-1,1)</f>
        <v>17</v>
      </c>
      <c r="AY658" s="487" t="s">
        <v>337</v>
      </c>
      <c r="AZ658" s="487" t="str">
        <f>+VLOOKUP($AJ658,Data_Validation!$A:$E,5,0)</f>
        <v>Oui</v>
      </c>
    </row>
    <row r="659" spans="1:52" ht="15" hidden="1" customHeight="1">
      <c r="A659" s="706" t="s">
        <v>1148</v>
      </c>
      <c r="B659" s="706">
        <v>2026</v>
      </c>
      <c r="C659" s="706" t="s">
        <v>2348</v>
      </c>
      <c r="D659" s="706" t="s">
        <v>2349</v>
      </c>
      <c r="E659" s="706" t="s">
        <v>1149</v>
      </c>
      <c r="F659" s="706" t="s">
        <v>1149</v>
      </c>
      <c r="G659" s="706">
        <v>234777.15</v>
      </c>
      <c r="H659" s="706">
        <v>234777.15</v>
      </c>
      <c r="I659" s="706">
        <v>351065.15</v>
      </c>
      <c r="J659" s="706">
        <v>351065.15</v>
      </c>
      <c r="K659" s="706">
        <v>351065.15</v>
      </c>
      <c r="L659" s="706">
        <v>351065.15</v>
      </c>
      <c r="M659" s="706">
        <v>351065.15</v>
      </c>
      <c r="N659" s="706">
        <v>351065.15</v>
      </c>
      <c r="O659" s="706">
        <v>351065.15</v>
      </c>
      <c r="P659" s="706">
        <v>351065.15</v>
      </c>
      <c r="Q659" s="706">
        <v>0</v>
      </c>
      <c r="R659" s="706">
        <v>0</v>
      </c>
      <c r="S659" s="706">
        <v>39007.24</v>
      </c>
      <c r="T659" s="706">
        <v>39007.24</v>
      </c>
      <c r="U659" s="706">
        <v>0</v>
      </c>
      <c r="V659" s="706">
        <v>2</v>
      </c>
      <c r="W659" s="706">
        <v>2</v>
      </c>
      <c r="X659" s="706">
        <v>3</v>
      </c>
      <c r="Y659" s="706">
        <v>3</v>
      </c>
      <c r="Z659" s="706">
        <v>3</v>
      </c>
      <c r="AA659" s="706">
        <v>3</v>
      </c>
      <c r="AB659" s="706">
        <v>3</v>
      </c>
      <c r="AC659" s="706">
        <v>3</v>
      </c>
      <c r="AD659" s="706">
        <v>3</v>
      </c>
      <c r="AE659" s="706">
        <v>3</v>
      </c>
      <c r="AF659" s="706">
        <v>0</v>
      </c>
      <c r="AG659" s="706">
        <v>0</v>
      </c>
      <c r="AH659" s="706">
        <v>0</v>
      </c>
      <c r="AI659" s="706">
        <v>0</v>
      </c>
      <c r="AJ659" s="905" t="str">
        <f t="shared" ref="AJ659:AJ663" si="66">C659</f>
        <v>G43203</v>
      </c>
      <c r="AK659" s="905" t="str">
        <f t="shared" ref="AK659:AK663" si="67">D659</f>
        <v>VENTES - SIERRA 3500</v>
      </c>
      <c r="AL659" s="905">
        <f>IFERROR(INDEX(G659:R659,1,MATCH(Parametres!$B$3,G$1:R$1,0)-1)*IF(OR(F659="L",F659="S",F659="I"),-1,1),"")</f>
        <v>-351065.15</v>
      </c>
      <c r="AM659" s="905">
        <f t="shared" si="62"/>
        <v>0</v>
      </c>
      <c r="AN659" s="905">
        <f>INDEX(G659:R659,1,MATCH(Parametres!$B$3,G$1:R$1,0))*IF(OR(F659="L",F659="S",F659="I"),-1,1)</f>
        <v>-351065.15</v>
      </c>
      <c r="AO659" s="487" t="str">
        <f>+VLOOKUP($AJ659,Data_Validation!$A:$D,1,0)</f>
        <v>G43203</v>
      </c>
      <c r="AP659" s="487" t="str">
        <f>+VLOOKUP($AJ659,Data_Validation!$A:$D,3,0)</f>
        <v>Véhicules neufs</v>
      </c>
      <c r="AQ659" s="487" t="str">
        <f>+VLOOKUP($AJ659,Data_Validation!$A:$D,4,0)</f>
        <v>Camions détail</v>
      </c>
      <c r="AR659" s="487" t="s">
        <v>299</v>
      </c>
      <c r="AS659" s="487" t="str">
        <f>+VLOOKUP($AJ659,Data_Validation!$A:$E,5,0)</f>
        <v>Oui</v>
      </c>
      <c r="AT659" s="904" t="str">
        <f t="shared" si="63"/>
        <v>G43203</v>
      </c>
      <c r="AU659" s="488" t="str">
        <f t="shared" si="64"/>
        <v>VENTES - SIERRA 3500</v>
      </c>
      <c r="AV659" s="899">
        <f>IFERROR(INDEX(V659:AG659,1,MATCH(Parametres!$B$3,V$1:AG$1,0)-1)*IF(OR(C659="L",C659="S",C659="I"),-1,1),"")</f>
        <v>3</v>
      </c>
      <c r="AW659" s="899">
        <f t="shared" si="65"/>
        <v>0</v>
      </c>
      <c r="AX659" s="899">
        <f>INDEX(V659:AG659,1,MATCH(Parametres!$B$3,V$1:AG$1,0))*IF(OR(C659="L",C659="S",C659="I"),-1,1)</f>
        <v>3</v>
      </c>
      <c r="AY659" s="487" t="s">
        <v>337</v>
      </c>
      <c r="AZ659" s="487" t="str">
        <f>+VLOOKUP($AJ659,Data_Validation!$A:$E,5,0)</f>
        <v>Oui</v>
      </c>
    </row>
    <row r="660" spans="1:52" ht="15" hidden="1" customHeight="1">
      <c r="A660" s="706" t="s">
        <v>1148</v>
      </c>
      <c r="B660" s="706">
        <v>2026</v>
      </c>
      <c r="C660" s="706" t="s">
        <v>2350</v>
      </c>
      <c r="D660" s="706" t="s">
        <v>2351</v>
      </c>
      <c r="E660" s="706" t="s">
        <v>1149</v>
      </c>
      <c r="F660" s="706" t="s">
        <v>1149</v>
      </c>
      <c r="G660" s="706">
        <v>0</v>
      </c>
      <c r="H660" s="706">
        <v>0</v>
      </c>
      <c r="I660" s="706">
        <v>0</v>
      </c>
      <c r="J660" s="706">
        <v>0</v>
      </c>
      <c r="K660" s="706">
        <v>0</v>
      </c>
      <c r="L660" s="706">
        <v>38693</v>
      </c>
      <c r="M660" s="706">
        <v>38693</v>
      </c>
      <c r="N660" s="706">
        <v>38693</v>
      </c>
      <c r="O660" s="706">
        <v>38693</v>
      </c>
      <c r="P660" s="706">
        <v>38693</v>
      </c>
      <c r="Q660" s="706">
        <v>0</v>
      </c>
      <c r="R660" s="706">
        <v>0</v>
      </c>
      <c r="S660" s="706">
        <v>4299.22</v>
      </c>
      <c r="T660" s="706">
        <v>4299.22</v>
      </c>
      <c r="U660" s="706">
        <v>0</v>
      </c>
      <c r="V660" s="706">
        <v>0</v>
      </c>
      <c r="W660" s="706">
        <v>0</v>
      </c>
      <c r="X660" s="706">
        <v>0</v>
      </c>
      <c r="Y660" s="706">
        <v>0</v>
      </c>
      <c r="Z660" s="706">
        <v>0</v>
      </c>
      <c r="AA660" s="706">
        <v>1</v>
      </c>
      <c r="AB660" s="706">
        <v>1</v>
      </c>
      <c r="AC660" s="706">
        <v>1</v>
      </c>
      <c r="AD660" s="706">
        <v>1</v>
      </c>
      <c r="AE660" s="706">
        <v>1</v>
      </c>
      <c r="AF660" s="706">
        <v>0</v>
      </c>
      <c r="AG660" s="706">
        <v>0</v>
      </c>
      <c r="AH660" s="706">
        <v>0</v>
      </c>
      <c r="AI660" s="706">
        <v>0</v>
      </c>
      <c r="AJ660" s="905" t="str">
        <f t="shared" si="66"/>
        <v>G43300</v>
      </c>
      <c r="AK660" s="905" t="str">
        <f t="shared" si="67"/>
        <v>VENTES BLAZER</v>
      </c>
      <c r="AL660" s="905">
        <f>IFERROR(INDEX(G660:R660,1,MATCH(Parametres!$B$3,G$1:R$1,0)-1)*IF(OR(F660="L",F660="S",F660="I"),-1,1),"")</f>
        <v>-38693</v>
      </c>
      <c r="AM660" s="905">
        <f t="shared" si="62"/>
        <v>0</v>
      </c>
      <c r="AN660" s="905">
        <f>INDEX(G660:R660,1,MATCH(Parametres!$B$3,G$1:R$1,0))*IF(OR(F660="L",F660="S",F660="I"),-1,1)</f>
        <v>-38693</v>
      </c>
      <c r="AO660" s="487" t="str">
        <f>+VLOOKUP($AJ660,Data_Validation!$A:$D,1,0)</f>
        <v>G43300</v>
      </c>
      <c r="AP660" s="487" t="str">
        <f>+VLOOKUP($AJ660,Data_Validation!$A:$D,3,0)</f>
        <v>Véhicules neufs</v>
      </c>
      <c r="AQ660" s="487" t="str">
        <f>+VLOOKUP($AJ660,Data_Validation!$A:$D,4,0)</f>
        <v>Camions détail</v>
      </c>
      <c r="AR660" s="487" t="s">
        <v>299</v>
      </c>
      <c r="AS660" s="487" t="str">
        <f>+VLOOKUP($AJ660,Data_Validation!$A:$E,5,0)</f>
        <v>Oui</v>
      </c>
      <c r="AT660" s="904" t="str">
        <f t="shared" si="63"/>
        <v>G43300</v>
      </c>
      <c r="AU660" s="488" t="str">
        <f t="shared" si="64"/>
        <v>VENTES BLAZER</v>
      </c>
      <c r="AV660" s="899">
        <f>IFERROR(INDEX(V660:AG660,1,MATCH(Parametres!$B$3,V$1:AG$1,0)-1)*IF(OR(C660="L",C660="S",C660="I"),-1,1),"")</f>
        <v>1</v>
      </c>
      <c r="AW660" s="899">
        <f t="shared" si="65"/>
        <v>0</v>
      </c>
      <c r="AX660" s="899">
        <f>INDEX(V660:AG660,1,MATCH(Parametres!$B$3,V$1:AG$1,0))*IF(OR(C660="L",C660="S",C660="I"),-1,1)</f>
        <v>1</v>
      </c>
      <c r="AY660" s="487" t="s">
        <v>337</v>
      </c>
      <c r="AZ660" s="487" t="str">
        <f>+VLOOKUP($AJ660,Data_Validation!$A:$E,5,0)</f>
        <v>Oui</v>
      </c>
    </row>
    <row r="661" spans="1:52" ht="15" hidden="1" customHeight="1">
      <c r="A661" s="706" t="s">
        <v>1148</v>
      </c>
      <c r="B661" s="706">
        <v>2026</v>
      </c>
      <c r="C661" s="706" t="s">
        <v>2352</v>
      </c>
      <c r="D661" s="706" t="s">
        <v>2353</v>
      </c>
      <c r="E661" s="706" t="s">
        <v>1149</v>
      </c>
      <c r="F661" s="706" t="s">
        <v>1149</v>
      </c>
      <c r="G661" s="706">
        <v>0</v>
      </c>
      <c r="H661" s="706">
        <v>0</v>
      </c>
      <c r="I661" s="706">
        <v>178425.14</v>
      </c>
      <c r="J661" s="706">
        <v>340072.14</v>
      </c>
      <c r="K661" s="706">
        <v>458380.64</v>
      </c>
      <c r="L661" s="706">
        <v>458380.64</v>
      </c>
      <c r="M661" s="706">
        <v>458380.64</v>
      </c>
      <c r="N661" s="706">
        <v>458380.64</v>
      </c>
      <c r="O661" s="706">
        <v>519902.64</v>
      </c>
      <c r="P661" s="706">
        <v>519902.64</v>
      </c>
      <c r="Q661" s="706">
        <v>0</v>
      </c>
      <c r="R661" s="706">
        <v>0</v>
      </c>
      <c r="S661" s="706">
        <v>57766.96</v>
      </c>
      <c r="T661" s="706">
        <v>57766.96</v>
      </c>
      <c r="U661" s="706">
        <v>0</v>
      </c>
      <c r="V661" s="706">
        <v>0</v>
      </c>
      <c r="W661" s="706">
        <v>0</v>
      </c>
      <c r="X661" s="706">
        <v>3</v>
      </c>
      <c r="Y661" s="706">
        <v>6</v>
      </c>
      <c r="Z661" s="706">
        <v>8</v>
      </c>
      <c r="AA661" s="706">
        <v>8</v>
      </c>
      <c r="AB661" s="706">
        <v>8</v>
      </c>
      <c r="AC661" s="706">
        <v>8</v>
      </c>
      <c r="AD661" s="706">
        <v>9</v>
      </c>
      <c r="AE661" s="706">
        <v>9</v>
      </c>
      <c r="AF661" s="706">
        <v>0</v>
      </c>
      <c r="AG661" s="706">
        <v>0</v>
      </c>
      <c r="AH661" s="706">
        <v>1</v>
      </c>
      <c r="AI661" s="706">
        <v>1</v>
      </c>
      <c r="AJ661" s="905" t="str">
        <f t="shared" si="66"/>
        <v>G43301</v>
      </c>
      <c r="AK661" s="905" t="str">
        <f t="shared" si="67"/>
        <v>VENTES BLAZER EV</v>
      </c>
      <c r="AL661" s="905">
        <f>IFERROR(INDEX(G661:R661,1,MATCH(Parametres!$B$3,G$1:R$1,0)-1)*IF(OR(F661="L",F661="S",F661="I"),-1,1),"")</f>
        <v>-458380.64</v>
      </c>
      <c r="AM661" s="905">
        <f t="shared" si="62"/>
        <v>-61522</v>
      </c>
      <c r="AN661" s="905">
        <f>INDEX(G661:R661,1,MATCH(Parametres!$B$3,G$1:R$1,0))*IF(OR(F661="L",F661="S",F661="I"),-1,1)</f>
        <v>-519902.64</v>
      </c>
      <c r="AO661" s="487" t="str">
        <f>+VLOOKUP($AJ661,Data_Validation!$A:$D,1,0)</f>
        <v>G43301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G43301</v>
      </c>
      <c r="AU661" s="488" t="str">
        <f t="shared" si="64"/>
        <v>VENTES BLAZER EV</v>
      </c>
      <c r="AV661" s="899">
        <f>IFERROR(INDEX(V661:AG661,1,MATCH(Parametres!$B$3,V$1:AG$1,0)-1)*IF(OR(C661="L",C661="S",C661="I"),-1,1),"")</f>
        <v>8</v>
      </c>
      <c r="AW661" s="899">
        <f t="shared" si="65"/>
        <v>1</v>
      </c>
      <c r="AX661" s="899">
        <f>INDEX(V661:AG661,1,MATCH(Parametres!$B$3,V$1:AG$1,0))*IF(OR(C661="L",C661="S",C661="I"),-1,1)</f>
        <v>9</v>
      </c>
      <c r="AY661" s="487" t="s">
        <v>337</v>
      </c>
      <c r="AZ661" s="487" t="str">
        <f>+VLOOKUP($AJ661,Data_Validation!$A:$E,5,0)</f>
        <v>Oui</v>
      </c>
    </row>
    <row r="662" spans="1:52" ht="15" hidden="1" customHeight="1">
      <c r="A662" s="706" t="s">
        <v>1148</v>
      </c>
      <c r="B662" s="706">
        <v>2026</v>
      </c>
      <c r="C662" s="706" t="s">
        <v>2354</v>
      </c>
      <c r="D662" s="706" t="s">
        <v>2355</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G43320</v>
      </c>
      <c r="AK662" s="905" t="str">
        <f t="shared" si="67"/>
        <v>VTES-AVALANCHE       -LOC</v>
      </c>
      <c r="AL662" s="905">
        <f>IFERROR(INDEX(G662:R662,1,MATCH(Parametres!$B$3,G$1:R$1,0)-1)*IF(OR(F662="L",F662="S",F662="I"),-1,1),"")</f>
        <v>0</v>
      </c>
      <c r="AM662" s="905">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G43320</v>
      </c>
      <c r="AU662" s="488" t="str">
        <f t="shared" si="64"/>
        <v>VTES-AVALANCHE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hidden="1" customHeight="1">
      <c r="A663" s="706" t="s">
        <v>1148</v>
      </c>
      <c r="B663" s="706">
        <v>2026</v>
      </c>
      <c r="C663" s="706" t="s">
        <v>2356</v>
      </c>
      <c r="D663" s="706" t="s">
        <v>2357</v>
      </c>
      <c r="E663" s="706" t="s">
        <v>1149</v>
      </c>
      <c r="F663" s="706" t="s">
        <v>1149</v>
      </c>
      <c r="G663" s="706">
        <v>84235</v>
      </c>
      <c r="H663" s="706">
        <v>173987.78</v>
      </c>
      <c r="I663" s="706">
        <v>221362.43</v>
      </c>
      <c r="J663" s="706">
        <v>262011.43</v>
      </c>
      <c r="K663" s="706">
        <v>309659.93</v>
      </c>
      <c r="L663" s="706">
        <v>353920.93</v>
      </c>
      <c r="M663" s="706">
        <v>391398.43</v>
      </c>
      <c r="N663" s="706">
        <v>391398.43</v>
      </c>
      <c r="O663" s="706">
        <v>391398.43</v>
      </c>
      <c r="P663" s="706">
        <v>391398.43</v>
      </c>
      <c r="Q663" s="706">
        <v>0</v>
      </c>
      <c r="R663" s="706">
        <v>0</v>
      </c>
      <c r="S663" s="706">
        <v>43488.71</v>
      </c>
      <c r="T663" s="706">
        <v>43488.71</v>
      </c>
      <c r="U663" s="706">
        <v>0</v>
      </c>
      <c r="V663" s="706">
        <v>2</v>
      </c>
      <c r="W663" s="706">
        <v>4</v>
      </c>
      <c r="X663" s="706">
        <v>5</v>
      </c>
      <c r="Y663" s="706">
        <v>6</v>
      </c>
      <c r="Z663" s="706">
        <v>7</v>
      </c>
      <c r="AA663" s="706">
        <v>8</v>
      </c>
      <c r="AB663" s="706">
        <v>9</v>
      </c>
      <c r="AC663" s="706">
        <v>9</v>
      </c>
      <c r="AD663" s="706">
        <v>9</v>
      </c>
      <c r="AE663" s="706">
        <v>9</v>
      </c>
      <c r="AF663" s="706">
        <v>0</v>
      </c>
      <c r="AG663" s="706">
        <v>0</v>
      </c>
      <c r="AH663" s="706">
        <v>1</v>
      </c>
      <c r="AI663" s="706">
        <v>1</v>
      </c>
      <c r="AJ663" s="905" t="str">
        <f t="shared" si="66"/>
        <v>G43400</v>
      </c>
      <c r="AK663" s="905" t="str">
        <f t="shared" si="67"/>
        <v>VENTES EQUINOX</v>
      </c>
      <c r="AL663" s="905">
        <f>IFERROR(INDEX(G663:R663,1,MATCH(Parametres!$B$3,G$1:R$1,0)-1)*IF(OR(F663="L",F663="S",F663="I"),-1,1),"")</f>
        <v>-391398.43</v>
      </c>
      <c r="AM663" s="905">
        <f t="shared" si="62"/>
        <v>0</v>
      </c>
      <c r="AN663" s="905">
        <f>INDEX(G663:R663,1,MATCH(Parametres!$B$3,G$1:R$1,0))*IF(OR(F663="L",F663="S",F663="I"),-1,1)</f>
        <v>-391398.43</v>
      </c>
      <c r="AO663" s="487" t="str">
        <f>+VLOOKUP($AJ663,Data_Validation!$A:$D,1,0)</f>
        <v>G43400</v>
      </c>
      <c r="AP663" s="487" t="str">
        <f>+VLOOKUP($AJ663,Data_Validation!$A:$D,3,0)</f>
        <v>Véhicules neufs</v>
      </c>
      <c r="AQ663" s="487" t="str">
        <f>+VLOOKUP($AJ663,Data_Validation!$A:$D,4,0)</f>
        <v>Camions détail</v>
      </c>
      <c r="AR663" s="487" t="s">
        <v>299</v>
      </c>
      <c r="AS663" s="487" t="str">
        <f>+VLOOKUP($AJ663,Data_Validation!$A:$E,5,0)</f>
        <v>Oui</v>
      </c>
      <c r="AT663" s="904" t="str">
        <f t="shared" si="63"/>
        <v>G43400</v>
      </c>
      <c r="AU663" s="488" t="str">
        <f t="shared" si="64"/>
        <v>VENTES EQUINOX</v>
      </c>
      <c r="AV663" s="899">
        <f>IFERROR(INDEX(V663:AG663,1,MATCH(Parametres!$B$3,V$1:AG$1,0)-1)*IF(OR(C663="L",C663="S",C663="I"),-1,1),"")</f>
        <v>9</v>
      </c>
      <c r="AW663" s="899">
        <f t="shared" si="65"/>
        <v>0</v>
      </c>
      <c r="AX663" s="899">
        <f>INDEX(V663:AG663,1,MATCH(Parametres!$B$3,V$1:AG$1,0))*IF(OR(C663="L",C663="S",C663="I"),-1,1)</f>
        <v>9</v>
      </c>
      <c r="AY663" s="487" t="s">
        <v>337</v>
      </c>
      <c r="AZ663" s="487" t="str">
        <f>+VLOOKUP($AJ663,Data_Validation!$A:$E,5,0)</f>
        <v>Oui</v>
      </c>
    </row>
    <row r="664" spans="1:52" ht="15" hidden="1" customHeight="1">
      <c r="A664" s="706" t="s">
        <v>1148</v>
      </c>
      <c r="B664" s="706">
        <v>2026</v>
      </c>
      <c r="C664" s="706" t="s">
        <v>2358</v>
      </c>
      <c r="D664" s="706" t="s">
        <v>2359</v>
      </c>
      <c r="E664" s="706" t="s">
        <v>1149</v>
      </c>
      <c r="F664" s="706" t="s">
        <v>1149</v>
      </c>
      <c r="G664" s="706">
        <v>0</v>
      </c>
      <c r="H664" s="706">
        <v>110438.28</v>
      </c>
      <c r="I664" s="706">
        <v>348535.12</v>
      </c>
      <c r="J664" s="706">
        <v>1423503.96</v>
      </c>
      <c r="K664" s="706">
        <v>1573976.96</v>
      </c>
      <c r="L664" s="706">
        <v>1622869.96</v>
      </c>
      <c r="M664" s="706">
        <v>1949739.22</v>
      </c>
      <c r="N664" s="706">
        <v>2432205.88</v>
      </c>
      <c r="O664" s="706">
        <v>2943116.38</v>
      </c>
      <c r="P664" s="706">
        <v>2990007.97</v>
      </c>
      <c r="Q664" s="706">
        <v>0</v>
      </c>
      <c r="R664" s="706">
        <v>0</v>
      </c>
      <c r="S664" s="706">
        <v>327012.93</v>
      </c>
      <c r="T664" s="706">
        <v>327012.93</v>
      </c>
      <c r="U664" s="706">
        <v>0</v>
      </c>
      <c r="V664" s="706">
        <v>0</v>
      </c>
      <c r="W664" s="706">
        <v>2</v>
      </c>
      <c r="X664" s="706">
        <v>7</v>
      </c>
      <c r="Y664" s="706">
        <v>29</v>
      </c>
      <c r="Z664" s="706">
        <v>32</v>
      </c>
      <c r="AA664" s="706">
        <v>33</v>
      </c>
      <c r="AB664" s="706">
        <v>40</v>
      </c>
      <c r="AC664" s="706">
        <v>50</v>
      </c>
      <c r="AD664" s="706">
        <v>60</v>
      </c>
      <c r="AE664" s="706">
        <v>61</v>
      </c>
      <c r="AF664" s="706">
        <v>0</v>
      </c>
      <c r="AG664" s="706">
        <v>0</v>
      </c>
      <c r="AH664" s="706">
        <v>7</v>
      </c>
      <c r="AI664" s="706">
        <v>7</v>
      </c>
      <c r="AJ664" s="905" t="str">
        <f t="shared" ref="AJ664:AJ727" si="68">C664</f>
        <v>G43401</v>
      </c>
      <c r="AK664" s="905" t="str">
        <f t="shared" ref="AK664:AK727" si="69">D664</f>
        <v>VTES - EQUINOX EV</v>
      </c>
      <c r="AL664" s="905">
        <f>IFERROR(INDEX(G664:R664,1,MATCH(Parametres!$B$3,G$1:R$1,0)-1)*IF(OR(F664="L",F664="S",F664="I"),-1,1),"")</f>
        <v>-2432205.88</v>
      </c>
      <c r="AM664" s="905">
        <f t="shared" ref="AM664:AM727" si="70">AN664-AL664</f>
        <v>-510910.5</v>
      </c>
      <c r="AN664" s="905">
        <f>INDEX(G664:R664,1,MATCH(Parametres!$B$3,G$1:R$1,0))*IF(OR(F664="L",F664="S",F664="I"),-1,1)</f>
        <v>-2943116.38</v>
      </c>
      <c r="AO664" s="487" t="str">
        <f>+VLOOKUP($AJ664,Data_Validation!$A:$D,1,0)</f>
        <v>G43401</v>
      </c>
      <c r="AP664" s="487" t="str">
        <f>+VLOOKUP($AJ664,Data_Validation!$A:$D,3,0)</f>
        <v>Véhicules neufs</v>
      </c>
      <c r="AQ664" s="487" t="str">
        <f>+VLOOKUP($AJ664,Data_Validation!$A:$D,4,0)</f>
        <v>Camions electriques</v>
      </c>
      <c r="AR664" s="487" t="s">
        <v>299</v>
      </c>
      <c r="AS664" s="487" t="str">
        <f>+VLOOKUP($AJ664,Data_Validation!$A:$E,5,0)</f>
        <v>Oui</v>
      </c>
      <c r="AT664" s="904" t="str">
        <f t="shared" ref="AT664:AT727" si="71">C664</f>
        <v>G43401</v>
      </c>
      <c r="AU664" s="488" t="str">
        <f t="shared" ref="AU664:AU727" si="72">D664</f>
        <v>VTES - EQUINOX EV</v>
      </c>
      <c r="AV664" s="899">
        <f>IFERROR(INDEX(V664:AG664,1,MATCH(Parametres!$B$3,V$1:AG$1,0)-1)*IF(OR(C664="L",C664="S",C664="I"),-1,1),"")</f>
        <v>50</v>
      </c>
      <c r="AW664" s="899">
        <f t="shared" ref="AW664:AW727" si="73">AX664-AV664</f>
        <v>10</v>
      </c>
      <c r="AX664" s="899">
        <f>INDEX(V664:AG664,1,MATCH(Parametres!$B$3,V$1:AG$1,0))*IF(OR(C664="L",C664="S",C664="I"),-1,1)</f>
        <v>60</v>
      </c>
      <c r="AY664" s="487" t="s">
        <v>337</v>
      </c>
      <c r="AZ664" s="487" t="str">
        <f>+VLOOKUP($AJ664,Data_Validation!$A:$E,5,0)</f>
        <v>Oui</v>
      </c>
    </row>
    <row r="665" spans="1:52" ht="15" hidden="1" customHeight="1">
      <c r="A665" s="706" t="s">
        <v>1148</v>
      </c>
      <c r="B665" s="706">
        <v>2026</v>
      </c>
      <c r="C665" s="706" t="s">
        <v>2360</v>
      </c>
      <c r="D665" s="706" t="s">
        <v>2361</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G43420</v>
      </c>
      <c r="AK665" s="905" t="str">
        <f t="shared" si="69"/>
        <v>VTES-TRACKER         -LOC</v>
      </c>
      <c r="AL665" s="905">
        <f>IFERROR(INDEX(G665:R665,1,MATCH(Parametres!$B$3,G$1:R$1,0)-1)*IF(OR(F665="L",F665="S",F665="I"),-1,1),"")</f>
        <v>0</v>
      </c>
      <c r="AM665" s="905">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G43420</v>
      </c>
      <c r="AU665" s="488" t="str">
        <f t="shared" si="72"/>
        <v>VTES-TRACKER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hidden="1" customHeight="1">
      <c r="A666" s="706" t="s">
        <v>1148</v>
      </c>
      <c r="B666" s="706">
        <v>2026</v>
      </c>
      <c r="C666" s="706" t="s">
        <v>2362</v>
      </c>
      <c r="D666" s="706" t="s">
        <v>2363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G43500</v>
      </c>
      <c r="AK666" s="905" t="str">
        <f t="shared" si="69"/>
        <v>VENTES CHEV CITY</v>
      </c>
      <c r="AL666" s="905">
        <f>IFERROR(INDEX(G666:R666,1,MATCH(Parametres!$B$3,G$1:R$1,0)-1)*IF(OR(F666="L",F666="S",F666="I"),-1,1),"")</f>
        <v>0</v>
      </c>
      <c r="AM666" s="905">
        <f t="shared" si="70"/>
        <v>0</v>
      </c>
      <c r="AN666" s="905">
        <f>INDEX(G666:R666,1,MATCH(Parametres!$B$3,G$1:R$1,0))*IF(OR(F666="L",F666="S",F666="I"),-1,1)</f>
        <v>0</v>
      </c>
      <c r="AO666" s="487" t="str">
        <f>+VLOOKUP($AJ666,Data_Validation!$A:$D,1,0)</f>
        <v>G43500</v>
      </c>
      <c r="AP666" s="487" t="str">
        <f>+VLOOKUP($AJ666,Data_Validation!$A:$D,3,0)</f>
        <v>Véhicules neufs</v>
      </c>
      <c r="AQ666" s="487" t="str">
        <f>+VLOOKUP($AJ666,Data_Validation!$A:$D,4,0)</f>
        <v>Camions détail</v>
      </c>
      <c r="AR666" s="487" t="s">
        <v>299</v>
      </c>
      <c r="AS666" s="487" t="str">
        <f>+VLOOKUP($AJ666,Data_Validation!$A:$E,5,0)</f>
        <v>Oui</v>
      </c>
      <c r="AT666" s="904" t="str">
        <f t="shared" si="71"/>
        <v>G43500</v>
      </c>
      <c r="AU666" s="488" t="str">
        <f t="shared" si="72"/>
        <v>VENTES CHEV CITY</v>
      </c>
      <c r="AV666" s="899">
        <f>IFERROR(INDEX(V666:AG666,1,MATCH(Parametres!$B$3,V$1:AG$1,0)-1)*IF(OR(C666="L",C666="S",C666="I"),-1,1),"")</f>
        <v>0</v>
      </c>
      <c r="AW666" s="899">
        <f t="shared" si="73"/>
        <v>0</v>
      </c>
      <c r="AX666" s="899">
        <f>INDEX(V666:AG666,1,MATCH(Parametres!$B$3,V$1:AG$1,0))*IF(OR(C666="L",C666="S",C666="I"),-1,1)</f>
        <v>0</v>
      </c>
      <c r="AY666" s="487" t="s">
        <v>337</v>
      </c>
      <c r="AZ666" s="487" t="str">
        <f>+VLOOKUP($AJ666,Data_Validation!$A:$E,5,0)</f>
        <v>Oui</v>
      </c>
    </row>
    <row r="667" spans="1:52" ht="15" hidden="1" customHeight="1">
      <c r="A667" s="706" t="s">
        <v>1148</v>
      </c>
      <c r="B667" s="706">
        <v>2026</v>
      </c>
      <c r="C667" s="706" t="s">
        <v>2364</v>
      </c>
      <c r="D667" s="706" t="s">
        <v>2365</v>
      </c>
      <c r="E667" s="706" t="s">
        <v>1149</v>
      </c>
      <c r="F667" s="706" t="s">
        <v>1149</v>
      </c>
      <c r="G667" s="706">
        <v>0</v>
      </c>
      <c r="H667" s="706">
        <v>0</v>
      </c>
      <c r="I667" s="706">
        <v>0</v>
      </c>
      <c r="J667" s="706">
        <v>0</v>
      </c>
      <c r="K667" s="706">
        <v>0</v>
      </c>
      <c r="L667" s="706">
        <v>0</v>
      </c>
      <c r="M667" s="706">
        <v>127470.08</v>
      </c>
      <c r="N667" s="706">
        <v>127470.08</v>
      </c>
      <c r="O667" s="706">
        <v>248515.58</v>
      </c>
      <c r="P667" s="706">
        <v>248515.58</v>
      </c>
      <c r="Q667" s="706">
        <v>0</v>
      </c>
      <c r="R667" s="706">
        <v>0</v>
      </c>
      <c r="S667" s="706">
        <v>27612.84</v>
      </c>
      <c r="T667" s="706">
        <v>27612.84</v>
      </c>
      <c r="U667" s="706">
        <v>0</v>
      </c>
      <c r="V667" s="706">
        <v>0</v>
      </c>
      <c r="W667" s="706">
        <v>0</v>
      </c>
      <c r="X667" s="706">
        <v>0</v>
      </c>
      <c r="Y667" s="706">
        <v>0</v>
      </c>
      <c r="Z667" s="706">
        <v>0</v>
      </c>
      <c r="AA667" s="706">
        <v>0</v>
      </c>
      <c r="AB667" s="706">
        <v>1</v>
      </c>
      <c r="AC667" s="706">
        <v>1</v>
      </c>
      <c r="AD667" s="706">
        <v>2</v>
      </c>
      <c r="AE667" s="706">
        <v>2</v>
      </c>
      <c r="AF667" s="706">
        <v>0</v>
      </c>
      <c r="AG667" s="706">
        <v>0</v>
      </c>
      <c r="AH667" s="706">
        <v>0</v>
      </c>
      <c r="AI667" s="706">
        <v>0</v>
      </c>
      <c r="AJ667" s="905" t="str">
        <f t="shared" si="68"/>
        <v>G43501</v>
      </c>
      <c r="AK667" s="905" t="str">
        <f t="shared" si="69"/>
        <v>VTES - HUMMER EV SUV</v>
      </c>
      <c r="AL667" s="905">
        <f>IFERROR(INDEX(G667:R667,1,MATCH(Parametres!$B$3,G$1:R$1,0)-1)*IF(OR(F667="L",F667="S",F667="I"),-1,1),"")</f>
        <v>-127470.08</v>
      </c>
      <c r="AM667" s="1047">
        <f t="shared" si="70"/>
        <v>-121045.49999999999</v>
      </c>
      <c r="AN667" s="905">
        <f>INDEX(G667:R667,1,MATCH(Parametres!$B$3,G$1:R$1,0))*IF(OR(F667="L",F667="S",F667="I"),-1,1)</f>
        <v>-248515.58</v>
      </c>
      <c r="AO667" s="487" t="str">
        <f>+VLOOKUP($AJ667,Data_Validation!$A:$D,1,0)</f>
        <v>G43501</v>
      </c>
      <c r="AP667" s="487" t="str">
        <f>+VLOOKUP($AJ667,Data_Validation!$A:$D,3,0)</f>
        <v>Véhicules neufs</v>
      </c>
      <c r="AQ667" s="487" t="str">
        <f>+VLOOKUP($AJ667,Data_Validation!$A:$D,4,0)</f>
        <v>Camions electriques</v>
      </c>
      <c r="AR667" s="487" t="s">
        <v>299</v>
      </c>
      <c r="AS667" s="487" t="str">
        <f>+VLOOKUP($AJ667,Data_Validation!$A:$E,5,0)</f>
        <v>Oui</v>
      </c>
      <c r="AT667" s="904" t="str">
        <f t="shared" si="71"/>
        <v>G43501</v>
      </c>
      <c r="AU667" s="488" t="str">
        <f t="shared" si="72"/>
        <v>VTES - HUMMER EV SUV</v>
      </c>
      <c r="AV667" s="899">
        <f>IFERROR(INDEX(V667:AG667,1,MATCH(Parametres!$B$3,V$1:AG$1,0)-1)*IF(OR(C667="L",C667="S",C667="I"),-1,1),"")</f>
        <v>1</v>
      </c>
      <c r="AW667" s="899">
        <f t="shared" si="73"/>
        <v>1</v>
      </c>
      <c r="AX667" s="899">
        <f>INDEX(V667:AG667,1,MATCH(Parametres!$B$3,V$1:AG$1,0))*IF(OR(C667="L",C667="S",C667="I"),-1,1)</f>
        <v>2</v>
      </c>
      <c r="AY667" s="487" t="s">
        <v>337</v>
      </c>
      <c r="AZ667" s="487" t="str">
        <f>+VLOOKUP($AJ667,Data_Validation!$A:$E,5,0)</f>
        <v>Oui</v>
      </c>
    </row>
    <row r="668" spans="1:52" ht="15" hidden="1" customHeight="1">
      <c r="A668" s="706" t="s">
        <v>1148</v>
      </c>
      <c r="B668" s="706">
        <v>2026</v>
      </c>
      <c r="C668" s="706" t="s">
        <v>2366</v>
      </c>
      <c r="D668" s="706" t="s">
        <v>2367</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G43520</v>
      </c>
      <c r="AK668" s="905" t="str">
        <f t="shared" si="69"/>
        <v>VTES-SSR             -LOC</v>
      </c>
      <c r="AL668" s="905">
        <f>IFERROR(INDEX(G668:R668,1,MATCH(Parametres!$B$3,G$1:R$1,0)-1)*IF(OR(F668="L",F668="S",F668="I"),-1,1),"")</f>
        <v>0</v>
      </c>
      <c r="AM668" s="1047">
        <f t="shared" si="70"/>
        <v>0</v>
      </c>
      <c r="AN668" s="905">
        <f>INDEX(G668:R668,1,MATCH(Parametres!$B$3,G$1:R$1,0))*IF(OR(F668="L",F668="S",F668="I"),-1,1)</f>
        <v>0</v>
      </c>
      <c r="AO668" s="487" t="e">
        <f>+VLOOKUP($AJ668,Data_Validation!$A:$D,1,0)</f>
        <v>#N/A</v>
      </c>
      <c r="AP668" s="487" t="e">
        <f>+VLOOKUP($AJ668,Data_Validation!$A:$D,3,0)</f>
        <v>#N/A</v>
      </c>
      <c r="AQ668" s="487" t="e">
        <f>+VLOOKUP($AJ668,Data_Validation!$A:$D,4,0)</f>
        <v>#N/A</v>
      </c>
      <c r="AR668" s="487" t="s">
        <v>299</v>
      </c>
      <c r="AS668" s="487" t="e">
        <f>+VLOOKUP($AJ668,Data_Validation!$A:$E,5,0)</f>
        <v>#N/A</v>
      </c>
      <c r="AT668" s="904" t="str">
        <f t="shared" si="71"/>
        <v>G43520</v>
      </c>
      <c r="AU668" s="488" t="str">
        <f t="shared" si="72"/>
        <v>VTES-SSR             -LOC</v>
      </c>
      <c r="AV668" s="899">
        <f>IFERROR(INDEX(V668:AG668,1,MATCH(Parametres!$B$3,V$1:AG$1,0)-1)*IF(OR(C668="L",C668="S",C668="I"),-1,1),"")</f>
        <v>0</v>
      </c>
      <c r="AW668" s="899">
        <f t="shared" si="73"/>
        <v>0</v>
      </c>
      <c r="AX668" s="899">
        <f>INDEX(V668:AG668,1,MATCH(Parametres!$B$3,V$1:AG$1,0))*IF(OR(C668="L",C668="S",C668="I"),-1,1)</f>
        <v>0</v>
      </c>
      <c r="AY668" s="487" t="s">
        <v>337</v>
      </c>
      <c r="AZ668" s="487" t="e">
        <f>+VLOOKUP($AJ668,Data_Validation!$A:$E,5,0)</f>
        <v>#N/A</v>
      </c>
    </row>
    <row r="669" spans="1:52" ht="15" hidden="1" customHeight="1">
      <c r="A669" s="706" t="s">
        <v>1148</v>
      </c>
      <c r="B669" s="706">
        <v>2026</v>
      </c>
      <c r="C669" s="706" t="s">
        <v>2368</v>
      </c>
      <c r="D669" s="706" t="s">
        <v>2369</v>
      </c>
      <c r="E669" s="706" t="s">
        <v>1149</v>
      </c>
      <c r="F669" s="706" t="s">
        <v>1149</v>
      </c>
      <c r="G669" s="706">
        <v>40000</v>
      </c>
      <c r="H669" s="706">
        <v>72235</v>
      </c>
      <c r="I669" s="706">
        <v>72235</v>
      </c>
      <c r="J669" s="706">
        <v>72235</v>
      </c>
      <c r="K669" s="706">
        <v>109605.5</v>
      </c>
      <c r="L669" s="706">
        <v>109605.5</v>
      </c>
      <c r="M669" s="706">
        <v>109605.5</v>
      </c>
      <c r="N669" s="706">
        <v>143925.5</v>
      </c>
      <c r="O669" s="706">
        <v>225882.9</v>
      </c>
      <c r="P669" s="706">
        <v>225882.9</v>
      </c>
      <c r="Q669" s="706">
        <v>0</v>
      </c>
      <c r="R669" s="706">
        <v>0</v>
      </c>
      <c r="S669" s="706">
        <v>25098.1</v>
      </c>
      <c r="T669" s="706">
        <v>25098.1</v>
      </c>
      <c r="U669" s="706">
        <v>0</v>
      </c>
      <c r="V669" s="706">
        <v>1</v>
      </c>
      <c r="W669" s="706">
        <v>2</v>
      </c>
      <c r="X669" s="706">
        <v>2</v>
      </c>
      <c r="Y669" s="706">
        <v>2</v>
      </c>
      <c r="Z669" s="706">
        <v>3</v>
      </c>
      <c r="AA669" s="706">
        <v>3</v>
      </c>
      <c r="AB669" s="706">
        <v>3</v>
      </c>
      <c r="AC669" s="706">
        <v>4</v>
      </c>
      <c r="AD669" s="706">
        <v>6</v>
      </c>
      <c r="AE669" s="706">
        <v>6</v>
      </c>
      <c r="AF669" s="706">
        <v>0</v>
      </c>
      <c r="AG669" s="706">
        <v>0</v>
      </c>
      <c r="AH669" s="706">
        <v>1</v>
      </c>
      <c r="AI669" s="706">
        <v>1</v>
      </c>
      <c r="AJ669" s="905" t="str">
        <f t="shared" si="68"/>
        <v>G43600</v>
      </c>
      <c r="AK669" s="905" t="str">
        <f t="shared" si="69"/>
        <v>VTES-TRAIL BLAZER</v>
      </c>
      <c r="AL669" s="905">
        <f>IFERROR(INDEX(G669:R669,1,MATCH(Parametres!$B$3,G$1:R$1,0)-1)*IF(OR(F669="L",F669="S",F669="I"),-1,1),"")</f>
        <v>-143925.5</v>
      </c>
      <c r="AM669" s="1047">
        <f t="shared" si="70"/>
        <v>-81957.399999999994</v>
      </c>
      <c r="AN669" s="905">
        <f>INDEX(G669:R669,1,MATCH(Parametres!$B$3,G$1:R$1,0))*IF(OR(F669="L",F669="S",F669="I"),-1,1)</f>
        <v>-225882.9</v>
      </c>
      <c r="AO669" s="487" t="str">
        <f>+VLOOKUP($AJ669,Data_Validation!$A:$D,1,0)</f>
        <v>G43600</v>
      </c>
      <c r="AP669" s="487" t="str">
        <f>+VLOOKUP($AJ669,Data_Validation!$A:$D,3,0)</f>
        <v>Véhicules neufs</v>
      </c>
      <c r="AQ669" s="487" t="str">
        <f>+VLOOKUP($AJ669,Data_Validation!$A:$D,4,0)</f>
        <v>Camions détail</v>
      </c>
      <c r="AR669" s="487" t="s">
        <v>299</v>
      </c>
      <c r="AS669" s="487" t="str">
        <f>+VLOOKUP($AJ669,Data_Validation!$A:$E,5,0)</f>
        <v>Oui</v>
      </c>
      <c r="AT669" s="904" t="str">
        <f t="shared" si="71"/>
        <v>G43600</v>
      </c>
      <c r="AU669" s="488" t="str">
        <f t="shared" si="72"/>
        <v>VTES-TRAIL BLAZER</v>
      </c>
      <c r="AV669" s="899">
        <f>IFERROR(INDEX(V669:AG669,1,MATCH(Parametres!$B$3,V$1:AG$1,0)-1)*IF(OR(C669="L",C669="S",C669="I"),-1,1),"")</f>
        <v>4</v>
      </c>
      <c r="AW669" s="899">
        <f t="shared" si="73"/>
        <v>2</v>
      </c>
      <c r="AX669" s="899">
        <f>INDEX(V669:AG669,1,MATCH(Parametres!$B$3,V$1:AG$1,0))*IF(OR(C669="L",C669="S",C669="I"),-1,1)</f>
        <v>6</v>
      </c>
      <c r="AY669" s="487" t="s">
        <v>337</v>
      </c>
      <c r="AZ669" s="487" t="str">
        <f>+VLOOKUP($AJ669,Data_Validation!$A:$E,5,0)</f>
        <v>Oui</v>
      </c>
    </row>
    <row r="670" spans="1:52" ht="15" hidden="1" customHeight="1">
      <c r="A670" s="706" t="s">
        <v>1148</v>
      </c>
      <c r="B670" s="706">
        <v>2026</v>
      </c>
      <c r="C670" s="706" t="s">
        <v>2370</v>
      </c>
      <c r="D670" s="706" t="s">
        <v>2371</v>
      </c>
      <c r="E670" s="706" t="s">
        <v>1149</v>
      </c>
      <c r="F670" s="706" t="s">
        <v>1149</v>
      </c>
      <c r="G670" s="706">
        <v>0</v>
      </c>
      <c r="H670" s="706">
        <v>0</v>
      </c>
      <c r="I670" s="706">
        <v>67438</v>
      </c>
      <c r="J670" s="706">
        <v>133438</v>
      </c>
      <c r="K670" s="706">
        <v>199872</v>
      </c>
      <c r="L670" s="706">
        <v>199872</v>
      </c>
      <c r="M670" s="706">
        <v>199872</v>
      </c>
      <c r="N670" s="706">
        <v>199872</v>
      </c>
      <c r="O670" s="706">
        <v>270224.28999999998</v>
      </c>
      <c r="P670" s="706">
        <v>270224.28999999998</v>
      </c>
      <c r="Q670" s="706">
        <v>0</v>
      </c>
      <c r="R670" s="706">
        <v>0</v>
      </c>
      <c r="S670" s="706">
        <v>30024.92</v>
      </c>
      <c r="T670" s="706">
        <v>30024.92</v>
      </c>
      <c r="U670" s="706">
        <v>0</v>
      </c>
      <c r="V670" s="706">
        <v>0</v>
      </c>
      <c r="W670" s="706">
        <v>0</v>
      </c>
      <c r="X670" s="706">
        <v>1</v>
      </c>
      <c r="Y670" s="706">
        <v>2</v>
      </c>
      <c r="Z670" s="706">
        <v>3</v>
      </c>
      <c r="AA670" s="706">
        <v>3</v>
      </c>
      <c r="AB670" s="706">
        <v>3</v>
      </c>
      <c r="AC670" s="706">
        <v>3</v>
      </c>
      <c r="AD670" s="706">
        <v>4</v>
      </c>
      <c r="AE670" s="706">
        <v>4</v>
      </c>
      <c r="AF670" s="706">
        <v>0</v>
      </c>
      <c r="AG670" s="706">
        <v>0</v>
      </c>
      <c r="AH670" s="706">
        <v>0</v>
      </c>
      <c r="AI670" s="706">
        <v>0</v>
      </c>
      <c r="AJ670" s="905" t="str">
        <f t="shared" si="68"/>
        <v>G43602</v>
      </c>
      <c r="AK670" s="905" t="str">
        <f t="shared" si="69"/>
        <v>VENTES GMC ACADIA</v>
      </c>
      <c r="AL670" s="905">
        <f>IFERROR(INDEX(G670:R670,1,MATCH(Parametres!$B$3,G$1:R$1,0)-1)*IF(OR(F670="L",F670="S",F670="I"),-1,1),"")</f>
        <v>-199872</v>
      </c>
      <c r="AM670" s="905">
        <f t="shared" si="70"/>
        <v>-70352.289999999979</v>
      </c>
      <c r="AN670" s="905">
        <f>INDEX(G670:R670,1,MATCH(Parametres!$B$3,G$1:R$1,0))*IF(OR(F670="L",F670="S",F670="I"),-1,1)</f>
        <v>-270224.28999999998</v>
      </c>
      <c r="AO670" s="487" t="str">
        <f>+VLOOKUP($AJ670,Data_Validation!$A:$D,1,0)</f>
        <v>G43602</v>
      </c>
      <c r="AP670" s="487" t="str">
        <f>+VLOOKUP($AJ670,Data_Validation!$A:$D,3,0)</f>
        <v>Véhicules neufs</v>
      </c>
      <c r="AQ670" s="487" t="str">
        <f>+VLOOKUP($AJ670,Data_Validation!$A:$D,4,0)</f>
        <v>Camions détail</v>
      </c>
      <c r="AR670" s="487" t="s">
        <v>299</v>
      </c>
      <c r="AS670" s="487" t="str">
        <f>+VLOOKUP($AJ670,Data_Validation!$A:$E,5,0)</f>
        <v>Oui</v>
      </c>
      <c r="AT670" s="904" t="str">
        <f t="shared" si="71"/>
        <v>G43602</v>
      </c>
      <c r="AU670" s="488" t="str">
        <f t="shared" si="72"/>
        <v>VENTES GMC ACADIA</v>
      </c>
      <c r="AV670" s="899">
        <f>IFERROR(INDEX(V670:AG670,1,MATCH(Parametres!$B$3,V$1:AG$1,0)-1)*IF(OR(C670="L",C670="S",C670="I"),-1,1),"")</f>
        <v>3</v>
      </c>
      <c r="AW670" s="899">
        <f t="shared" si="73"/>
        <v>1</v>
      </c>
      <c r="AX670" s="899">
        <f>INDEX(V670:AG670,1,MATCH(Parametres!$B$3,V$1:AG$1,0))*IF(OR(C670="L",C670="S",C670="I"),-1,1)</f>
        <v>4</v>
      </c>
      <c r="AY670" s="487" t="s">
        <v>337</v>
      </c>
      <c r="AZ670" s="487" t="str">
        <f>+VLOOKUP($AJ670,Data_Validation!$A:$E,5,0)</f>
        <v>Oui</v>
      </c>
    </row>
    <row r="671" spans="1:52" ht="15" hidden="1" customHeight="1">
      <c r="A671" s="706" t="s">
        <v>1148</v>
      </c>
      <c r="B671" s="706">
        <v>2026</v>
      </c>
      <c r="C671" s="706" t="s">
        <v>2372</v>
      </c>
      <c r="D671" s="706" t="s">
        <v>2373</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G43800</v>
      </c>
      <c r="AK671" s="905" t="str">
        <f t="shared" si="69"/>
        <v>VTES-CHEV CAMION AUTRES</v>
      </c>
      <c r="AL671" s="905">
        <f>IFERROR(INDEX(G671:R671,1,MATCH(Parametres!$B$3,G$1:R$1,0)-1)*IF(OR(F671="L",F671="S",F671="I"),-1,1),"")</f>
        <v>0</v>
      </c>
      <c r="AM671" s="905">
        <f t="shared" si="70"/>
        <v>0</v>
      </c>
      <c r="AN671" s="905">
        <f>INDEX(G671:R671,1,MATCH(Parametres!$B$3,G$1:R$1,0))*IF(OR(F671="L",F671="S",F671="I"),-1,1)</f>
        <v>0</v>
      </c>
      <c r="AO671" s="487" t="e">
        <f>+VLOOKUP($AJ671,Data_Validation!$A:$D,1,0)</f>
        <v>#N/A</v>
      </c>
      <c r="AP671" s="487" t="e">
        <f>+VLOOKUP($AJ671,Data_Validation!$A:$D,3,0)</f>
        <v>#N/A</v>
      </c>
      <c r="AQ671" s="487" t="e">
        <f>+VLOOKUP($AJ671,Data_Validation!$A:$D,4,0)</f>
        <v>#N/A</v>
      </c>
      <c r="AR671" s="487" t="s">
        <v>299</v>
      </c>
      <c r="AS671" s="487" t="e">
        <f>+VLOOKUP($AJ671,Data_Validation!$A:$E,5,0)</f>
        <v>#N/A</v>
      </c>
      <c r="AT671" s="904" t="str">
        <f t="shared" si="71"/>
        <v>G43800</v>
      </c>
      <c r="AU671" s="488" t="str">
        <f t="shared" si="72"/>
        <v>VTES-CHEV CAMION AUTRES</v>
      </c>
      <c r="AV671" s="899">
        <f>IFERROR(INDEX(V671:AG671,1,MATCH(Parametres!$B$3,V$1:AG$1,0)-1)*IF(OR(C671="L",C671="S",C671="I"),-1,1),"")</f>
        <v>0</v>
      </c>
      <c r="AW671" s="899">
        <f t="shared" si="73"/>
        <v>0</v>
      </c>
      <c r="AX671" s="899">
        <f>INDEX(V671:AG671,1,MATCH(Parametres!$B$3,V$1:AG$1,0))*IF(OR(C671="L",C671="S",C671="I"),-1,1)</f>
        <v>0</v>
      </c>
      <c r="AY671" s="487" t="s">
        <v>337</v>
      </c>
      <c r="AZ671" s="487" t="e">
        <f>+VLOOKUP($AJ671,Data_Validation!$A:$E,5,0)</f>
        <v>#N/A</v>
      </c>
    </row>
    <row r="672" spans="1:52" ht="15" hidden="1" customHeight="1">
      <c r="A672" s="706" t="s">
        <v>1148</v>
      </c>
      <c r="B672" s="706">
        <v>2026</v>
      </c>
      <c r="C672" s="706" t="s">
        <v>2374</v>
      </c>
      <c r="D672" s="706" t="s">
        <v>2375</v>
      </c>
      <c r="E672" s="706" t="s">
        <v>1149</v>
      </c>
      <c r="F672" s="706" t="s">
        <v>1149</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905" t="str">
        <f t="shared" si="68"/>
        <v>G43820</v>
      </c>
      <c r="AK672" s="905" t="str">
        <f t="shared" si="69"/>
        <v>VTES-CHEV CAM AUTRE  -LOC</v>
      </c>
      <c r="AL672" s="905">
        <f>IFERROR(INDEX(G672:R672,1,MATCH(Parametres!$B$3,G$1:R$1,0)-1)*IF(OR(F672="L",F672="S",F672="I"),-1,1),"")</f>
        <v>0</v>
      </c>
      <c r="AM672" s="905">
        <f t="shared" si="70"/>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71"/>
        <v>G43820</v>
      </c>
      <c r="AU672" s="488" t="str">
        <f t="shared" si="72"/>
        <v>VTES-CHEV CAM AUTRE  -LOC</v>
      </c>
      <c r="AV672" s="899">
        <f>IFERROR(INDEX(V672:AG672,1,MATCH(Parametres!$B$3,V$1:AG$1,0)-1)*IF(OR(C672="L",C672="S",C672="I"),-1,1),"")</f>
        <v>0</v>
      </c>
      <c r="AW672" s="899">
        <f t="shared" si="73"/>
        <v>0</v>
      </c>
      <c r="AX672" s="899">
        <f>INDEX(V672:AG672,1,MATCH(Parametres!$B$3,V$1:AG$1,0))*IF(OR(C672="L",C672="S",C672="I"),-1,1)</f>
        <v>0</v>
      </c>
      <c r="AY672" s="487" t="s">
        <v>337</v>
      </c>
      <c r="AZ672" s="487" t="e">
        <f>+VLOOKUP($AJ672,Data_Validation!$A:$E,5,0)</f>
        <v>#N/A</v>
      </c>
    </row>
    <row r="673" spans="1:52" ht="15" hidden="1" customHeight="1">
      <c r="A673" s="706" t="s">
        <v>1148</v>
      </c>
      <c r="B673" s="706">
        <v>2026</v>
      </c>
      <c r="C673" s="706" t="s">
        <v>2376</v>
      </c>
      <c r="D673" s="706" t="s">
        <v>2377</v>
      </c>
      <c r="E673" s="706" t="s">
        <v>1149</v>
      </c>
      <c r="F673" s="706" t="s">
        <v>1149</v>
      </c>
      <c r="G673" s="706">
        <v>7341393.8700000001</v>
      </c>
      <c r="H673" s="706">
        <v>16188705.73</v>
      </c>
      <c r="I673" s="706">
        <v>24057643.949999999</v>
      </c>
      <c r="J673" s="706">
        <v>35215377.390000001</v>
      </c>
      <c r="K673" s="706">
        <v>46698197.899999999</v>
      </c>
      <c r="L673" s="706">
        <v>55470148.740000002</v>
      </c>
      <c r="M673" s="706">
        <v>59560774.780000001</v>
      </c>
      <c r="N673" s="706">
        <v>62083971.799999997</v>
      </c>
      <c r="O673" s="706">
        <v>65212399.560000002</v>
      </c>
      <c r="P673" s="706">
        <v>65212399.560000002</v>
      </c>
      <c r="Q673" s="706">
        <v>0</v>
      </c>
      <c r="R673" s="706">
        <v>0</v>
      </c>
      <c r="S673" s="706">
        <v>7245822.1699999999</v>
      </c>
      <c r="T673" s="706">
        <v>7245822.1699999999</v>
      </c>
      <c r="U673" s="706">
        <v>0</v>
      </c>
      <c r="V673" s="706">
        <v>113</v>
      </c>
      <c r="W673" s="706">
        <v>259</v>
      </c>
      <c r="X673" s="706">
        <v>393</v>
      </c>
      <c r="Y673" s="706">
        <v>551</v>
      </c>
      <c r="Z673" s="706">
        <v>725</v>
      </c>
      <c r="AA673" s="706">
        <v>846</v>
      </c>
      <c r="AB673" s="706">
        <v>904</v>
      </c>
      <c r="AC673" s="706">
        <v>938</v>
      </c>
      <c r="AD673" s="706">
        <v>989</v>
      </c>
      <c r="AE673" s="706">
        <v>989</v>
      </c>
      <c r="AF673" s="706">
        <v>0</v>
      </c>
      <c r="AG673" s="706">
        <v>0</v>
      </c>
      <c r="AH673" s="706">
        <v>110</v>
      </c>
      <c r="AI673" s="706">
        <v>110</v>
      </c>
      <c r="AJ673" s="905" t="str">
        <f t="shared" si="68"/>
        <v>G44000</v>
      </c>
      <c r="AK673" s="905" t="str">
        <f t="shared" si="69"/>
        <v>VENTES PARCS CAMIONS</v>
      </c>
      <c r="AL673" s="905">
        <f>IFERROR(INDEX(G673:R673,1,MATCH(Parametres!$B$3,G$1:R$1,0)-1)*IF(OR(F673="L",F673="S",F673="I"),-1,1),"")</f>
        <v>-62083971.799999997</v>
      </c>
      <c r="AM673" s="905">
        <f t="shared" si="70"/>
        <v>-3128427.7600000054</v>
      </c>
      <c r="AN673" s="905">
        <f>INDEX(G673:R673,1,MATCH(Parametres!$B$3,G$1:R$1,0))*IF(OR(F673="L",F673="S",F673="I"),-1,1)</f>
        <v>-65212399.560000002</v>
      </c>
      <c r="AO673" s="487" t="str">
        <f>+VLOOKUP($AJ673,Data_Validation!$A:$D,1,0)</f>
        <v>G44000</v>
      </c>
      <c r="AP673" s="487" t="str">
        <f>+VLOOKUP($AJ673,Data_Validation!$A:$D,3,0)</f>
        <v>Véhicules neufs</v>
      </c>
      <c r="AQ673" s="487" t="str">
        <f>+VLOOKUP($AJ673,Data_Validation!$A:$D,4,0)</f>
        <v>Flottes</v>
      </c>
      <c r="AR673" s="487" t="s">
        <v>299</v>
      </c>
      <c r="AS673" s="487" t="str">
        <f>+VLOOKUP($AJ673,Data_Validation!$A:$E,5,0)</f>
        <v>Oui</v>
      </c>
      <c r="AT673" s="904" t="str">
        <f t="shared" si="71"/>
        <v>G44000</v>
      </c>
      <c r="AU673" s="488" t="str">
        <f t="shared" si="72"/>
        <v>VENTES PARCS CAMIONS</v>
      </c>
      <c r="AV673" s="899">
        <f>IFERROR(INDEX(V673:AG673,1,MATCH(Parametres!$B$3,V$1:AG$1,0)-1)*IF(OR(C673="L",C673="S",C673="I"),-1,1),"")</f>
        <v>938</v>
      </c>
      <c r="AW673" s="899">
        <f t="shared" si="73"/>
        <v>51</v>
      </c>
      <c r="AX673" s="899">
        <f>INDEX(V673:AG673,1,MATCH(Parametres!$B$3,V$1:AG$1,0))*IF(OR(C673="L",C673="S",C673="I"),-1,1)</f>
        <v>989</v>
      </c>
      <c r="AY673" s="487" t="s">
        <v>337</v>
      </c>
      <c r="AZ673" s="487" t="str">
        <f>+VLOOKUP($AJ673,Data_Validation!$A:$E,5,0)</f>
        <v>Oui</v>
      </c>
    </row>
    <row r="674" spans="1:52" ht="15" hidden="1" customHeight="1">
      <c r="A674" s="706" t="s">
        <v>1148</v>
      </c>
      <c r="B674" s="706">
        <v>2026</v>
      </c>
      <c r="C674" s="706" t="s">
        <v>2378</v>
      </c>
      <c r="D674" s="706" t="s">
        <v>2379</v>
      </c>
      <c r="E674" s="706" t="s">
        <v>1149</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G44100</v>
      </c>
      <c r="AK674" s="905" t="str">
        <f t="shared" si="69"/>
        <v>VTES-INTERNE CAMIONS</v>
      </c>
      <c r="AL674" s="905">
        <f>IFERROR(INDEX(G674:R674,1,MATCH(Parametres!$B$3,G$1:R$1,0)-1)*IF(OR(F674="L",F674="S",F674="I"),-1,1),"")</f>
        <v>0</v>
      </c>
      <c r="AM674" s="905">
        <f t="shared" si="70"/>
        <v>0</v>
      </c>
      <c r="AN674" s="905">
        <f>INDEX(G674:R674,1,MATCH(Parametres!$B$3,G$1:R$1,0))*IF(OR(F674="L",F674="S",F674="I"),-1,1)</f>
        <v>0</v>
      </c>
      <c r="AO674" s="487" t="str">
        <f>+VLOOKUP($AJ674,Data_Validation!$A:$D,1,0)</f>
        <v>G44100</v>
      </c>
      <c r="AP674" s="487" t="str">
        <f>+VLOOKUP($AJ674,Data_Validation!$A:$D,3,0)</f>
        <v>Véhicules neufs</v>
      </c>
      <c r="AQ674" s="487" t="str">
        <f>+VLOOKUP($AJ674,Data_Validation!$A:$D,4,0)</f>
        <v>Flottes</v>
      </c>
      <c r="AR674" s="487" t="s">
        <v>299</v>
      </c>
      <c r="AS674" s="487" t="str">
        <f>+VLOOKUP($AJ674,Data_Validation!$A:$E,5,0)</f>
        <v>Oui</v>
      </c>
      <c r="AT674" s="904" t="str">
        <f t="shared" si="71"/>
        <v>G44100</v>
      </c>
      <c r="AU674" s="488" t="str">
        <f t="shared" si="72"/>
        <v>VTES-INTERNE CAMIONS</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hidden="1" customHeight="1">
      <c r="A675" s="706" t="s">
        <v>1148</v>
      </c>
      <c r="B675" s="706">
        <v>2026</v>
      </c>
      <c r="C675" s="706" t="s">
        <v>2380</v>
      </c>
      <c r="D675" s="706" t="s">
        <v>3331</v>
      </c>
      <c r="E675" s="706" t="s">
        <v>333</v>
      </c>
      <c r="F675" s="706" t="s">
        <v>1149</v>
      </c>
      <c r="G675" s="706">
        <v>61922.46</v>
      </c>
      <c r="H675" s="706">
        <v>99457.46</v>
      </c>
      <c r="I675" s="706">
        <v>156410.91</v>
      </c>
      <c r="J675" s="706">
        <v>273816.55</v>
      </c>
      <c r="K675" s="706">
        <v>330493.25</v>
      </c>
      <c r="L675" s="706">
        <v>384528.25</v>
      </c>
      <c r="M675" s="706">
        <v>449564.25</v>
      </c>
      <c r="N675" s="706">
        <v>506031.05</v>
      </c>
      <c r="O675" s="706">
        <v>595126.44999999995</v>
      </c>
      <c r="P675" s="706">
        <v>607611.44999999995</v>
      </c>
      <c r="Q675" s="706">
        <v>0</v>
      </c>
      <c r="R675" s="706">
        <v>0</v>
      </c>
      <c r="S675" s="706">
        <v>66125.16</v>
      </c>
      <c r="T675" s="706">
        <v>66125.16</v>
      </c>
      <c r="U675" s="706">
        <v>0</v>
      </c>
      <c r="V675" s="706">
        <v>13</v>
      </c>
      <c r="W675" s="706">
        <v>24</v>
      </c>
      <c r="X675" s="706">
        <v>42</v>
      </c>
      <c r="Y675" s="706">
        <v>75</v>
      </c>
      <c r="Z675" s="706">
        <v>90</v>
      </c>
      <c r="AA675" s="706">
        <v>104</v>
      </c>
      <c r="AB675" s="706">
        <v>119</v>
      </c>
      <c r="AC675" s="706">
        <v>140</v>
      </c>
      <c r="AD675" s="706">
        <v>176</v>
      </c>
      <c r="AE675" s="706">
        <v>179</v>
      </c>
      <c r="AF675" s="706">
        <v>0</v>
      </c>
      <c r="AG675" s="706">
        <v>0</v>
      </c>
      <c r="AH675" s="706">
        <v>20</v>
      </c>
      <c r="AI675" s="706">
        <v>20</v>
      </c>
      <c r="AJ675" s="905" t="str">
        <f t="shared" si="68"/>
        <v>G44300</v>
      </c>
      <c r="AK675" s="905" t="str">
        <f t="shared" si="69"/>
        <v>VTES-PLAN PROTECTION -NF</v>
      </c>
      <c r="AL675" s="905">
        <f>IFERROR(INDEX(G675:R675,1,MATCH(Parametres!$B$3,G$1:R$1,0)-1)*IF(OR(F675="L",F675="S",F675="I"),-1,1),"")</f>
        <v>-506031.05</v>
      </c>
      <c r="AM675" s="905">
        <f t="shared" si="70"/>
        <v>-89095.399999999965</v>
      </c>
      <c r="AN675" s="905">
        <f>INDEX(G675:R675,1,MATCH(Parametres!$B$3,G$1:R$1,0))*IF(OR(F675="L",F675="S",F675="I"),-1,1)</f>
        <v>-595126.44999999995</v>
      </c>
      <c r="AO675" s="487" t="str">
        <f>+VLOOKUP($AJ675,Data_Validation!$A:$D,1,0)</f>
        <v>G44300</v>
      </c>
      <c r="AP675" s="487" t="str">
        <f>+VLOOKUP($AJ675,Data_Validation!$A:$D,3,0)</f>
        <v>Véhicules neufs</v>
      </c>
      <c r="AQ675" s="487" t="str">
        <f>+VLOOKUP($AJ675,Data_Validation!$A:$D,4,0)</f>
        <v>Rev. Protections</v>
      </c>
      <c r="AR675" s="487" t="s">
        <v>299</v>
      </c>
      <c r="AS675" s="487" t="str">
        <f>+VLOOKUP($AJ675,Data_Validation!$A:$E,5,0)</f>
        <v>Oui</v>
      </c>
      <c r="AT675" s="904" t="str">
        <f t="shared" si="71"/>
        <v>G44300</v>
      </c>
      <c r="AU675" s="488" t="str">
        <f t="shared" si="72"/>
        <v>VTES-PLAN PROTECTION -NF</v>
      </c>
      <c r="AV675" s="899">
        <f>IFERROR(INDEX(V675:AG675,1,MATCH(Parametres!$B$3,V$1:AG$1,0)-1)*IF(OR(C675="L",C675="S",C675="I"),-1,1),"")</f>
        <v>140</v>
      </c>
      <c r="AW675" s="899">
        <f t="shared" si="73"/>
        <v>36</v>
      </c>
      <c r="AX675" s="899">
        <f>INDEX(V675:AG675,1,MATCH(Parametres!$B$3,V$1:AG$1,0))*IF(OR(C675="L",C675="S",C675="I"),-1,1)</f>
        <v>176</v>
      </c>
      <c r="AY675" s="487" t="s">
        <v>337</v>
      </c>
      <c r="AZ675" s="487" t="str">
        <f>+VLOOKUP($AJ675,Data_Validation!$A:$E,5,0)</f>
        <v>Oui</v>
      </c>
    </row>
    <row r="676" spans="1:52" ht="15" hidden="1" customHeight="1">
      <c r="A676" s="706" t="s">
        <v>1148</v>
      </c>
      <c r="B676" s="706">
        <v>2026</v>
      </c>
      <c r="C676" s="706" t="s">
        <v>3461</v>
      </c>
      <c r="D676" s="706" t="s">
        <v>3462</v>
      </c>
      <c r="E676" s="706" t="s">
        <v>333</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G44301</v>
      </c>
      <c r="AK676" s="905" t="str">
        <f t="shared" si="69"/>
        <v>VTE -PRT NOMAD NEUF</v>
      </c>
      <c r="AL676" s="905">
        <f>IFERROR(INDEX(G676:R676,1,MATCH(Parametres!$B$3,G$1:R$1,0)-1)*IF(OR(F676="L",F676="S",F676="I"),-1,1),"")</f>
        <v>0</v>
      </c>
      <c r="AM676" s="905">
        <f t="shared" si="70"/>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71"/>
        <v>G44301</v>
      </c>
      <c r="AU676" s="488" t="str">
        <f t="shared" si="72"/>
        <v>VTE -PRT NOMAD NEUF</v>
      </c>
      <c r="AV676" s="899">
        <f>IFERROR(INDEX(V676:AG676,1,MATCH(Parametres!$B$3,V$1:AG$1,0)-1)*IF(OR(C676="L",C676="S",C676="I"),-1,1),"")</f>
        <v>0</v>
      </c>
      <c r="AW676" s="899">
        <f t="shared" si="73"/>
        <v>0</v>
      </c>
      <c r="AX676" s="899">
        <f>INDEX(V676:AG676,1,MATCH(Parametres!$B$3,V$1:AG$1,0))*IF(OR(C676="L",C676="S",C676="I"),-1,1)</f>
        <v>0</v>
      </c>
      <c r="AY676" s="487" t="s">
        <v>337</v>
      </c>
      <c r="AZ676" s="487" t="e">
        <f>+VLOOKUP($AJ676,Data_Validation!$A:$E,5,0)</f>
        <v>#N/A</v>
      </c>
    </row>
    <row r="677" spans="1:52" ht="15" hidden="1" customHeight="1">
      <c r="A677" s="706" t="s">
        <v>1148</v>
      </c>
      <c r="B677" s="706">
        <v>2026</v>
      </c>
      <c r="C677" s="706" t="s">
        <v>3463</v>
      </c>
      <c r="D677" s="706" t="s">
        <v>3464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905" t="str">
        <f t="shared" si="68"/>
        <v>G44310</v>
      </c>
      <c r="AK677" s="905" t="str">
        <f t="shared" si="69"/>
        <v>VTES - PL PROTECT GM NEUF</v>
      </c>
      <c r="AL677" s="905">
        <f>IFERROR(INDEX(G677:R677,1,MATCH(Parametres!$B$3,G$1:R$1,0)-1)*IF(OR(F677="L",F677="S",F677="I"),-1,1),"")</f>
        <v>0</v>
      </c>
      <c r="AM677" s="905">
        <f t="shared" si="70"/>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71"/>
        <v>G44310</v>
      </c>
      <c r="AU677" s="488" t="str">
        <f t="shared" si="72"/>
        <v>VTES - PL PROTECT GM NEUF</v>
      </c>
      <c r="AV677" s="899">
        <f>IFERROR(INDEX(V677:AG677,1,MATCH(Parametres!$B$3,V$1:AG$1,0)-1)*IF(OR(C677="L",C677="S",C677="I"),-1,1),"")</f>
        <v>0</v>
      </c>
      <c r="AW677" s="899">
        <f t="shared" si="73"/>
        <v>0</v>
      </c>
      <c r="AX677" s="899">
        <f>INDEX(V677:AG677,1,MATCH(Parametres!$B$3,V$1:AG$1,0))*IF(OR(C677="L",C677="S",C677="I"),-1,1)</f>
        <v>0</v>
      </c>
      <c r="AY677" s="487" t="s">
        <v>337</v>
      </c>
      <c r="AZ677" s="487" t="e">
        <f>+VLOOKUP($AJ677,Data_Validation!$A:$E,5,0)</f>
        <v>#N/A</v>
      </c>
    </row>
    <row r="678" spans="1:52" ht="15" hidden="1" customHeight="1">
      <c r="A678" s="706" t="s">
        <v>1148</v>
      </c>
      <c r="B678" s="706">
        <v>2026</v>
      </c>
      <c r="C678" s="706" t="s">
        <v>3465</v>
      </c>
      <c r="D678" s="706" t="s">
        <v>3466</v>
      </c>
      <c r="E678" s="706" t="s">
        <v>333</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G44311</v>
      </c>
      <c r="AK678" s="905" t="str">
        <f t="shared" si="69"/>
        <v>VTE -PR PNEUS-JANTE NEUF</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G44311</v>
      </c>
      <c r="AU678" s="488" t="str">
        <f t="shared" si="72"/>
        <v>VTE -PR PNEUS-JANTE NEUF</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hidden="1" customHeight="1">
      <c r="A679" s="706" t="s">
        <v>1148</v>
      </c>
      <c r="B679" s="706">
        <v>2026</v>
      </c>
      <c r="C679" s="706" t="s">
        <v>3467</v>
      </c>
      <c r="D679" s="706" t="s">
        <v>3468</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G44312</v>
      </c>
      <c r="AK679" s="905" t="str">
        <f t="shared" si="69"/>
        <v>VTE -PROT A L'ECART NEUF</v>
      </c>
      <c r="AL679" s="905">
        <f>IFERROR(INDEX(G679:R679,1,MATCH(Parametres!$B$3,G$1:R$1,0)-1)*IF(OR(F679="L",F679="S",F679="I"),-1,1),"")</f>
        <v>0</v>
      </c>
      <c r="AM679" s="905">
        <f t="shared" si="70"/>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71"/>
        <v>G44312</v>
      </c>
      <c r="AU679" s="488" t="str">
        <f t="shared" si="72"/>
        <v>VTE -PROT A L'ECART NEUF</v>
      </c>
      <c r="AV679" s="899">
        <f>IFERROR(INDEX(V679:AG679,1,MATCH(Parametres!$B$3,V$1:AG$1,0)-1)*IF(OR(C679="L",C679="S",C679="I"),-1,1),"")</f>
        <v>0</v>
      </c>
      <c r="AW679" s="899">
        <f t="shared" si="73"/>
        <v>0</v>
      </c>
      <c r="AX679" s="899">
        <f>INDEX(V679:AG679,1,MATCH(Parametres!$B$3,V$1:AG$1,0))*IF(OR(C679="L",C679="S",C679="I"),-1,1)</f>
        <v>0</v>
      </c>
      <c r="AY679" s="487" t="s">
        <v>337</v>
      </c>
      <c r="AZ679" s="487" t="e">
        <f>+VLOOKUP($AJ679,Data_Validation!$A:$E,5,0)</f>
        <v>#N/A</v>
      </c>
    </row>
    <row r="680" spans="1:52" ht="15" hidden="1" customHeight="1">
      <c r="A680" s="706" t="s">
        <v>1148</v>
      </c>
      <c r="B680" s="706">
        <v>2026</v>
      </c>
      <c r="C680" s="706" t="s">
        <v>3469</v>
      </c>
      <c r="D680" s="706" t="s">
        <v>3470</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G44313</v>
      </c>
      <c r="AK680" s="905" t="str">
        <f t="shared" si="69"/>
        <v>VTE -MULTI PROTECT NEUFS</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G44313</v>
      </c>
      <c r="AU680" s="488" t="str">
        <f t="shared" si="72"/>
        <v>VTE -MULTI PROTECT NEUFS</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hidden="1" customHeight="1">
      <c r="A681" s="706" t="s">
        <v>1148</v>
      </c>
      <c r="B681" s="706">
        <v>2026</v>
      </c>
      <c r="C681" s="706" t="s">
        <v>3471</v>
      </c>
      <c r="D681" s="706" t="s">
        <v>3472</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G44314</v>
      </c>
      <c r="AK681" s="905" t="str">
        <f t="shared" si="69"/>
        <v>VTE -PRT USURE NEUFS</v>
      </c>
      <c r="AL681" s="905">
        <f>IFERROR(INDEX(G681:R681,1,MATCH(Parametres!$B$3,G$1:R$1,0)-1)*IF(OR(F681="L",F681="S",F681="I"),-1,1),"")</f>
        <v>0</v>
      </c>
      <c r="AM681" s="905">
        <f t="shared" si="70"/>
        <v>0</v>
      </c>
      <c r="AN681" s="905">
        <f>INDEX(G681:R681,1,MATCH(Parametres!$B$3,G$1:R$1,0))*IF(OR(F681="L",F681="S",F681="I"),-1,1)</f>
        <v>0</v>
      </c>
      <c r="AO681" s="487" t="e">
        <f>+VLOOKUP($AJ681,Data_Validation!$A:$D,1,0)</f>
        <v>#N/A</v>
      </c>
      <c r="AP681" s="487" t="e">
        <f>+VLOOKUP($AJ681,Data_Validation!$A:$D,3,0)</f>
        <v>#N/A</v>
      </c>
      <c r="AQ681" s="487" t="e">
        <f>+VLOOKUP($AJ681,Data_Validation!$A:$D,4,0)</f>
        <v>#N/A</v>
      </c>
      <c r="AR681" s="487" t="s">
        <v>299</v>
      </c>
      <c r="AS681" s="487" t="e">
        <f>+VLOOKUP($AJ681,Data_Validation!$A:$E,5,0)</f>
        <v>#N/A</v>
      </c>
      <c r="AT681" s="904" t="str">
        <f t="shared" si="71"/>
        <v>G44314</v>
      </c>
      <c r="AU681" s="488" t="str">
        <f t="shared" si="72"/>
        <v>VTE -PRT USURE NEUFS</v>
      </c>
      <c r="AV681" s="899">
        <f>IFERROR(INDEX(V681:AG681,1,MATCH(Parametres!$B$3,V$1:AG$1,0)-1)*IF(OR(C681="L",C681="S",C681="I"),-1,1),"")</f>
        <v>0</v>
      </c>
      <c r="AW681" s="899">
        <f t="shared" si="73"/>
        <v>0</v>
      </c>
      <c r="AX681" s="899">
        <f>INDEX(V681:AG681,1,MATCH(Parametres!$B$3,V$1:AG$1,0))*IF(OR(C681="L",C681="S",C681="I"),-1,1)</f>
        <v>0</v>
      </c>
      <c r="AY681" s="487" t="s">
        <v>337</v>
      </c>
      <c r="AZ681" s="487" t="e">
        <f>+VLOOKUP($AJ681,Data_Validation!$A:$E,5,0)</f>
        <v>#N/A</v>
      </c>
    </row>
    <row r="682" spans="1:52" ht="15" hidden="1" customHeight="1">
      <c r="A682" s="706" t="s">
        <v>1148</v>
      </c>
      <c r="B682" s="706">
        <v>2026</v>
      </c>
      <c r="C682" s="706" t="s">
        <v>2382</v>
      </c>
      <c r="D682" s="706" t="s">
        <v>2383</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G44400</v>
      </c>
      <c r="AK682" s="905" t="str">
        <f t="shared" si="69"/>
        <v>VENTE PROTECTION PLUS</v>
      </c>
      <c r="AL682" s="905">
        <f>IFERROR(INDEX(G682:R682,1,MATCH(Parametres!$B$3,G$1:R$1,0)-1)*IF(OR(F682="L",F682="S",F682="I"),-1,1),"")</f>
        <v>0</v>
      </c>
      <c r="AM682" s="1047">
        <f t="shared" si="70"/>
        <v>0</v>
      </c>
      <c r="AN682" s="905">
        <f>INDEX(G682:R682,1,MATCH(Parametres!$B$3,G$1:R$1,0))*IF(OR(F682="L",F682="S",F682="I"),-1,1)</f>
        <v>0</v>
      </c>
      <c r="AO682" s="487" t="str">
        <f>+VLOOKUP($AJ682,Data_Validation!$A:$D,1,0)</f>
        <v>G44400</v>
      </c>
      <c r="AP682" s="487" t="str">
        <f>+VLOOKUP($AJ682,Data_Validation!$A:$D,3,0)</f>
        <v>Véhicules neufs</v>
      </c>
      <c r="AQ682" s="487" t="str">
        <f>+VLOOKUP($AJ682,Data_Validation!$A:$D,4,0)</f>
        <v>Rev. Protections</v>
      </c>
      <c r="AR682" s="487" t="s">
        <v>299</v>
      </c>
      <c r="AS682" s="487" t="str">
        <f>+VLOOKUP($AJ682,Data_Validation!$A:$E,5,0)</f>
        <v>Oui</v>
      </c>
      <c r="AT682" s="904" t="str">
        <f t="shared" si="71"/>
        <v>G44400</v>
      </c>
      <c r="AU682" s="488" t="str">
        <f t="shared" si="72"/>
        <v>VENTE PROTECTION PLUS</v>
      </c>
      <c r="AV682" s="899">
        <f>IFERROR(INDEX(V682:AG682,1,MATCH(Parametres!$B$3,V$1:AG$1,0)-1)*IF(OR(C682="L",C682="S",C682="I"),-1,1),"")</f>
        <v>0</v>
      </c>
      <c r="AW682" s="899">
        <f t="shared" si="73"/>
        <v>0</v>
      </c>
      <c r="AX682" s="899">
        <f>INDEX(V682:AG682,1,MATCH(Parametres!$B$3,V$1:AG$1,0))*IF(OR(C682="L",C682="S",C682="I"),-1,1)</f>
        <v>0</v>
      </c>
      <c r="AY682" s="487" t="s">
        <v>337</v>
      </c>
      <c r="AZ682" s="487" t="str">
        <f>+VLOOKUP($AJ682,Data_Validation!$A:$E,5,0)</f>
        <v>Oui</v>
      </c>
    </row>
    <row r="683" spans="1:52" ht="15" hidden="1" customHeight="1">
      <c r="A683" s="706" t="s">
        <v>1148</v>
      </c>
      <c r="B683" s="706">
        <v>2026</v>
      </c>
      <c r="C683" s="706" t="s">
        <v>3473</v>
      </c>
      <c r="D683" s="706" t="s">
        <v>3474</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G44410</v>
      </c>
      <c r="AK683" s="905" t="str">
        <f t="shared" si="69"/>
        <v>VTE -PRT SERV VEH NEUFS</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G44410</v>
      </c>
      <c r="AU683" s="488" t="str">
        <f t="shared" si="72"/>
        <v>VTE -PRT SERV VEH NEUFS</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hidden="1" customHeight="1">
      <c r="A684" s="706" t="s">
        <v>1148</v>
      </c>
      <c r="B684" s="706">
        <v>2026</v>
      </c>
      <c r="C684" s="706" t="s">
        <v>3475</v>
      </c>
      <c r="D684" s="706" t="s">
        <v>3476</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G44411</v>
      </c>
      <c r="AK684" s="905" t="str">
        <f t="shared" si="69"/>
        <v>VTE -PRT PNEUS -JAN NEUFS</v>
      </c>
      <c r="AL684" s="905">
        <f>IFERROR(INDEX(G684:R684,1,MATCH(Parametres!$B$3,G$1:R$1,0)-1)*IF(OR(F684="L",F684="S",F684="I"),-1,1),"")</f>
        <v>0</v>
      </c>
      <c r="AM684" s="905">
        <f t="shared" si="70"/>
        <v>0</v>
      </c>
      <c r="AN684" s="905">
        <f>INDEX(G684:R684,1,MATCH(Parametres!$B$3,G$1:R$1,0))*IF(OR(F684="L",F684="S",F684="I"),-1,1)</f>
        <v>0</v>
      </c>
      <c r="AO684" s="487" t="e">
        <f>+VLOOKUP($AJ684,Data_Validation!$A:$D,1,0)</f>
        <v>#N/A</v>
      </c>
      <c r="AP684" s="487" t="e">
        <f>+VLOOKUP($AJ684,Data_Validation!$A:$D,3,0)</f>
        <v>#N/A</v>
      </c>
      <c r="AQ684" s="487" t="e">
        <f>+VLOOKUP($AJ684,Data_Validation!$A:$D,4,0)</f>
        <v>#N/A</v>
      </c>
      <c r="AR684" s="487" t="s">
        <v>299</v>
      </c>
      <c r="AS684" s="487" t="e">
        <f>+VLOOKUP($AJ684,Data_Validation!$A:$E,5,0)</f>
        <v>#N/A</v>
      </c>
      <c r="AT684" s="904" t="str">
        <f t="shared" si="71"/>
        <v>G44411</v>
      </c>
      <c r="AU684" s="488" t="str">
        <f t="shared" si="72"/>
        <v>VTE -PRT PNEUS -JAN NEUFS</v>
      </c>
      <c r="AV684" s="899">
        <f>IFERROR(INDEX(V684:AG684,1,MATCH(Parametres!$B$3,V$1:AG$1,0)-1)*IF(OR(C684="L",C684="S",C684="I"),-1,1),"")</f>
        <v>0</v>
      </c>
      <c r="AW684" s="899">
        <f t="shared" si="73"/>
        <v>0</v>
      </c>
      <c r="AX684" s="899">
        <f>INDEX(V684:AG684,1,MATCH(Parametres!$B$3,V$1:AG$1,0))*IF(OR(C684="L",C684="S",C684="I"),-1,1)</f>
        <v>0</v>
      </c>
      <c r="AY684" s="487" t="s">
        <v>337</v>
      </c>
      <c r="AZ684" s="487" t="e">
        <f>+VLOOKUP($AJ684,Data_Validation!$A:$E,5,0)</f>
        <v>#N/A</v>
      </c>
    </row>
    <row r="685" spans="1:52" ht="15" hidden="1" customHeight="1">
      <c r="A685" s="706" t="s">
        <v>1148</v>
      </c>
      <c r="B685" s="706">
        <v>2026</v>
      </c>
      <c r="C685" s="706" t="s">
        <v>3477</v>
      </c>
      <c r="D685" s="706" t="s">
        <v>3478</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G44412</v>
      </c>
      <c r="AK685" s="905" t="str">
        <f t="shared" si="69"/>
        <v>VTE -PRT PERTE TOT NEUFS</v>
      </c>
      <c r="AL685" s="905">
        <f>IFERROR(INDEX(G685:R685,1,MATCH(Parametres!$B$3,G$1:R$1,0)-1)*IF(OR(F685="L",F685="S",F685="I"),-1,1),"")</f>
        <v>0</v>
      </c>
      <c r="AM685" s="905">
        <f t="shared" si="70"/>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71"/>
        <v>G44412</v>
      </c>
      <c r="AU685" s="488" t="str">
        <f t="shared" si="72"/>
        <v>VTE -PRT PERTE TOT NEUFS</v>
      </c>
      <c r="AV685" s="899">
        <f>IFERROR(INDEX(V685:AG685,1,MATCH(Parametres!$B$3,V$1:AG$1,0)-1)*IF(OR(C685="L",C685="S",C685="I"),-1,1),"")</f>
        <v>0</v>
      </c>
      <c r="AW685" s="899">
        <f t="shared" si="73"/>
        <v>0</v>
      </c>
      <c r="AX685" s="899">
        <f>INDEX(V685:AG685,1,MATCH(Parametres!$B$3,V$1:AG$1,0))*IF(OR(C685="L",C685="S",C685="I"),-1,1)</f>
        <v>0</v>
      </c>
      <c r="AY685" s="487" t="s">
        <v>337</v>
      </c>
      <c r="AZ685" s="487" t="e">
        <f>+VLOOKUP($AJ685,Data_Validation!$A:$E,5,0)</f>
        <v>#N/A</v>
      </c>
    </row>
    <row r="686" spans="1:52" ht="15" hidden="1" customHeight="1">
      <c r="A686" s="706" t="s">
        <v>1148</v>
      </c>
      <c r="B686" s="706">
        <v>2026</v>
      </c>
      <c r="C686" s="706" t="s">
        <v>3479</v>
      </c>
      <c r="D686" s="706" t="s">
        <v>3480</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G44413</v>
      </c>
      <c r="AK686" s="905" t="str">
        <f t="shared" si="69"/>
        <v>VTE -PRT REMPL CLE-NEUFS</v>
      </c>
      <c r="AL686" s="905">
        <f>IFERROR(INDEX(G686:R686,1,MATCH(Parametres!$B$3,G$1:R$1,0)-1)*IF(OR(F686="L",F686="S",F686="I"),-1,1),"")</f>
        <v>0</v>
      </c>
      <c r="AM686" s="905">
        <f t="shared" si="70"/>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71"/>
        <v>G44413</v>
      </c>
      <c r="AU686" s="488" t="str">
        <f t="shared" si="72"/>
        <v>VTE -PRT REMPL CLE-NEUFS</v>
      </c>
      <c r="AV686" s="899">
        <f>IFERROR(INDEX(V686:AG686,1,MATCH(Parametres!$B$3,V$1:AG$1,0)-1)*IF(OR(C686="L",C686="S",C686="I"),-1,1),"")</f>
        <v>0</v>
      </c>
      <c r="AW686" s="899">
        <f t="shared" si="73"/>
        <v>0</v>
      </c>
      <c r="AX686" s="899">
        <f>INDEX(V686:AG686,1,MATCH(Parametres!$B$3,V$1:AG$1,0))*IF(OR(C686="L",C686="S",C686="I"),-1,1)</f>
        <v>0</v>
      </c>
      <c r="AY686" s="487" t="s">
        <v>337</v>
      </c>
      <c r="AZ686" s="487" t="e">
        <f>+VLOOKUP($AJ686,Data_Validation!$A:$E,5,0)</f>
        <v>#N/A</v>
      </c>
    </row>
    <row r="687" spans="1:52" ht="15" hidden="1" customHeight="1">
      <c r="A687" s="706" t="s">
        <v>1148</v>
      </c>
      <c r="B687" s="706">
        <v>2026</v>
      </c>
      <c r="C687" s="706" t="s">
        <v>3481</v>
      </c>
      <c r="D687" s="706" t="s">
        <v>3482</v>
      </c>
      <c r="E687" s="706" t="s">
        <v>333</v>
      </c>
      <c r="F687" s="706" t="s">
        <v>1149</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905" t="str">
        <f t="shared" si="68"/>
        <v>G44500</v>
      </c>
      <c r="AK687" s="905" t="str">
        <f t="shared" si="69"/>
        <v>VTES- AUTRES PROT NEUFS</v>
      </c>
      <c r="AL687" s="905">
        <f>IFERROR(INDEX(G687:R687,1,MATCH(Parametres!$B$3,G$1:R$1,0)-1)*IF(OR(F687="L",F687="S",F687="I"),-1,1),"")</f>
        <v>0</v>
      </c>
      <c r="AM687" s="905">
        <f t="shared" si="70"/>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71"/>
        <v>G44500</v>
      </c>
      <c r="AU687" s="488" t="str">
        <f t="shared" si="72"/>
        <v>VTES- AUTRES PROT NEUFS</v>
      </c>
      <c r="AV687" s="899">
        <f>IFERROR(INDEX(V687:AG687,1,MATCH(Parametres!$B$3,V$1:AG$1,0)-1)*IF(OR(C687="L",C687="S",C687="I"),-1,1),"")</f>
        <v>0</v>
      </c>
      <c r="AW687" s="899">
        <f t="shared" si="73"/>
        <v>0</v>
      </c>
      <c r="AX687" s="899">
        <f>INDEX(V687:AG687,1,MATCH(Parametres!$B$3,V$1:AG$1,0))*IF(OR(C687="L",C687="S",C687="I"),-1,1)</f>
        <v>0</v>
      </c>
      <c r="AY687" s="487" t="s">
        <v>337</v>
      </c>
      <c r="AZ687" s="487" t="e">
        <f>+VLOOKUP($AJ687,Data_Validation!$A:$E,5,0)</f>
        <v>#N/A</v>
      </c>
    </row>
    <row r="688" spans="1:52" ht="15" hidden="1" customHeight="1">
      <c r="A688" s="706" t="s">
        <v>1148</v>
      </c>
      <c r="B688" s="706">
        <v>2026</v>
      </c>
      <c r="C688" s="706" t="s">
        <v>2384</v>
      </c>
      <c r="D688" s="706" t="s">
        <v>2385</v>
      </c>
      <c r="E688" s="706" t="s">
        <v>333</v>
      </c>
      <c r="F688" s="706" t="s">
        <v>1149</v>
      </c>
      <c r="G688" s="706">
        <v>2298</v>
      </c>
      <c r="H688" s="706">
        <v>4623</v>
      </c>
      <c r="I688" s="706">
        <v>6521</v>
      </c>
      <c r="J688" s="706">
        <v>13070</v>
      </c>
      <c r="K688" s="706">
        <v>17998</v>
      </c>
      <c r="L688" s="706">
        <v>24187</v>
      </c>
      <c r="M688" s="706">
        <v>30936</v>
      </c>
      <c r="N688" s="706">
        <v>30936</v>
      </c>
      <c r="O688" s="706">
        <v>31386</v>
      </c>
      <c r="P688" s="706">
        <v>31386</v>
      </c>
      <c r="Q688" s="706">
        <v>0</v>
      </c>
      <c r="R688" s="706">
        <v>0</v>
      </c>
      <c r="S688" s="706">
        <v>3487.33</v>
      </c>
      <c r="T688" s="706">
        <v>3487.33</v>
      </c>
      <c r="U688" s="706">
        <v>0</v>
      </c>
      <c r="V688" s="706">
        <v>2</v>
      </c>
      <c r="W688" s="706">
        <v>4</v>
      </c>
      <c r="X688" s="706">
        <v>6</v>
      </c>
      <c r="Y688" s="706">
        <v>12</v>
      </c>
      <c r="Z688" s="706">
        <v>16</v>
      </c>
      <c r="AA688" s="706">
        <v>21</v>
      </c>
      <c r="AB688" s="706">
        <v>27</v>
      </c>
      <c r="AC688" s="706">
        <v>27</v>
      </c>
      <c r="AD688" s="706">
        <v>28</v>
      </c>
      <c r="AE688" s="706">
        <v>28</v>
      </c>
      <c r="AF688" s="706">
        <v>0</v>
      </c>
      <c r="AG688" s="706">
        <v>0</v>
      </c>
      <c r="AH688" s="706">
        <v>3</v>
      </c>
      <c r="AI688" s="706">
        <v>3</v>
      </c>
      <c r="AJ688" s="905" t="str">
        <f t="shared" si="68"/>
        <v>G44501</v>
      </c>
      <c r="AK688" s="905" t="str">
        <f t="shared" si="69"/>
        <v>VTES-ANTIROUILLE</v>
      </c>
      <c r="AL688" s="905">
        <f>IFERROR(INDEX(G688:R688,1,MATCH(Parametres!$B$3,G$1:R$1,0)-1)*IF(OR(F688="L",F688="S",F688="I"),-1,1),"")</f>
        <v>-30936</v>
      </c>
      <c r="AM688" s="905">
        <f t="shared" si="70"/>
        <v>-450</v>
      </c>
      <c r="AN688" s="905">
        <f>INDEX(G688:R688,1,MATCH(Parametres!$B$3,G$1:R$1,0))*IF(OR(F688="L",F688="S",F688="I"),-1,1)</f>
        <v>-31386</v>
      </c>
      <c r="AO688" s="487" t="str">
        <f>+VLOOKUP($AJ688,Data_Validation!$A:$D,1,0)</f>
        <v>G44501</v>
      </c>
      <c r="AP688" s="487" t="str">
        <f>+VLOOKUP($AJ688,Data_Validation!$A:$D,3,0)</f>
        <v>Véhicules neufs</v>
      </c>
      <c r="AQ688" s="487" t="str">
        <f>+VLOOKUP($AJ688,Data_Validation!$A:$D,4,0)</f>
        <v>Rev. Autres</v>
      </c>
      <c r="AR688" s="487" t="s">
        <v>299</v>
      </c>
      <c r="AS688" s="487" t="str">
        <f>+VLOOKUP($AJ688,Data_Validation!$A:$E,5,0)</f>
        <v>Oui</v>
      </c>
      <c r="AT688" s="904" t="str">
        <f t="shared" si="71"/>
        <v>G44501</v>
      </c>
      <c r="AU688" s="488" t="str">
        <f t="shared" si="72"/>
        <v>VTES-ANTIROUILLE</v>
      </c>
      <c r="AV688" s="899">
        <f>IFERROR(INDEX(V688:AG688,1,MATCH(Parametres!$B$3,V$1:AG$1,0)-1)*IF(OR(C688="L",C688="S",C688="I"),-1,1),"")</f>
        <v>27</v>
      </c>
      <c r="AW688" s="899">
        <f t="shared" si="73"/>
        <v>1</v>
      </c>
      <c r="AX688" s="899">
        <f>INDEX(V688:AG688,1,MATCH(Parametres!$B$3,V$1:AG$1,0))*IF(OR(C688="L",C688="S",C688="I"),-1,1)</f>
        <v>28</v>
      </c>
      <c r="AY688" s="487" t="s">
        <v>337</v>
      </c>
      <c r="AZ688" s="487" t="str">
        <f>+VLOOKUP($AJ688,Data_Validation!$A:$E,5,0)</f>
        <v>Oui</v>
      </c>
    </row>
    <row r="689" spans="1:52" ht="15" hidden="1" customHeight="1">
      <c r="A689" s="706" t="s">
        <v>1148</v>
      </c>
      <c r="B689" s="706">
        <v>2026</v>
      </c>
      <c r="C689" s="706" t="s">
        <v>2386</v>
      </c>
      <c r="D689" s="706" t="s">
        <v>2387</v>
      </c>
      <c r="E689" s="706" t="s">
        <v>333</v>
      </c>
      <c r="F689" s="706" t="s">
        <v>1149</v>
      </c>
      <c r="G689" s="706">
        <v>0</v>
      </c>
      <c r="H689" s="706">
        <v>1249</v>
      </c>
      <c r="I689" s="706">
        <v>3403</v>
      </c>
      <c r="J689" s="706">
        <v>8652</v>
      </c>
      <c r="K689" s="706">
        <v>11822</v>
      </c>
      <c r="L689" s="706">
        <v>13092</v>
      </c>
      <c r="M689" s="706">
        <v>18403</v>
      </c>
      <c r="N689" s="706">
        <v>21121</v>
      </c>
      <c r="O689" s="706">
        <v>26311</v>
      </c>
      <c r="P689" s="706">
        <v>26311</v>
      </c>
      <c r="Q689" s="706">
        <v>0</v>
      </c>
      <c r="R689" s="706">
        <v>0</v>
      </c>
      <c r="S689" s="706">
        <v>2923.44</v>
      </c>
      <c r="T689" s="706">
        <v>2923.44</v>
      </c>
      <c r="U689" s="706">
        <v>0</v>
      </c>
      <c r="V689" s="706">
        <v>0</v>
      </c>
      <c r="W689" s="706">
        <v>2</v>
      </c>
      <c r="X689" s="706">
        <v>7</v>
      </c>
      <c r="Y689" s="706">
        <v>16</v>
      </c>
      <c r="Z689" s="706">
        <v>21</v>
      </c>
      <c r="AA689" s="706">
        <v>23</v>
      </c>
      <c r="AB689" s="706">
        <v>29</v>
      </c>
      <c r="AC689" s="706">
        <v>33</v>
      </c>
      <c r="AD689" s="706">
        <v>43</v>
      </c>
      <c r="AE689" s="706">
        <v>43</v>
      </c>
      <c r="AF689" s="706">
        <v>0</v>
      </c>
      <c r="AG689" s="706">
        <v>0</v>
      </c>
      <c r="AH689" s="706">
        <v>5</v>
      </c>
      <c r="AI689" s="706">
        <v>5</v>
      </c>
      <c r="AJ689" s="905" t="str">
        <f t="shared" si="68"/>
        <v>G44503</v>
      </c>
      <c r="AK689" s="905" t="str">
        <f t="shared" si="69"/>
        <v>V.TEINTÉE-PEINTURE-TISSUS</v>
      </c>
      <c r="AL689" s="905">
        <f>IFERROR(INDEX(G689:R689,1,MATCH(Parametres!$B$3,G$1:R$1,0)-1)*IF(OR(F689="L",F689="S",F689="I"),-1,1),"")</f>
        <v>-21121</v>
      </c>
      <c r="AM689" s="905">
        <f t="shared" si="70"/>
        <v>-5190</v>
      </c>
      <c r="AN689" s="905">
        <f>INDEX(G689:R689,1,MATCH(Parametres!$B$3,G$1:R$1,0))*IF(OR(F689="L",F689="S",F689="I"),-1,1)</f>
        <v>-26311</v>
      </c>
      <c r="AO689" s="487" t="str">
        <f>+VLOOKUP($AJ689,Data_Validation!$A:$D,1,0)</f>
        <v>G44503</v>
      </c>
      <c r="AP689" s="487" t="str">
        <f>+VLOOKUP($AJ689,Data_Validation!$A:$D,3,0)</f>
        <v>Véhicules neufs</v>
      </c>
      <c r="AQ689" s="487" t="str">
        <f>+VLOOKUP($AJ689,Data_Validation!$A:$D,4,0)</f>
        <v>Rev. Autres</v>
      </c>
      <c r="AR689" s="487" t="s">
        <v>299</v>
      </c>
      <c r="AS689" s="487" t="str">
        <f>+VLOOKUP($AJ689,Data_Validation!$A:$E,5,0)</f>
        <v>Oui</v>
      </c>
      <c r="AT689" s="904" t="str">
        <f t="shared" si="71"/>
        <v>G44503</v>
      </c>
      <c r="AU689" s="488" t="str">
        <f t="shared" si="72"/>
        <v>V.TEINTÉE-PEINTURE-TISSUS</v>
      </c>
      <c r="AV689" s="899">
        <f>IFERROR(INDEX(V689:AG689,1,MATCH(Parametres!$B$3,V$1:AG$1,0)-1)*IF(OR(C689="L",C689="S",C689="I"),-1,1),"")</f>
        <v>33</v>
      </c>
      <c r="AW689" s="899">
        <f t="shared" si="73"/>
        <v>10</v>
      </c>
      <c r="AX689" s="899">
        <f>INDEX(V689:AG689,1,MATCH(Parametres!$B$3,V$1:AG$1,0))*IF(OR(C689="L",C689="S",C689="I"),-1,1)</f>
        <v>43</v>
      </c>
      <c r="AY689" s="487" t="s">
        <v>337</v>
      </c>
      <c r="AZ689" s="487" t="str">
        <f>+VLOOKUP($AJ689,Data_Validation!$A:$E,5,0)</f>
        <v>Oui</v>
      </c>
    </row>
    <row r="690" spans="1:52" ht="15" hidden="1" customHeight="1">
      <c r="A690" s="706" t="s">
        <v>1148</v>
      </c>
      <c r="B690" s="706">
        <v>2026</v>
      </c>
      <c r="C690" s="706" t="s">
        <v>2388</v>
      </c>
      <c r="D690" s="706" t="s">
        <v>2389</v>
      </c>
      <c r="E690" s="706" t="s">
        <v>333</v>
      </c>
      <c r="F690" s="706" t="s">
        <v>1149</v>
      </c>
      <c r="G690" s="706">
        <v>0</v>
      </c>
      <c r="H690" s="706">
        <v>4605</v>
      </c>
      <c r="I690" s="706">
        <v>7706.34</v>
      </c>
      <c r="J690" s="706">
        <v>10823.34</v>
      </c>
      <c r="K690" s="706">
        <v>10823.34</v>
      </c>
      <c r="L690" s="706">
        <v>10823.34</v>
      </c>
      <c r="M690" s="706">
        <v>14163.34</v>
      </c>
      <c r="N690" s="706">
        <v>14163.34</v>
      </c>
      <c r="O690" s="706">
        <v>16074.34</v>
      </c>
      <c r="P690" s="706">
        <v>16074.34</v>
      </c>
      <c r="Q690" s="706">
        <v>0</v>
      </c>
      <c r="R690" s="706">
        <v>0</v>
      </c>
      <c r="S690" s="706">
        <v>1786.04</v>
      </c>
      <c r="T690" s="706">
        <v>1786.04</v>
      </c>
      <c r="U690" s="706">
        <v>0</v>
      </c>
      <c r="V690" s="706">
        <v>0</v>
      </c>
      <c r="W690" s="706">
        <v>2</v>
      </c>
      <c r="X690" s="706">
        <v>4</v>
      </c>
      <c r="Y690" s="706">
        <v>5</v>
      </c>
      <c r="Z690" s="706">
        <v>5</v>
      </c>
      <c r="AA690" s="706">
        <v>5</v>
      </c>
      <c r="AB690" s="706">
        <v>6</v>
      </c>
      <c r="AC690" s="706">
        <v>6</v>
      </c>
      <c r="AD690" s="706">
        <v>7</v>
      </c>
      <c r="AE690" s="706">
        <v>7</v>
      </c>
      <c r="AF690" s="706">
        <v>0</v>
      </c>
      <c r="AG690" s="706">
        <v>0</v>
      </c>
      <c r="AH690" s="706">
        <v>1</v>
      </c>
      <c r="AI690" s="706">
        <v>1</v>
      </c>
      <c r="AJ690" s="905" t="str">
        <f t="shared" si="68"/>
        <v>G44504</v>
      </c>
      <c r="AK690" s="905" t="str">
        <f t="shared" si="69"/>
        <v>VTES-ASS. VALEUR REMPL</v>
      </c>
      <c r="AL690" s="905">
        <f>IFERROR(INDEX(G690:R690,1,MATCH(Parametres!$B$3,G$1:R$1,0)-1)*IF(OR(F690="L",F690="S",F690="I"),-1,1),"")</f>
        <v>-14163.34</v>
      </c>
      <c r="AM690" s="905">
        <f t="shared" si="70"/>
        <v>-1911</v>
      </c>
      <c r="AN690" s="905">
        <f>INDEX(G690:R690,1,MATCH(Parametres!$B$3,G$1:R$1,0))*IF(OR(F690="L",F690="S",F690="I"),-1,1)</f>
        <v>-16074.34</v>
      </c>
      <c r="AO690" s="487" t="str">
        <f>+VLOOKUP($AJ690,Data_Validation!$A:$D,1,0)</f>
        <v>G44504</v>
      </c>
      <c r="AP690" s="487" t="str">
        <f>+VLOOKUP($AJ690,Data_Validation!$A:$D,3,0)</f>
        <v>Véhicules neufs</v>
      </c>
      <c r="AQ690" s="487" t="str">
        <f>+VLOOKUP($AJ690,Data_Validation!$A:$D,4,0)</f>
        <v>Rev. Protections</v>
      </c>
      <c r="AR690" s="487" t="s">
        <v>299</v>
      </c>
      <c r="AS690" s="487" t="str">
        <f>+VLOOKUP($AJ690,Data_Validation!$A:$E,5,0)</f>
        <v>Oui</v>
      </c>
      <c r="AT690" s="904" t="str">
        <f t="shared" si="71"/>
        <v>G44504</v>
      </c>
      <c r="AU690" s="488" t="str">
        <f t="shared" si="72"/>
        <v>VTES-ASS. VALEUR REMPL</v>
      </c>
      <c r="AV690" s="899">
        <f>IFERROR(INDEX(V690:AG690,1,MATCH(Parametres!$B$3,V$1:AG$1,0)-1)*IF(OR(C690="L",C690="S",C690="I"),-1,1),"")</f>
        <v>6</v>
      </c>
      <c r="AW690" s="899">
        <f t="shared" si="73"/>
        <v>1</v>
      </c>
      <c r="AX690" s="899">
        <f>INDEX(V690:AG690,1,MATCH(Parametres!$B$3,V$1:AG$1,0))*IF(OR(C690="L",C690="S",C690="I"),-1,1)</f>
        <v>7</v>
      </c>
      <c r="AY690" s="487" t="s">
        <v>337</v>
      </c>
      <c r="AZ690" s="487" t="str">
        <f>+VLOOKUP($AJ690,Data_Validation!$A:$E,5,0)</f>
        <v>Oui</v>
      </c>
    </row>
    <row r="691" spans="1:52" ht="15" hidden="1" customHeight="1">
      <c r="A691" s="706" t="s">
        <v>1148</v>
      </c>
      <c r="B691" s="706">
        <v>2026</v>
      </c>
      <c r="C691" s="706" t="s">
        <v>2390</v>
      </c>
      <c r="D691" s="706" t="s">
        <v>2391</v>
      </c>
      <c r="E691" s="706" t="s">
        <v>333</v>
      </c>
      <c r="F691" s="706" t="s">
        <v>1149</v>
      </c>
      <c r="G691" s="706">
        <v>3025</v>
      </c>
      <c r="H691" s="706">
        <v>6180</v>
      </c>
      <c r="I691" s="706">
        <v>10433</v>
      </c>
      <c r="J691" s="706">
        <v>14488</v>
      </c>
      <c r="K691" s="706">
        <v>16883</v>
      </c>
      <c r="L691" s="706">
        <v>18779</v>
      </c>
      <c r="M691" s="706">
        <v>23769</v>
      </c>
      <c r="N691" s="706">
        <v>27761</v>
      </c>
      <c r="O691" s="706">
        <v>28019</v>
      </c>
      <c r="P691" s="706">
        <v>28019</v>
      </c>
      <c r="Q691" s="706">
        <v>0</v>
      </c>
      <c r="R691" s="706">
        <v>0</v>
      </c>
      <c r="S691" s="706">
        <v>3113.22</v>
      </c>
      <c r="T691" s="706">
        <v>3113.22</v>
      </c>
      <c r="U691" s="706">
        <v>0</v>
      </c>
      <c r="V691" s="706">
        <v>6</v>
      </c>
      <c r="W691" s="706">
        <v>13</v>
      </c>
      <c r="X691" s="706">
        <v>22</v>
      </c>
      <c r="Y691" s="706">
        <v>29</v>
      </c>
      <c r="Z691" s="706">
        <v>34</v>
      </c>
      <c r="AA691" s="706">
        <v>38</v>
      </c>
      <c r="AB691" s="706">
        <v>48</v>
      </c>
      <c r="AC691" s="706">
        <v>56</v>
      </c>
      <c r="AD691" s="706">
        <v>57</v>
      </c>
      <c r="AE691" s="706">
        <v>57</v>
      </c>
      <c r="AF691" s="706">
        <v>0</v>
      </c>
      <c r="AG691" s="706">
        <v>0</v>
      </c>
      <c r="AH691" s="706">
        <v>6</v>
      </c>
      <c r="AI691" s="706">
        <v>6</v>
      </c>
      <c r="AJ691" s="905" t="str">
        <f t="shared" si="68"/>
        <v>G44505</v>
      </c>
      <c r="AK691" s="905" t="str">
        <f t="shared" si="69"/>
        <v>VENTES-ANTIVOL &amp; TAG</v>
      </c>
      <c r="AL691" s="905">
        <f>IFERROR(INDEX(G691:R691,1,MATCH(Parametres!$B$3,G$1:R$1,0)-1)*IF(OR(F691="L",F691="S",F691="I"),-1,1),"")</f>
        <v>-27761</v>
      </c>
      <c r="AM691" s="905">
        <f t="shared" si="70"/>
        <v>-258</v>
      </c>
      <c r="AN691" s="905">
        <f>INDEX(G691:R691,1,MATCH(Parametres!$B$3,G$1:R$1,0))*IF(OR(F691="L",F691="S",F691="I"),-1,1)</f>
        <v>-28019</v>
      </c>
      <c r="AO691" s="487" t="str">
        <f>+VLOOKUP($AJ691,Data_Validation!$A:$D,1,0)</f>
        <v>G44505</v>
      </c>
      <c r="AP691" s="487" t="str">
        <f>+VLOOKUP($AJ691,Data_Validation!$A:$D,3,0)</f>
        <v>Véhicules neufs</v>
      </c>
      <c r="AQ691" s="487" t="str">
        <f>+VLOOKUP($AJ691,Data_Validation!$A:$D,4,0)</f>
        <v>Rev. Autres</v>
      </c>
      <c r="AR691" s="487" t="s">
        <v>299</v>
      </c>
      <c r="AS691" s="487" t="str">
        <f>+VLOOKUP($AJ691,Data_Validation!$A:$E,5,0)</f>
        <v>Oui</v>
      </c>
      <c r="AT691" s="904" t="str">
        <f t="shared" si="71"/>
        <v>G44505</v>
      </c>
      <c r="AU691" s="488" t="str">
        <f t="shared" si="72"/>
        <v>VENTES-ANTIVOL &amp; TAG</v>
      </c>
      <c r="AV691" s="899">
        <f>IFERROR(INDEX(V691:AG691,1,MATCH(Parametres!$B$3,V$1:AG$1,0)-1)*IF(OR(C691="L",C691="S",C691="I"),-1,1),"")</f>
        <v>56</v>
      </c>
      <c r="AW691" s="899">
        <f t="shared" si="73"/>
        <v>1</v>
      </c>
      <c r="AX691" s="899">
        <f>INDEX(V691:AG691,1,MATCH(Parametres!$B$3,V$1:AG$1,0))*IF(OR(C691="L",C691="S",C691="I"),-1,1)</f>
        <v>57</v>
      </c>
      <c r="AY691" s="487" t="s">
        <v>337</v>
      </c>
      <c r="AZ691" s="487" t="str">
        <f>+VLOOKUP($AJ691,Data_Validation!$A:$E,5,0)</f>
        <v>Oui</v>
      </c>
    </row>
    <row r="692" spans="1:52" ht="15" hidden="1" customHeight="1">
      <c r="A692" s="706" t="s">
        <v>1148</v>
      </c>
      <c r="B692" s="706">
        <v>2026</v>
      </c>
      <c r="C692" s="706" t="s">
        <v>2392</v>
      </c>
      <c r="D692" s="706" t="s">
        <v>2393</v>
      </c>
      <c r="E692" s="706" t="s">
        <v>1149</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G44600</v>
      </c>
      <c r="AK692" s="905" t="str">
        <f t="shared" si="69"/>
        <v>VTES-AUTOS OCC. DET.OPT.</v>
      </c>
      <c r="AL692" s="905">
        <f>IFERROR(INDEX(G692:R692,1,MATCH(Parametres!$B$3,G$1:R$1,0)-1)*IF(OR(F692="L",F692="S",F692="I"),-1,1),"")</f>
        <v>0</v>
      </c>
      <c r="AM692" s="1047">
        <f t="shared" si="70"/>
        <v>0</v>
      </c>
      <c r="AN692" s="905">
        <f>INDEX(G692:R692,1,MATCH(Parametres!$B$3,G$1:R$1,0))*IF(OR(F692="L",F692="S",F692="I"),-1,1)</f>
        <v>0</v>
      </c>
      <c r="AO692" s="487" t="str">
        <f>+VLOOKUP($AJ692,Data_Validation!$A:$D,1,0)</f>
        <v>G44600</v>
      </c>
      <c r="AP692" s="487" t="str">
        <f>+VLOOKUP($AJ692,Data_Validation!$A:$D,3,0)</f>
        <v>Véhicules usagés</v>
      </c>
      <c r="AQ692" s="487" t="str">
        <f>+VLOOKUP($AJ692,Data_Validation!$A:$D,4,0)</f>
        <v>Certifié</v>
      </c>
      <c r="AR692" s="487" t="s">
        <v>299</v>
      </c>
      <c r="AS692" s="487" t="str">
        <f>+VLOOKUP($AJ692,Data_Validation!$A:$E,5,0)</f>
        <v>Oui</v>
      </c>
      <c r="AT692" s="904" t="str">
        <f t="shared" si="71"/>
        <v>G44600</v>
      </c>
      <c r="AU692" s="488" t="str">
        <f t="shared" si="72"/>
        <v>VTES-AUTOS OCC. DET.OPT.</v>
      </c>
      <c r="AV692" s="899">
        <f>IFERROR(INDEX(V692:AG692,1,MATCH(Parametres!$B$3,V$1:AG$1,0)-1)*IF(OR(C692="L",C692="S",C692="I"),-1,1),"")</f>
        <v>0</v>
      </c>
      <c r="AW692" s="899">
        <f t="shared" si="73"/>
        <v>0</v>
      </c>
      <c r="AX692" s="899">
        <f>INDEX(V692:AG692,1,MATCH(Parametres!$B$3,V$1:AG$1,0))*IF(OR(C692="L",C692="S",C692="I"),-1,1)</f>
        <v>0</v>
      </c>
      <c r="AY692" s="487" t="s">
        <v>337</v>
      </c>
      <c r="AZ692" s="487" t="str">
        <f>+VLOOKUP($AJ692,Data_Validation!$A:$E,5,0)</f>
        <v>Oui</v>
      </c>
    </row>
    <row r="693" spans="1:52" ht="15" hidden="1" customHeight="1">
      <c r="A693" s="706" t="s">
        <v>1148</v>
      </c>
      <c r="B693" s="706">
        <v>2026</v>
      </c>
      <c r="C693" s="706" t="s">
        <v>2394</v>
      </c>
      <c r="D693" s="706" t="s">
        <v>3332</v>
      </c>
      <c r="E693" s="706" t="s">
        <v>1149</v>
      </c>
      <c r="F693" s="706" t="s">
        <v>1149</v>
      </c>
      <c r="G693" s="706">
        <v>94496</v>
      </c>
      <c r="H693" s="706">
        <v>154194</v>
      </c>
      <c r="I693" s="706">
        <v>200681</v>
      </c>
      <c r="J693" s="706">
        <v>304926</v>
      </c>
      <c r="K693" s="706">
        <v>408239.48</v>
      </c>
      <c r="L693" s="706">
        <v>495214.48</v>
      </c>
      <c r="M693" s="706">
        <v>643307.48</v>
      </c>
      <c r="N693" s="706">
        <v>657154.48</v>
      </c>
      <c r="O693" s="706">
        <v>734897.48</v>
      </c>
      <c r="P693" s="706">
        <v>734897.48</v>
      </c>
      <c r="Q693" s="706">
        <v>0</v>
      </c>
      <c r="R693" s="706">
        <v>0</v>
      </c>
      <c r="S693" s="706">
        <v>81655.28</v>
      </c>
      <c r="T693" s="706">
        <v>81655.28</v>
      </c>
      <c r="U693" s="706">
        <v>0</v>
      </c>
      <c r="V693" s="706">
        <v>2</v>
      </c>
      <c r="W693" s="706">
        <v>4</v>
      </c>
      <c r="X693" s="706">
        <v>6</v>
      </c>
      <c r="Y693" s="706">
        <v>8</v>
      </c>
      <c r="Z693" s="706">
        <v>14</v>
      </c>
      <c r="AA693" s="706">
        <v>15</v>
      </c>
      <c r="AB693" s="706">
        <v>20</v>
      </c>
      <c r="AC693" s="706">
        <v>21</v>
      </c>
      <c r="AD693" s="706">
        <v>27</v>
      </c>
      <c r="AE693" s="706">
        <v>27</v>
      </c>
      <c r="AF693" s="706">
        <v>0</v>
      </c>
      <c r="AG693" s="706">
        <v>0</v>
      </c>
      <c r="AH693" s="706">
        <v>3</v>
      </c>
      <c r="AI693" s="706">
        <v>3</v>
      </c>
      <c r="AJ693" s="905" t="str">
        <f t="shared" si="68"/>
        <v>G44601</v>
      </c>
      <c r="AK693" s="905" t="str">
        <f t="shared" si="69"/>
        <v>VTES-VOIT.OCC.GM N-CERT</v>
      </c>
      <c r="AL693" s="905">
        <f>IFERROR(INDEX(G693:R693,1,MATCH(Parametres!$B$3,G$1:R$1,0)-1)*IF(OR(F693="L",F693="S",F693="I"),-1,1),"")</f>
        <v>-657154.48</v>
      </c>
      <c r="AM693" s="1047">
        <f t="shared" si="70"/>
        <v>-77743</v>
      </c>
      <c r="AN693" s="905">
        <f>INDEX(G693:R693,1,MATCH(Parametres!$B$3,G$1:R$1,0))*IF(OR(F693="L",F693="S",F693="I"),-1,1)</f>
        <v>-734897.48</v>
      </c>
      <c r="AO693" s="487" t="str">
        <f>+VLOOKUP($AJ693,Data_Validation!$A:$D,1,0)</f>
        <v>G44601</v>
      </c>
      <c r="AP693" s="487" t="str">
        <f>+VLOOKUP($AJ693,Data_Validation!$A:$D,3,0)</f>
        <v>Véhicules usagés</v>
      </c>
      <c r="AQ693" s="487" t="str">
        <f>+VLOOKUP($AJ693,Data_Validation!$A:$D,4,0)</f>
        <v>Non Certifié</v>
      </c>
      <c r="AR693" s="487" t="s">
        <v>299</v>
      </c>
      <c r="AS693" s="487" t="str">
        <f>+VLOOKUP($AJ693,Data_Validation!$A:$E,5,0)</f>
        <v>Oui</v>
      </c>
      <c r="AT693" s="904" t="str">
        <f t="shared" si="71"/>
        <v>G44601</v>
      </c>
      <c r="AU693" s="488" t="str">
        <f t="shared" si="72"/>
        <v>VTES-VOIT.OCC.GM N-CERT</v>
      </c>
      <c r="AV693" s="899">
        <f>IFERROR(INDEX(V693:AG693,1,MATCH(Parametres!$B$3,V$1:AG$1,0)-1)*IF(OR(C693="L",C693="S",C693="I"),-1,1),"")</f>
        <v>21</v>
      </c>
      <c r="AW693" s="899">
        <f t="shared" si="73"/>
        <v>6</v>
      </c>
      <c r="AX693" s="899">
        <f>INDEX(V693:AG693,1,MATCH(Parametres!$B$3,V$1:AG$1,0))*IF(OR(C693="L",C693="S",C693="I"),-1,1)</f>
        <v>27</v>
      </c>
      <c r="AY693" s="487" t="s">
        <v>337</v>
      </c>
      <c r="AZ693" s="487" t="str">
        <f>+VLOOKUP($AJ693,Data_Validation!$A:$E,5,0)</f>
        <v>Oui</v>
      </c>
    </row>
    <row r="694" spans="1:52" ht="15" hidden="1" customHeight="1">
      <c r="A694" s="706" t="s">
        <v>1148</v>
      </c>
      <c r="B694" s="706">
        <v>2026</v>
      </c>
      <c r="C694" s="706" t="s">
        <v>3333</v>
      </c>
      <c r="D694" s="706" t="s">
        <v>3334</v>
      </c>
      <c r="E694" s="706" t="s">
        <v>1149</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G44602</v>
      </c>
      <c r="AK694" s="905" t="str">
        <f t="shared" si="69"/>
        <v>VTES-AUTO AUTRE MARQ</v>
      </c>
      <c r="AL694" s="905">
        <f>IFERROR(INDEX(G694:R694,1,MATCH(Parametres!$B$3,G$1:R$1,0)-1)*IF(OR(F694="L",F694="S",F694="I"),-1,1),"")</f>
        <v>0</v>
      </c>
      <c r="AM694" s="1047">
        <f t="shared" si="70"/>
        <v>0</v>
      </c>
      <c r="AN694" s="905">
        <f>INDEX(G694:R694,1,MATCH(Parametres!$B$3,G$1:R$1,0))*IF(OR(F694="L",F694="S",F694="I"),-1,1)</f>
        <v>0</v>
      </c>
      <c r="AO694" s="487" t="str">
        <f>+VLOOKUP($AJ694,Data_Validation!$A:$D,1,0)</f>
        <v>G44602</v>
      </c>
      <c r="AP694" s="487" t="str">
        <f>+VLOOKUP($AJ694,Data_Validation!$A:$D,3,0)</f>
        <v>Véhicules usagés</v>
      </c>
      <c r="AQ694" s="487" t="str">
        <f>+VLOOKUP($AJ694,Data_Validation!$A:$D,4,0)</f>
        <v>Autres Marques</v>
      </c>
      <c r="AR694" s="487" t="s">
        <v>299</v>
      </c>
      <c r="AS694" s="487">
        <f>+VLOOKUP($AJ694,Data_Validation!$A:$E,5,0)</f>
        <v>0</v>
      </c>
      <c r="AT694" s="904" t="str">
        <f t="shared" si="71"/>
        <v>G44602</v>
      </c>
      <c r="AU694" s="488" t="str">
        <f t="shared" si="72"/>
        <v>VTES-AUTO AUTRE MARQ</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hidden="1" customHeight="1">
      <c r="A695" s="706" t="s">
        <v>1148</v>
      </c>
      <c r="B695" s="706">
        <v>2026</v>
      </c>
      <c r="C695" s="706" t="s">
        <v>3144</v>
      </c>
      <c r="D695" s="706" t="s">
        <v>3145</v>
      </c>
      <c r="E695" s="706" t="s">
        <v>1149</v>
      </c>
      <c r="F695" s="706" t="s">
        <v>1149</v>
      </c>
      <c r="G695" s="706">
        <v>0</v>
      </c>
      <c r="H695" s="706">
        <v>0</v>
      </c>
      <c r="I695" s="706">
        <v>0</v>
      </c>
      <c r="J695" s="706">
        <v>0</v>
      </c>
      <c r="K695" s="706">
        <v>0</v>
      </c>
      <c r="L695" s="706">
        <v>7217.34</v>
      </c>
      <c r="M695" s="706">
        <v>7217.34</v>
      </c>
      <c r="N695" s="706">
        <v>7217.34</v>
      </c>
      <c r="O695" s="706">
        <v>7217.34</v>
      </c>
      <c r="P695" s="706">
        <v>7217.34</v>
      </c>
      <c r="Q695" s="706">
        <v>0</v>
      </c>
      <c r="R695" s="706">
        <v>0</v>
      </c>
      <c r="S695" s="706">
        <v>801.93</v>
      </c>
      <c r="T695" s="706">
        <v>801.93</v>
      </c>
      <c r="U695" s="706">
        <v>0</v>
      </c>
      <c r="V695" s="706">
        <v>0</v>
      </c>
      <c r="W695" s="706">
        <v>0</v>
      </c>
      <c r="X695" s="706">
        <v>0</v>
      </c>
      <c r="Y695" s="706">
        <v>0</v>
      </c>
      <c r="Z695" s="706">
        <v>0</v>
      </c>
      <c r="AA695" s="706">
        <v>1</v>
      </c>
      <c r="AB695" s="706">
        <v>1</v>
      </c>
      <c r="AC695" s="706">
        <v>1</v>
      </c>
      <c r="AD695" s="706">
        <v>1</v>
      </c>
      <c r="AE695" s="706">
        <v>1</v>
      </c>
      <c r="AF695" s="706">
        <v>0</v>
      </c>
      <c r="AG695" s="706">
        <v>0</v>
      </c>
      <c r="AH695" s="706">
        <v>0</v>
      </c>
      <c r="AI695" s="706">
        <v>0</v>
      </c>
      <c r="AJ695" s="905" t="str">
        <f t="shared" si="68"/>
        <v>G44603</v>
      </c>
      <c r="AK695" s="905" t="str">
        <f t="shared" si="69"/>
        <v>VTES-RACHAT BAIL AUTO</v>
      </c>
      <c r="AL695" s="905">
        <f>IFERROR(INDEX(G695:R695,1,MATCH(Parametres!$B$3,G$1:R$1,0)-1)*IF(OR(F695="L",F695="S",F695="I"),-1,1),"")</f>
        <v>-7217.34</v>
      </c>
      <c r="AM695" s="905">
        <f t="shared" si="70"/>
        <v>0</v>
      </c>
      <c r="AN695" s="905">
        <f>INDEX(G695:R695,1,MATCH(Parametres!$B$3,G$1:R$1,0))*IF(OR(F695="L",F695="S",F695="I"),-1,1)</f>
        <v>-7217.34</v>
      </c>
      <c r="AO695" s="487" t="str">
        <f>+VLOOKUP($AJ695,Data_Validation!$A:$D,1,0)</f>
        <v>G44603</v>
      </c>
      <c r="AP695" s="487">
        <f>+VLOOKUP($AJ695,Data_Validation!$A:$D,3,0)</f>
        <v>0</v>
      </c>
      <c r="AQ695" s="487">
        <f>+VLOOKUP($AJ695,Data_Validation!$A:$D,4,0)</f>
        <v>0</v>
      </c>
      <c r="AR695" s="487" t="s">
        <v>299</v>
      </c>
      <c r="AS695" s="487">
        <f>+VLOOKUP($AJ695,Data_Validation!$A:$E,5,0)</f>
        <v>0</v>
      </c>
      <c r="AT695" s="904" t="str">
        <f t="shared" si="71"/>
        <v>G44603</v>
      </c>
      <c r="AU695" s="488" t="str">
        <f t="shared" si="72"/>
        <v>VTES-RACHAT BAIL AUTO</v>
      </c>
      <c r="AV695" s="899">
        <f>IFERROR(INDEX(V695:AG695,1,MATCH(Parametres!$B$3,V$1:AG$1,0)-1)*IF(OR(C695="L",C695="S",C695="I"),-1,1),"")</f>
        <v>1</v>
      </c>
      <c r="AW695" s="899">
        <f t="shared" si="73"/>
        <v>0</v>
      </c>
      <c r="AX695" s="899">
        <f>INDEX(V695:AG695,1,MATCH(Parametres!$B$3,V$1:AG$1,0))*IF(OR(C695="L",C695="S",C695="I"),-1,1)</f>
        <v>1</v>
      </c>
      <c r="AY695" s="487" t="s">
        <v>337</v>
      </c>
      <c r="AZ695" s="487">
        <f>+VLOOKUP($AJ695,Data_Validation!$A:$E,5,0)</f>
        <v>0</v>
      </c>
    </row>
    <row r="696" spans="1:52" ht="15" hidden="1" customHeight="1">
      <c r="A696" s="706" t="s">
        <v>1148</v>
      </c>
      <c r="B696" s="706">
        <v>2026</v>
      </c>
      <c r="C696" s="706" t="s">
        <v>2396</v>
      </c>
      <c r="D696" s="706" t="s">
        <v>2397</v>
      </c>
      <c r="E696" s="706" t="s">
        <v>1149</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G44620</v>
      </c>
      <c r="AK696" s="905" t="str">
        <f t="shared" si="69"/>
        <v>VTES-LOC AUTOS USAGE OPT.</v>
      </c>
      <c r="AL696" s="905">
        <f>IFERROR(INDEX(G696:R696,1,MATCH(Parametres!$B$3,G$1:R$1,0)-1)*IF(OR(F696="L",F696="S",F696="I"),-1,1),"")</f>
        <v>0</v>
      </c>
      <c r="AM696" s="1047">
        <f t="shared" si="70"/>
        <v>0</v>
      </c>
      <c r="AN696" s="905">
        <f>INDEX(G696:R696,1,MATCH(Parametres!$B$3,G$1:R$1,0))*IF(OR(F696="L",F696="S",F696="I"),-1,1)</f>
        <v>0</v>
      </c>
      <c r="AO696" s="487" t="e">
        <f>+VLOOKUP($AJ696,Data_Validation!$A:$D,1,0)</f>
        <v>#N/A</v>
      </c>
      <c r="AP696" s="487" t="e">
        <f>+VLOOKUP($AJ696,Data_Validation!$A:$D,3,0)</f>
        <v>#N/A</v>
      </c>
      <c r="AQ696" s="487" t="e">
        <f>+VLOOKUP($AJ696,Data_Validation!$A:$D,4,0)</f>
        <v>#N/A</v>
      </c>
      <c r="AR696" s="487" t="s">
        <v>299</v>
      </c>
      <c r="AS696" s="487" t="e">
        <f>+VLOOKUP($AJ696,Data_Validation!$A:$E,5,0)</f>
        <v>#N/A</v>
      </c>
      <c r="AT696" s="904" t="str">
        <f t="shared" si="71"/>
        <v>G44620</v>
      </c>
      <c r="AU696" s="488" t="str">
        <f t="shared" si="72"/>
        <v>VTES-LOC AUTOS USAGE OPT.</v>
      </c>
      <c r="AV696" s="899">
        <f>IFERROR(INDEX(V696:AG696,1,MATCH(Parametres!$B$3,V$1:AG$1,0)-1)*IF(OR(C696="L",C696="S",C696="I"),-1,1),"")</f>
        <v>0</v>
      </c>
      <c r="AW696" s="899">
        <f t="shared" si="73"/>
        <v>0</v>
      </c>
      <c r="AX696" s="899">
        <f>INDEX(V696:AG696,1,MATCH(Parametres!$B$3,V$1:AG$1,0))*IF(OR(C696="L",C696="S",C696="I"),-1,1)</f>
        <v>0</v>
      </c>
      <c r="AY696" s="487" t="s">
        <v>337</v>
      </c>
      <c r="AZ696" s="487" t="e">
        <f>+VLOOKUP($AJ696,Data_Validation!$A:$E,5,0)</f>
        <v>#N/A</v>
      </c>
    </row>
    <row r="697" spans="1:52" ht="15" hidden="1" customHeight="1">
      <c r="A697" s="706" t="s">
        <v>1148</v>
      </c>
      <c r="B697" s="706">
        <v>2026</v>
      </c>
      <c r="C697" s="706" t="s">
        <v>2398</v>
      </c>
      <c r="D697" s="706" t="s">
        <v>2399</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G44700</v>
      </c>
      <c r="AK697" s="905" t="str">
        <f t="shared" si="69"/>
        <v>*REM.NEUF VOITURE DET.OPT</v>
      </c>
      <c r="AL697" s="905">
        <f>IFERROR(INDEX(G697:R697,1,MATCH(Parametres!$B$3,G$1:R$1,0)-1)*IF(OR(F697="L",F697="S",F697="I"),-1,1),"")</f>
        <v>0</v>
      </c>
      <c r="AM697" s="905">
        <f t="shared" si="70"/>
        <v>0</v>
      </c>
      <c r="AN697" s="905">
        <f>INDEX(G697:R697,1,MATCH(Parametres!$B$3,G$1:R$1,0))*IF(OR(F697="L",F697="S",F697="I"),-1,1)</f>
        <v>0</v>
      </c>
      <c r="AO697" s="487" t="str">
        <f>+VLOOKUP($AJ697,Data_Validation!$A:$D,1,0)</f>
        <v>G44700</v>
      </c>
      <c r="AP697" s="487">
        <f>+VLOOKUP($AJ697,Data_Validation!$A:$D,3,0)</f>
        <v>0</v>
      </c>
      <c r="AQ697" s="487">
        <f>+VLOOKUP($AJ697,Data_Validation!$A:$D,4,0)</f>
        <v>0</v>
      </c>
      <c r="AR697" s="487" t="s">
        <v>299</v>
      </c>
      <c r="AS697" s="487">
        <f>+VLOOKUP($AJ697,Data_Validation!$A:$E,5,0)</f>
        <v>0</v>
      </c>
      <c r="AT697" s="904" t="str">
        <f t="shared" si="71"/>
        <v>G44700</v>
      </c>
      <c r="AU697" s="488" t="str">
        <f t="shared" si="72"/>
        <v>*REM.NEUF VOITURE DET.OPT</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hidden="1" customHeight="1">
      <c r="A698" s="706" t="s">
        <v>1148</v>
      </c>
      <c r="B698" s="706">
        <v>2026</v>
      </c>
      <c r="C698" s="706" t="s">
        <v>2400</v>
      </c>
      <c r="D698" s="706" t="s">
        <v>2401</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G44701</v>
      </c>
      <c r="AK698" s="905" t="str">
        <f t="shared" si="69"/>
        <v>*REM.NEUF VOIT.DET.AUTRES</v>
      </c>
      <c r="AL698" s="905">
        <f>IFERROR(INDEX(G698:R698,1,MATCH(Parametres!$B$3,G$1:R$1,0)-1)*IF(OR(F698="L",F698="S",F698="I"),-1,1),"")</f>
        <v>0</v>
      </c>
      <c r="AM698" s="905">
        <f t="shared" si="70"/>
        <v>0</v>
      </c>
      <c r="AN698" s="905">
        <f>INDEX(G698:R698,1,MATCH(Parametres!$B$3,G$1:R$1,0))*IF(OR(F698="L",F698="S",F698="I"),-1,1)</f>
        <v>0</v>
      </c>
      <c r="AO698" s="487" t="str">
        <f>+VLOOKUP($AJ698,Data_Validation!$A:$D,1,0)</f>
        <v>G44701</v>
      </c>
      <c r="AP698" s="487">
        <f>+VLOOKUP($AJ698,Data_Validation!$A:$D,3,0)</f>
        <v>0</v>
      </c>
      <c r="AQ698" s="487">
        <f>+VLOOKUP($AJ698,Data_Validation!$A:$D,4,0)</f>
        <v>0</v>
      </c>
      <c r="AR698" s="487" t="s">
        <v>299</v>
      </c>
      <c r="AS698" s="487">
        <f>+VLOOKUP($AJ698,Data_Validation!$A:$E,5,0)</f>
        <v>0</v>
      </c>
      <c r="AT698" s="904" t="str">
        <f t="shared" si="71"/>
        <v>G44701</v>
      </c>
      <c r="AU698" s="488" t="str">
        <f t="shared" si="72"/>
        <v>*REM.NEUF VOIT.DET.AUTRES</v>
      </c>
      <c r="AV698" s="899">
        <f>IFERROR(INDEX(V698:AG698,1,MATCH(Parametres!$B$3,V$1:AG$1,0)-1)*IF(OR(C698="L",C698="S",C698="I"),-1,1),"")</f>
        <v>0</v>
      </c>
      <c r="AW698" s="899">
        <f t="shared" si="73"/>
        <v>0</v>
      </c>
      <c r="AX698" s="899">
        <f>INDEX(V698:AG698,1,MATCH(Parametres!$B$3,V$1:AG$1,0))*IF(OR(C698="L",C698="S",C698="I"),-1,1)</f>
        <v>0</v>
      </c>
      <c r="AY698" s="487" t="s">
        <v>337</v>
      </c>
      <c r="AZ698" s="487">
        <f>+VLOOKUP($AJ698,Data_Validation!$A:$E,5,0)</f>
        <v>0</v>
      </c>
    </row>
    <row r="699" spans="1:52" ht="15" hidden="1" customHeight="1">
      <c r="A699" s="706" t="s">
        <v>1148</v>
      </c>
      <c r="B699" s="706">
        <v>2026</v>
      </c>
      <c r="C699" s="706" t="s">
        <v>2402</v>
      </c>
      <c r="D699" s="706" t="s">
        <v>2403</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G44720</v>
      </c>
      <c r="AK699" s="905" t="str">
        <f t="shared" si="69"/>
        <v>*REM.NEUF LOC.AUTO DET.OP</v>
      </c>
      <c r="AL699" s="905">
        <f>IFERROR(INDEX(G699:R699,1,MATCH(Parametres!$B$3,G$1:R$1,0)-1)*IF(OR(F699="L",F699="S",F699="I"),-1,1),"")</f>
        <v>0</v>
      </c>
      <c r="AM699" s="905">
        <f t="shared" si="70"/>
        <v>0</v>
      </c>
      <c r="AN699" s="905">
        <f>INDEX(G699:R699,1,MATCH(Parametres!$B$3,G$1:R$1,0))*IF(OR(F699="L",F699="S",F699="I"),-1,1)</f>
        <v>0</v>
      </c>
      <c r="AO699" s="487" t="str">
        <f>+VLOOKUP($AJ699,Data_Validation!$A:$D,1,0)</f>
        <v>G44720</v>
      </c>
      <c r="AP699" s="487">
        <f>+VLOOKUP($AJ699,Data_Validation!$A:$D,3,0)</f>
        <v>0</v>
      </c>
      <c r="AQ699" s="487">
        <f>+VLOOKUP($AJ699,Data_Validation!$A:$D,4,0)</f>
        <v>0</v>
      </c>
      <c r="AR699" s="487" t="s">
        <v>299</v>
      </c>
      <c r="AS699" s="487">
        <f>+VLOOKUP($AJ699,Data_Validation!$A:$E,5,0)</f>
        <v>0</v>
      </c>
      <c r="AT699" s="904" t="str">
        <f t="shared" si="71"/>
        <v>G44720</v>
      </c>
      <c r="AU699" s="488" t="str">
        <f t="shared" si="72"/>
        <v>*REM.NEUF LOC.AUTO DET.OP</v>
      </c>
      <c r="AV699" s="899">
        <f>IFERROR(INDEX(V699:AG699,1,MATCH(Parametres!$B$3,V$1:AG$1,0)-1)*IF(OR(C699="L",C699="S",C699="I"),-1,1),"")</f>
        <v>0</v>
      </c>
      <c r="AW699" s="899">
        <f t="shared" si="73"/>
        <v>0</v>
      </c>
      <c r="AX699" s="899">
        <f>INDEX(V699:AG699,1,MATCH(Parametres!$B$3,V$1:AG$1,0))*IF(OR(C699="L",C699="S",C699="I"),-1,1)</f>
        <v>0</v>
      </c>
      <c r="AY699" s="487" t="s">
        <v>337</v>
      </c>
      <c r="AZ699" s="487">
        <f>+VLOOKUP($AJ699,Data_Validation!$A:$E,5,0)</f>
        <v>0</v>
      </c>
    </row>
    <row r="700" spans="1:52" ht="15" customHeight="1">
      <c r="A700" s="706" t="s">
        <v>1148</v>
      </c>
      <c r="B700" s="706">
        <v>2026</v>
      </c>
      <c r="C700" s="706" t="s">
        <v>2404</v>
      </c>
      <c r="D700" s="706" t="s">
        <v>2405</v>
      </c>
      <c r="E700" s="706" t="s">
        <v>1149</v>
      </c>
      <c r="F700" s="706" t="s">
        <v>1149</v>
      </c>
      <c r="G700" s="706">
        <v>7950</v>
      </c>
      <c r="H700" s="706">
        <v>123560</v>
      </c>
      <c r="I700" s="706">
        <v>323591</v>
      </c>
      <c r="J700" s="706">
        <v>421541</v>
      </c>
      <c r="K700" s="706">
        <v>370508</v>
      </c>
      <c r="L700" s="706">
        <v>464008</v>
      </c>
      <c r="M700" s="706">
        <v>505648</v>
      </c>
      <c r="N700" s="706">
        <v>599699</v>
      </c>
      <c r="O700" s="706">
        <v>767899</v>
      </c>
      <c r="P700" s="706">
        <v>767899</v>
      </c>
      <c r="Q700" s="706">
        <v>0</v>
      </c>
      <c r="R700" s="706">
        <v>0</v>
      </c>
      <c r="S700" s="706">
        <v>85322.11</v>
      </c>
      <c r="T700" s="706">
        <v>85322.11</v>
      </c>
      <c r="U700" s="706">
        <v>0</v>
      </c>
      <c r="V700" s="706">
        <v>2</v>
      </c>
      <c r="W700" s="706">
        <v>9</v>
      </c>
      <c r="X700" s="706">
        <v>19</v>
      </c>
      <c r="Y700" s="706">
        <v>30</v>
      </c>
      <c r="Z700" s="706">
        <v>27</v>
      </c>
      <c r="AA700" s="706">
        <v>33</v>
      </c>
      <c r="AB700" s="706">
        <v>39</v>
      </c>
      <c r="AC700" s="706">
        <v>47</v>
      </c>
      <c r="AD700" s="706">
        <v>52</v>
      </c>
      <c r="AE700" s="706">
        <v>52</v>
      </c>
      <c r="AF700" s="706">
        <v>0</v>
      </c>
      <c r="AG700" s="706">
        <v>0</v>
      </c>
      <c r="AH700" s="706">
        <v>6</v>
      </c>
      <c r="AI700" s="706">
        <v>6</v>
      </c>
      <c r="AJ700" s="905" t="str">
        <f t="shared" si="68"/>
        <v>G44800</v>
      </c>
      <c r="AK700" s="905" t="str">
        <f t="shared" si="69"/>
        <v>VTES-VOIT.OCC.EN GROS-DET</v>
      </c>
      <c r="AL700" s="905">
        <f>IFERROR(INDEX(G700:R700,1,MATCH(Parametres!$B$3,G$1:R$1,0)-1)*IF(OR(F700="L",F700="S",F700="I"),-1,1),"")</f>
        <v>-599699</v>
      </c>
      <c r="AM700" s="905">
        <f t="shared" si="70"/>
        <v>-168200</v>
      </c>
      <c r="AN700" s="905">
        <f>INDEX(G700:R700,1,MATCH(Parametres!$B$3,G$1:R$1,0))*IF(OR(F700="L",F700="S",F700="I"),-1,1)</f>
        <v>-767899</v>
      </c>
      <c r="AO700" s="487" t="str">
        <f>+VLOOKUP($AJ700,Data_Validation!$A:$D,1,0)</f>
        <v>G44800</v>
      </c>
      <c r="AP700" s="487" t="str">
        <f>+VLOOKUP($AJ700,Data_Validation!$A:$D,3,0)</f>
        <v>Véhicules usagés</v>
      </c>
      <c r="AQ700" s="487" t="str">
        <f>+VLOOKUP($AJ700,Data_Validation!$A:$D,4,0)</f>
        <v>Ventes au Gros</v>
      </c>
      <c r="AR700" s="487" t="s">
        <v>299</v>
      </c>
      <c r="AS700" s="487" t="str">
        <f>+VLOOKUP($AJ700,Data_Validation!$A:$E,5,0)</f>
        <v>Oui</v>
      </c>
      <c r="AT700" s="904" t="str">
        <f t="shared" si="71"/>
        <v>G44800</v>
      </c>
      <c r="AU700" s="488" t="str">
        <f t="shared" si="72"/>
        <v>VTES-VOIT.OCC.EN GROS-DET</v>
      </c>
      <c r="AV700" s="899">
        <f>IFERROR(INDEX(V700:AG700,1,MATCH(Parametres!$B$3,V$1:AG$1,0)-1)*IF(OR(C700="L",C700="S",C700="I"),-1,1),"")</f>
        <v>47</v>
      </c>
      <c r="AW700" s="899">
        <f t="shared" si="73"/>
        <v>5</v>
      </c>
      <c r="AX700" s="899">
        <f>INDEX(V700:AG700,1,MATCH(Parametres!$B$3,V$1:AG$1,0))*IF(OR(C700="L",C700="S",C700="I"),-1,1)</f>
        <v>52</v>
      </c>
      <c r="AY700" s="487" t="s">
        <v>337</v>
      </c>
      <c r="AZ700" s="487" t="str">
        <f>+VLOOKUP($AJ700,Data_Validation!$A:$E,5,0)</f>
        <v>Oui</v>
      </c>
    </row>
    <row r="701" spans="1:52" ht="15" hidden="1" customHeight="1">
      <c r="A701" s="706" t="s">
        <v>1148</v>
      </c>
      <c r="B701" s="706">
        <v>2026</v>
      </c>
      <c r="C701" s="706" t="s">
        <v>2406</v>
      </c>
      <c r="D701" s="706" t="s">
        <v>2407</v>
      </c>
      <c r="E701" s="706" t="s">
        <v>333</v>
      </c>
      <c r="F701" s="706" t="s">
        <v>1149</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905" t="str">
        <f t="shared" si="68"/>
        <v>G44900</v>
      </c>
      <c r="AK701" s="905" t="str">
        <f t="shared" si="69"/>
        <v>*RECTIFICATION STOCK AUTO</v>
      </c>
      <c r="AL701" s="905">
        <f>IFERROR(INDEX(G701:R701,1,MATCH(Parametres!$B$3,G$1:R$1,0)-1)*IF(OR(F701="L",F701="S",F701="I"),-1,1),"")</f>
        <v>0</v>
      </c>
      <c r="AM701" s="905">
        <f t="shared" si="70"/>
        <v>0</v>
      </c>
      <c r="AN701" s="905">
        <f>INDEX(G701:R701,1,MATCH(Parametres!$B$3,G$1:R$1,0))*IF(OR(F701="L",F701="S",F701="I"),-1,1)</f>
        <v>0</v>
      </c>
      <c r="AO701" s="487" t="str">
        <f>+VLOOKUP($AJ701,Data_Validation!$A:$D,1,0)</f>
        <v>G44900</v>
      </c>
      <c r="AP701" s="487">
        <f>+VLOOKUP($AJ701,Data_Validation!$A:$D,3,0)</f>
        <v>0</v>
      </c>
      <c r="AQ701" s="487">
        <f>+VLOOKUP($AJ701,Data_Validation!$A:$D,4,0)</f>
        <v>0</v>
      </c>
      <c r="AR701" s="487" t="s">
        <v>299</v>
      </c>
      <c r="AS701" s="487">
        <f>+VLOOKUP($AJ701,Data_Validation!$A:$E,5,0)</f>
        <v>0</v>
      </c>
      <c r="AT701" s="904" t="str">
        <f t="shared" si="71"/>
        <v>G44900</v>
      </c>
      <c r="AU701" s="488" t="str">
        <f t="shared" si="72"/>
        <v>*RECTIFICATION STOCK AUTO</v>
      </c>
      <c r="AV701" s="899">
        <f>IFERROR(INDEX(V701:AG701,1,MATCH(Parametres!$B$3,V$1:AG$1,0)-1)*IF(OR(C701="L",C701="S",C701="I"),-1,1),"")</f>
        <v>0</v>
      </c>
      <c r="AW701" s="899">
        <f t="shared" si="73"/>
        <v>0</v>
      </c>
      <c r="AX701" s="899">
        <f>INDEX(V701:AG701,1,MATCH(Parametres!$B$3,V$1:AG$1,0))*IF(OR(C701="L",C701="S",C701="I"),-1,1)</f>
        <v>0</v>
      </c>
      <c r="AY701" s="487" t="s">
        <v>337</v>
      </c>
      <c r="AZ701" s="487">
        <f>+VLOOKUP($AJ701,Data_Validation!$A:$E,5,0)</f>
        <v>0</v>
      </c>
    </row>
    <row r="702" spans="1:52" ht="15" hidden="1" customHeight="1">
      <c r="A702" s="706" t="s">
        <v>1148</v>
      </c>
      <c r="B702" s="706">
        <v>2026</v>
      </c>
      <c r="C702" s="706" t="s">
        <v>2408</v>
      </c>
      <c r="D702" s="706" t="s">
        <v>3335</v>
      </c>
      <c r="E702" s="706" t="s">
        <v>1149</v>
      </c>
      <c r="F702" s="706" t="s">
        <v>1149</v>
      </c>
      <c r="G702" s="706">
        <v>41059.599999999999</v>
      </c>
      <c r="H702" s="706">
        <v>355959.6</v>
      </c>
      <c r="I702" s="706">
        <v>1255785.6000000001</v>
      </c>
      <c r="J702" s="706">
        <v>2107096.6</v>
      </c>
      <c r="K702" s="706">
        <v>0</v>
      </c>
      <c r="L702" s="706">
        <v>0</v>
      </c>
      <c r="M702" s="706">
        <v>0</v>
      </c>
      <c r="N702" s="706">
        <v>0</v>
      </c>
      <c r="O702" s="706">
        <v>0</v>
      </c>
      <c r="P702" s="706">
        <v>0</v>
      </c>
      <c r="Q702" s="706">
        <v>0</v>
      </c>
      <c r="R702" s="706">
        <v>0</v>
      </c>
      <c r="S702" s="706">
        <v>0</v>
      </c>
      <c r="T702" s="706">
        <v>0</v>
      </c>
      <c r="U702" s="706">
        <v>0</v>
      </c>
      <c r="V702" s="706">
        <v>1</v>
      </c>
      <c r="W702" s="706">
        <v>8</v>
      </c>
      <c r="X702" s="706">
        <v>30</v>
      </c>
      <c r="Y702" s="706">
        <v>47</v>
      </c>
      <c r="Z702" s="706">
        <v>0</v>
      </c>
      <c r="AA702" s="706">
        <v>0</v>
      </c>
      <c r="AB702" s="706">
        <v>0</v>
      </c>
      <c r="AC702" s="706">
        <v>0</v>
      </c>
      <c r="AD702" s="706">
        <v>0</v>
      </c>
      <c r="AE702" s="706">
        <v>0</v>
      </c>
      <c r="AF702" s="706">
        <v>0</v>
      </c>
      <c r="AG702" s="706">
        <v>0</v>
      </c>
      <c r="AH702" s="706">
        <v>0</v>
      </c>
      <c r="AI702" s="706">
        <v>0</v>
      </c>
      <c r="AJ702" s="905" t="str">
        <f t="shared" si="68"/>
        <v>G45000</v>
      </c>
      <c r="AK702" s="905" t="str">
        <f t="shared" si="69"/>
        <v>VTES - CAMION DET CERTIFI</v>
      </c>
      <c r="AL702" s="905">
        <f>IFERROR(INDEX(G702:R702,1,MATCH(Parametres!$B$3,G$1:R$1,0)-1)*IF(OR(F702="L",F702="S",F702="I"),-1,1),"")</f>
        <v>0</v>
      </c>
      <c r="AM702" s="905">
        <f t="shared" si="70"/>
        <v>0</v>
      </c>
      <c r="AN702" s="905">
        <f>INDEX(G702:R702,1,MATCH(Parametres!$B$3,G$1:R$1,0))*IF(OR(F702="L",F702="S",F702="I"),-1,1)</f>
        <v>0</v>
      </c>
      <c r="AO702" s="487" t="str">
        <f>+VLOOKUP($AJ702,Data_Validation!$A:$D,1,0)</f>
        <v>G45000</v>
      </c>
      <c r="AP702" s="487" t="str">
        <f>+VLOOKUP($AJ702,Data_Validation!$A:$D,3,0)</f>
        <v>Véhicules usagés</v>
      </c>
      <c r="AQ702" s="487" t="str">
        <f>+VLOOKUP($AJ702,Data_Validation!$A:$D,4,0)</f>
        <v>Ventes au Gros</v>
      </c>
      <c r="AR702" s="487" t="s">
        <v>299</v>
      </c>
      <c r="AS702" s="487" t="str">
        <f>+VLOOKUP($AJ702,Data_Validation!$A:$E,5,0)</f>
        <v>Oui</v>
      </c>
      <c r="AT702" s="904" t="str">
        <f t="shared" si="71"/>
        <v>G45000</v>
      </c>
      <c r="AU702" s="488" t="str">
        <f t="shared" si="72"/>
        <v>VTES - CAMION DET CERTIFI</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hidden="1" customHeight="1">
      <c r="A703" s="706" t="s">
        <v>1148</v>
      </c>
      <c r="B703" s="706">
        <v>2026</v>
      </c>
      <c r="C703" s="706" t="s">
        <v>2410</v>
      </c>
      <c r="D703" s="706" t="s">
        <v>3336</v>
      </c>
      <c r="E703" s="706" t="s">
        <v>1149</v>
      </c>
      <c r="F703" s="706" t="s">
        <v>1149</v>
      </c>
      <c r="G703" s="706">
        <v>464168.65</v>
      </c>
      <c r="H703" s="706">
        <v>724146.28</v>
      </c>
      <c r="I703" s="706">
        <v>1278286.0900000001</v>
      </c>
      <c r="J703" s="706">
        <v>2169663.9700000002</v>
      </c>
      <c r="K703" s="706">
        <v>3106730.33</v>
      </c>
      <c r="L703" s="706">
        <v>3751111.74</v>
      </c>
      <c r="M703" s="706">
        <v>4464265.6500000004</v>
      </c>
      <c r="N703" s="706">
        <v>5254550.8600000003</v>
      </c>
      <c r="O703" s="706">
        <v>5778769.71</v>
      </c>
      <c r="P703" s="706">
        <v>5817767.71</v>
      </c>
      <c r="Q703" s="706">
        <v>0</v>
      </c>
      <c r="R703" s="706">
        <v>0</v>
      </c>
      <c r="S703" s="706">
        <v>642085.52</v>
      </c>
      <c r="T703" s="706">
        <v>642085.52</v>
      </c>
      <c r="U703" s="706">
        <v>0</v>
      </c>
      <c r="V703" s="706">
        <v>15</v>
      </c>
      <c r="W703" s="706">
        <v>22</v>
      </c>
      <c r="X703" s="706">
        <v>40</v>
      </c>
      <c r="Y703" s="706">
        <v>63</v>
      </c>
      <c r="Z703" s="706">
        <v>91</v>
      </c>
      <c r="AA703" s="706">
        <v>109</v>
      </c>
      <c r="AB703" s="706">
        <v>127</v>
      </c>
      <c r="AC703" s="706">
        <v>150</v>
      </c>
      <c r="AD703" s="706">
        <v>166</v>
      </c>
      <c r="AE703" s="706">
        <v>167</v>
      </c>
      <c r="AF703" s="706">
        <v>0</v>
      </c>
      <c r="AG703" s="706">
        <v>0</v>
      </c>
      <c r="AH703" s="706">
        <v>18</v>
      </c>
      <c r="AI703" s="706">
        <v>18</v>
      </c>
      <c r="AJ703" s="905" t="str">
        <f t="shared" si="68"/>
        <v>G45001</v>
      </c>
      <c r="AK703" s="905" t="str">
        <f t="shared" si="69"/>
        <v>VTES-CAM OCC. GM N-CERT</v>
      </c>
      <c r="AL703" s="905">
        <f>IFERROR(INDEX(G703:R703,1,MATCH(Parametres!$B$3,G$1:R$1,0)-1)*IF(OR(F703="L",F703="S",F703="I"),-1,1),"")</f>
        <v>-5254550.8600000003</v>
      </c>
      <c r="AM703" s="905">
        <f t="shared" si="70"/>
        <v>-524218.84999999963</v>
      </c>
      <c r="AN703" s="905">
        <f>INDEX(G703:R703,1,MATCH(Parametres!$B$3,G$1:R$1,0))*IF(OR(F703="L",F703="S",F703="I"),-1,1)</f>
        <v>-5778769.71</v>
      </c>
      <c r="AO703" s="487" t="str">
        <f>+VLOOKUP($AJ703,Data_Validation!$A:$D,1,0)</f>
        <v>G45001</v>
      </c>
      <c r="AP703" s="487" t="str">
        <f>+VLOOKUP($AJ703,Data_Validation!$A:$D,3,0)</f>
        <v>Véhicules usagés</v>
      </c>
      <c r="AQ703" s="487" t="str">
        <f>+VLOOKUP($AJ703,Data_Validation!$A:$D,4,0)</f>
        <v>Non Certifié</v>
      </c>
      <c r="AR703" s="487" t="s">
        <v>299</v>
      </c>
      <c r="AS703" s="487" t="str">
        <f>+VLOOKUP($AJ703,Data_Validation!$A:$E,5,0)</f>
        <v>Oui</v>
      </c>
      <c r="AT703" s="904" t="str">
        <f t="shared" si="71"/>
        <v>G45001</v>
      </c>
      <c r="AU703" s="488" t="str">
        <f t="shared" si="72"/>
        <v>VTES-CAM OCC. GM N-CERT</v>
      </c>
      <c r="AV703" s="899">
        <f>IFERROR(INDEX(V703:AG703,1,MATCH(Parametres!$B$3,V$1:AG$1,0)-1)*IF(OR(C703="L",C703="S",C703="I"),-1,1),"")</f>
        <v>150</v>
      </c>
      <c r="AW703" s="899">
        <f t="shared" si="73"/>
        <v>16</v>
      </c>
      <c r="AX703" s="899">
        <f>INDEX(V703:AG703,1,MATCH(Parametres!$B$3,V$1:AG$1,0))*IF(OR(C703="L",C703="S",C703="I"),-1,1)</f>
        <v>166</v>
      </c>
      <c r="AY703" s="487" t="s">
        <v>337</v>
      </c>
      <c r="AZ703" s="487" t="str">
        <f>+VLOOKUP($AJ703,Data_Validation!$A:$E,5,0)</f>
        <v>Oui</v>
      </c>
    </row>
    <row r="704" spans="1:52" ht="15" hidden="1" customHeight="1">
      <c r="A704" s="706" t="s">
        <v>1148</v>
      </c>
      <c r="B704" s="706">
        <v>2026</v>
      </c>
      <c r="C704" s="706" t="s">
        <v>3337</v>
      </c>
      <c r="D704" s="706" t="s">
        <v>3338</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G45002</v>
      </c>
      <c r="AK704" s="905" t="str">
        <f t="shared" si="69"/>
        <v>VTES- CAMION AUTRE MARQ</v>
      </c>
      <c r="AL704" s="905">
        <f>IFERROR(INDEX(G704:R704,1,MATCH(Parametres!$B$3,G$1:R$1,0)-1)*IF(OR(F704="L",F704="S",F704="I"),-1,1),"")</f>
        <v>0</v>
      </c>
      <c r="AM704" s="1047">
        <f t="shared" si="70"/>
        <v>0</v>
      </c>
      <c r="AN704" s="905">
        <f>INDEX(G704:R704,1,MATCH(Parametres!$B$3,G$1:R$1,0))*IF(OR(F704="L",F704="S",F704="I"),-1,1)</f>
        <v>0</v>
      </c>
      <c r="AO704" s="487" t="str">
        <f>+VLOOKUP($AJ704,Data_Validation!$A:$D,1,0)</f>
        <v>G45002</v>
      </c>
      <c r="AP704" s="487" t="str">
        <f>+VLOOKUP($AJ704,Data_Validation!$A:$D,3,0)</f>
        <v>Véhicules usagés</v>
      </c>
      <c r="AQ704" s="487" t="str">
        <f>+VLOOKUP($AJ704,Data_Validation!$A:$D,4,0)</f>
        <v>Autres Marques</v>
      </c>
      <c r="AR704" s="487" t="s">
        <v>299</v>
      </c>
      <c r="AS704" s="487">
        <f>+VLOOKUP($AJ704,Data_Validation!$A:$E,5,0)</f>
        <v>0</v>
      </c>
      <c r="AT704" s="904" t="str">
        <f t="shared" si="71"/>
        <v>G45002</v>
      </c>
      <c r="AU704" s="488" t="str">
        <f t="shared" si="72"/>
        <v>VTES- CAMION AUTRE MARQ</v>
      </c>
      <c r="AV704" s="899">
        <f>IFERROR(INDEX(V704:AG704,1,MATCH(Parametres!$B$3,V$1:AG$1,0)-1)*IF(OR(C704="L",C704="S",C704="I"),-1,1),"")</f>
        <v>0</v>
      </c>
      <c r="AW704" s="899">
        <f t="shared" si="73"/>
        <v>0</v>
      </c>
      <c r="AX704" s="899">
        <f>INDEX(V704:AG704,1,MATCH(Parametres!$B$3,V$1:AG$1,0))*IF(OR(C704="L",C704="S",C704="I"),-1,1)</f>
        <v>0</v>
      </c>
      <c r="AY704" s="487" t="s">
        <v>337</v>
      </c>
      <c r="AZ704" s="487">
        <f>+VLOOKUP($AJ704,Data_Validation!$A:$E,5,0)</f>
        <v>0</v>
      </c>
    </row>
    <row r="705" spans="1:52" ht="15" hidden="1" customHeight="1">
      <c r="A705" s="706" t="s">
        <v>1148</v>
      </c>
      <c r="B705" s="706">
        <v>2026</v>
      </c>
      <c r="C705" s="706" t="s">
        <v>3339</v>
      </c>
      <c r="D705" s="706" t="s">
        <v>3340</v>
      </c>
      <c r="E705" s="706" t="s">
        <v>1149</v>
      </c>
      <c r="F705" s="706" t="s">
        <v>1149</v>
      </c>
      <c r="G705" s="706">
        <v>0</v>
      </c>
      <c r="H705" s="706">
        <v>0</v>
      </c>
      <c r="I705" s="706">
        <v>0</v>
      </c>
      <c r="J705" s="706">
        <v>0</v>
      </c>
      <c r="K705" s="706">
        <v>0</v>
      </c>
      <c r="L705" s="706">
        <v>0</v>
      </c>
      <c r="M705" s="706">
        <v>163049.32</v>
      </c>
      <c r="N705" s="706">
        <v>336173.43</v>
      </c>
      <c r="O705" s="706">
        <v>336173.43</v>
      </c>
      <c r="P705" s="706">
        <v>336173.43</v>
      </c>
      <c r="Q705" s="706">
        <v>0</v>
      </c>
      <c r="R705" s="706">
        <v>0</v>
      </c>
      <c r="S705" s="706">
        <v>37352.6</v>
      </c>
      <c r="T705" s="706">
        <v>37352.6</v>
      </c>
      <c r="U705" s="706">
        <v>0</v>
      </c>
      <c r="V705" s="706">
        <v>0</v>
      </c>
      <c r="W705" s="706">
        <v>0</v>
      </c>
      <c r="X705" s="706">
        <v>0</v>
      </c>
      <c r="Y705" s="706">
        <v>0</v>
      </c>
      <c r="Z705" s="706">
        <v>0</v>
      </c>
      <c r="AA705" s="706">
        <v>0</v>
      </c>
      <c r="AB705" s="706">
        <v>4</v>
      </c>
      <c r="AC705" s="706">
        <v>9</v>
      </c>
      <c r="AD705" s="706">
        <v>9</v>
      </c>
      <c r="AE705" s="706">
        <v>9</v>
      </c>
      <c r="AF705" s="706">
        <v>0</v>
      </c>
      <c r="AG705" s="706">
        <v>0</v>
      </c>
      <c r="AH705" s="706">
        <v>1</v>
      </c>
      <c r="AI705" s="706">
        <v>1</v>
      </c>
      <c r="AJ705" s="905" t="str">
        <f t="shared" si="68"/>
        <v>G45003</v>
      </c>
      <c r="AK705" s="905" t="str">
        <f t="shared" si="69"/>
        <v>VTES-RACHAT BAIL CAMION</v>
      </c>
      <c r="AL705" s="905">
        <f>IFERROR(INDEX(G705:R705,1,MATCH(Parametres!$B$3,G$1:R$1,0)-1)*IF(OR(F705="L",F705="S",F705="I"),-1,1),"")</f>
        <v>-336173.43</v>
      </c>
      <c r="AM705" s="1047">
        <f t="shared" si="70"/>
        <v>0</v>
      </c>
      <c r="AN705" s="905">
        <f>INDEX(G705:R705,1,MATCH(Parametres!$B$3,G$1:R$1,0))*IF(OR(F705="L",F705="S",F705="I"),-1,1)</f>
        <v>-336173.43</v>
      </c>
      <c r="AO705" s="487" t="str">
        <f>+VLOOKUP($AJ705,Data_Validation!$A:$D,1,0)</f>
        <v>G45003</v>
      </c>
      <c r="AP705" s="487" t="str">
        <f>+VLOOKUP($AJ705,Data_Validation!$A:$D,3,0)</f>
        <v>Véhicules usagés</v>
      </c>
      <c r="AQ705" s="487" t="str">
        <f>+VLOOKUP($AJ705,Data_Validation!$A:$D,4,0)</f>
        <v>Rachat bail</v>
      </c>
      <c r="AR705" s="487" t="s">
        <v>299</v>
      </c>
      <c r="AS705" s="487" t="str">
        <f>+VLOOKUP($AJ705,Data_Validation!$A:$E,5,0)</f>
        <v>OUI</v>
      </c>
      <c r="AT705" s="904" t="str">
        <f t="shared" si="71"/>
        <v>G45003</v>
      </c>
      <c r="AU705" s="488" t="str">
        <f t="shared" si="72"/>
        <v>VTES-RACHAT BAIL CAMION</v>
      </c>
      <c r="AV705" s="899">
        <f>IFERROR(INDEX(V705:AG705,1,MATCH(Parametres!$B$3,V$1:AG$1,0)-1)*IF(OR(C705="L",C705="S",C705="I"),-1,1),"")</f>
        <v>9</v>
      </c>
      <c r="AW705" s="899">
        <f t="shared" si="73"/>
        <v>0</v>
      </c>
      <c r="AX705" s="899">
        <f>INDEX(V705:AG705,1,MATCH(Parametres!$B$3,V$1:AG$1,0))*IF(OR(C705="L",C705="S",C705="I"),-1,1)</f>
        <v>9</v>
      </c>
      <c r="AY705" s="487" t="s">
        <v>337</v>
      </c>
      <c r="AZ705" s="487" t="str">
        <f>+VLOOKUP($AJ705,Data_Validation!$A:$E,5,0)</f>
        <v>OUI</v>
      </c>
    </row>
    <row r="706" spans="1:52" ht="15" hidden="1" customHeight="1">
      <c r="A706" s="706" t="s">
        <v>1148</v>
      </c>
      <c r="B706" s="706">
        <v>2026</v>
      </c>
      <c r="C706" s="706" t="s">
        <v>2412</v>
      </c>
      <c r="D706" s="706" t="s">
        <v>2413</v>
      </c>
      <c r="E706" s="706" t="s">
        <v>1149</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G45020</v>
      </c>
      <c r="AK706" s="905" t="str">
        <f t="shared" si="69"/>
        <v>VTES-CAM USAGE OPT. -LOC.</v>
      </c>
      <c r="AL706" s="905">
        <f>IFERROR(INDEX(G706:R706,1,MATCH(Parametres!$B$3,G$1:R$1,0)-1)*IF(OR(F706="L",F706="S",F706="I"),-1,1),"")</f>
        <v>0</v>
      </c>
      <c r="AM706" s="1047">
        <f t="shared" si="70"/>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71"/>
        <v>G45020</v>
      </c>
      <c r="AU706" s="488" t="str">
        <f t="shared" si="72"/>
        <v>VTES-CAM USAGE OPT. -LOC.</v>
      </c>
      <c r="AV706" s="899">
        <f>IFERROR(INDEX(V706:AG706,1,MATCH(Parametres!$B$3,V$1:AG$1,0)-1)*IF(OR(C706="L",C706="S",C706="I"),-1,1),"")</f>
        <v>0</v>
      </c>
      <c r="AW706" s="899">
        <f t="shared" si="73"/>
        <v>0</v>
      </c>
      <c r="AX706" s="899">
        <f>INDEX(V706:AG706,1,MATCH(Parametres!$B$3,V$1:AG$1,0))*IF(OR(C706="L",C706="S",C706="I"),-1,1)</f>
        <v>0</v>
      </c>
      <c r="AY706" s="487" t="s">
        <v>337</v>
      </c>
      <c r="AZ706" s="487" t="e">
        <f>+VLOOKUP($AJ706,Data_Validation!$A:$E,5,0)</f>
        <v>#N/A</v>
      </c>
    </row>
    <row r="707" spans="1:52" ht="15" hidden="1" customHeight="1">
      <c r="A707" s="706" t="s">
        <v>1148</v>
      </c>
      <c r="B707" s="706">
        <v>2026</v>
      </c>
      <c r="C707" s="706" t="s">
        <v>2414</v>
      </c>
      <c r="D707" s="706" t="s">
        <v>2415</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G45100</v>
      </c>
      <c r="AK707" s="905" t="str">
        <f t="shared" si="69"/>
        <v>*REM.NEUF CAM DET. OPT.</v>
      </c>
      <c r="AL707" s="905">
        <f>IFERROR(INDEX(G707:R707,1,MATCH(Parametres!$B$3,G$1:R$1,0)-1)*IF(OR(F707="L",F707="S",F707="I"),-1,1),"")</f>
        <v>0</v>
      </c>
      <c r="AM707" s="905">
        <f t="shared" si="70"/>
        <v>0</v>
      </c>
      <c r="AN707" s="905">
        <f>INDEX(G707:R707,1,MATCH(Parametres!$B$3,G$1:R$1,0))*IF(OR(F707="L",F707="S",F707="I"),-1,1)</f>
        <v>0</v>
      </c>
      <c r="AO707" s="487" t="str">
        <f>+VLOOKUP($AJ707,Data_Validation!$A:$D,1,0)</f>
        <v>G45100</v>
      </c>
      <c r="AP707" s="487">
        <f>+VLOOKUP($AJ707,Data_Validation!$A:$D,3,0)</f>
        <v>0</v>
      </c>
      <c r="AQ707" s="487">
        <f>+VLOOKUP($AJ707,Data_Validation!$A:$D,4,0)</f>
        <v>0</v>
      </c>
      <c r="AR707" s="487" t="s">
        <v>299</v>
      </c>
      <c r="AS707" s="487">
        <f>+VLOOKUP($AJ707,Data_Validation!$A:$E,5,0)</f>
        <v>0</v>
      </c>
      <c r="AT707" s="904" t="str">
        <f t="shared" si="71"/>
        <v>G45100</v>
      </c>
      <c r="AU707" s="488" t="str">
        <f t="shared" si="72"/>
        <v>*REM.NEUF CAM DET. OPT.</v>
      </c>
      <c r="AV707" s="899">
        <f>IFERROR(INDEX(V707:AG707,1,MATCH(Parametres!$B$3,V$1:AG$1,0)-1)*IF(OR(C707="L",C707="S",C707="I"),-1,1),"")</f>
        <v>0</v>
      </c>
      <c r="AW707" s="899">
        <f t="shared" si="73"/>
        <v>0</v>
      </c>
      <c r="AX707" s="899">
        <f>INDEX(V707:AG707,1,MATCH(Parametres!$B$3,V$1:AG$1,0))*IF(OR(C707="L",C707="S",C707="I"),-1,1)</f>
        <v>0</v>
      </c>
      <c r="AY707" s="487" t="s">
        <v>337</v>
      </c>
      <c r="AZ707" s="487">
        <f>+VLOOKUP($AJ707,Data_Validation!$A:$E,5,0)</f>
        <v>0</v>
      </c>
    </row>
    <row r="708" spans="1:52" ht="15" hidden="1" customHeight="1">
      <c r="A708" s="706" t="s">
        <v>1148</v>
      </c>
      <c r="B708" s="706">
        <v>2026</v>
      </c>
      <c r="C708" s="706" t="s">
        <v>2416</v>
      </c>
      <c r="D708" s="706" t="s">
        <v>2417</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G45101</v>
      </c>
      <c r="AK708" s="905" t="str">
        <f t="shared" si="69"/>
        <v>*REM.NEUF CAM DET.AUTRES</v>
      </c>
      <c r="AL708" s="905">
        <f>IFERROR(INDEX(G708:R708,1,MATCH(Parametres!$B$3,G$1:R$1,0)-1)*IF(OR(F708="L",F708="S",F708="I"),-1,1),"")</f>
        <v>0</v>
      </c>
      <c r="AM708" s="905">
        <f t="shared" si="70"/>
        <v>0</v>
      </c>
      <c r="AN708" s="905">
        <f>INDEX(G708:R708,1,MATCH(Parametres!$B$3,G$1:R$1,0))*IF(OR(F708="L",F708="S",F708="I"),-1,1)</f>
        <v>0</v>
      </c>
      <c r="AO708" s="487" t="str">
        <f>+VLOOKUP($AJ708,Data_Validation!$A:$D,1,0)</f>
        <v>G45101</v>
      </c>
      <c r="AP708" s="487">
        <f>+VLOOKUP($AJ708,Data_Validation!$A:$D,3,0)</f>
        <v>0</v>
      </c>
      <c r="AQ708" s="487">
        <f>+VLOOKUP($AJ708,Data_Validation!$A:$D,4,0)</f>
        <v>0</v>
      </c>
      <c r="AR708" s="487" t="s">
        <v>299</v>
      </c>
      <c r="AS708" s="487">
        <f>+VLOOKUP($AJ708,Data_Validation!$A:$E,5,0)</f>
        <v>0</v>
      </c>
      <c r="AT708" s="904" t="str">
        <f t="shared" si="71"/>
        <v>G45101</v>
      </c>
      <c r="AU708" s="488" t="str">
        <f t="shared" si="72"/>
        <v>*REM.NEUF CAM DET.AUTRES</v>
      </c>
      <c r="AV708" s="899">
        <f>IFERROR(INDEX(V708:AG708,1,MATCH(Parametres!$B$3,V$1:AG$1,0)-1)*IF(OR(C708="L",C708="S",C708="I"),-1,1),"")</f>
        <v>0</v>
      </c>
      <c r="AW708" s="899">
        <f t="shared" si="73"/>
        <v>0</v>
      </c>
      <c r="AX708" s="899">
        <f>INDEX(V708:AG708,1,MATCH(Parametres!$B$3,V$1:AG$1,0))*IF(OR(C708="L",C708="S",C708="I"),-1,1)</f>
        <v>0</v>
      </c>
      <c r="AY708" s="487" t="s">
        <v>337</v>
      </c>
      <c r="AZ708" s="487">
        <f>+VLOOKUP($AJ708,Data_Validation!$A:$E,5,0)</f>
        <v>0</v>
      </c>
    </row>
    <row r="709" spans="1:52" ht="15" hidden="1" customHeight="1">
      <c r="A709" s="706" t="s">
        <v>1148</v>
      </c>
      <c r="B709" s="706">
        <v>2026</v>
      </c>
      <c r="C709" s="706" t="s">
        <v>2418</v>
      </c>
      <c r="D709" s="706" t="s">
        <v>2419</v>
      </c>
      <c r="E709" s="706" t="s">
        <v>333</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905" t="str">
        <f t="shared" si="68"/>
        <v>G45120</v>
      </c>
      <c r="AK709" s="905" t="str">
        <f t="shared" si="69"/>
        <v>*REM.NEUF LOC.CAM.DET.OPT</v>
      </c>
      <c r="AL709" s="905">
        <f>IFERROR(INDEX(G709:R709,1,MATCH(Parametres!$B$3,G$1:R$1,0)-1)*IF(OR(F709="L",F709="S",F709="I"),-1,1),"")</f>
        <v>0</v>
      </c>
      <c r="AM709" s="905">
        <f t="shared" si="70"/>
        <v>0</v>
      </c>
      <c r="AN709" s="905">
        <f>INDEX(G709:R709,1,MATCH(Parametres!$B$3,G$1:R$1,0))*IF(OR(F709="L",F709="S",F709="I"),-1,1)</f>
        <v>0</v>
      </c>
      <c r="AO709" s="487" t="str">
        <f>+VLOOKUP($AJ709,Data_Validation!$A:$D,1,0)</f>
        <v>G45120</v>
      </c>
      <c r="AP709" s="487">
        <f>+VLOOKUP($AJ709,Data_Validation!$A:$D,3,0)</f>
        <v>0</v>
      </c>
      <c r="AQ709" s="487">
        <f>+VLOOKUP($AJ709,Data_Validation!$A:$D,4,0)</f>
        <v>0</v>
      </c>
      <c r="AR709" s="487" t="s">
        <v>299</v>
      </c>
      <c r="AS709" s="487">
        <f>+VLOOKUP($AJ709,Data_Validation!$A:$E,5,0)</f>
        <v>0</v>
      </c>
      <c r="AT709" s="904" t="str">
        <f t="shared" si="71"/>
        <v>G45120</v>
      </c>
      <c r="AU709" s="488" t="str">
        <f t="shared" si="72"/>
        <v>*REM.NEUF LOC.CAM.DET.OPT</v>
      </c>
      <c r="AV709" s="899">
        <f>IFERROR(INDEX(V709:AG709,1,MATCH(Parametres!$B$3,V$1:AG$1,0)-1)*IF(OR(C709="L",C709="S",C709="I"),-1,1),"")</f>
        <v>0</v>
      </c>
      <c r="AW709" s="899">
        <f t="shared" si="73"/>
        <v>0</v>
      </c>
      <c r="AX709" s="899">
        <f>INDEX(V709:AG709,1,MATCH(Parametres!$B$3,V$1:AG$1,0))*IF(OR(C709="L",C709="S",C709="I"),-1,1)</f>
        <v>0</v>
      </c>
      <c r="AY709" s="487" t="s">
        <v>337</v>
      </c>
      <c r="AZ709" s="487">
        <f>+VLOOKUP($AJ709,Data_Validation!$A:$E,5,0)</f>
        <v>0</v>
      </c>
    </row>
    <row r="710" spans="1:52" ht="15" customHeight="1">
      <c r="A710" s="706" t="s">
        <v>1148</v>
      </c>
      <c r="B710" s="706">
        <v>2026</v>
      </c>
      <c r="C710" s="706" t="s">
        <v>2420</v>
      </c>
      <c r="D710" s="706" t="s">
        <v>2421</v>
      </c>
      <c r="E710" s="706" t="s">
        <v>1149</v>
      </c>
      <c r="F710" s="706" t="s">
        <v>1149</v>
      </c>
      <c r="G710" s="706">
        <v>2100379.8199999998</v>
      </c>
      <c r="H710" s="706">
        <v>3762756.44</v>
      </c>
      <c r="I710" s="706">
        <v>6990224.5099999998</v>
      </c>
      <c r="J710" s="706">
        <v>9896233.2899999991</v>
      </c>
      <c r="K710" s="706">
        <v>4745727.26</v>
      </c>
      <c r="L710" s="706">
        <v>5406103.9400000004</v>
      </c>
      <c r="M710" s="706">
        <v>5947334.9400000004</v>
      </c>
      <c r="N710" s="706">
        <v>6873627.2699999996</v>
      </c>
      <c r="O710" s="706">
        <v>7500740.0099999998</v>
      </c>
      <c r="P710" s="706">
        <v>7520040.0099999998</v>
      </c>
      <c r="Q710" s="706">
        <v>0</v>
      </c>
      <c r="R710" s="706">
        <v>0</v>
      </c>
      <c r="S710" s="706">
        <v>833415.56</v>
      </c>
      <c r="T710" s="706">
        <v>833415.56</v>
      </c>
      <c r="U710" s="706">
        <v>0</v>
      </c>
      <c r="V710" s="706">
        <v>58</v>
      </c>
      <c r="W710" s="706">
        <v>107</v>
      </c>
      <c r="X710" s="706">
        <v>197</v>
      </c>
      <c r="Y710" s="706">
        <v>277</v>
      </c>
      <c r="Z710" s="706">
        <v>116</v>
      </c>
      <c r="AA710" s="706">
        <v>140</v>
      </c>
      <c r="AB710" s="706">
        <v>155</v>
      </c>
      <c r="AC710" s="706">
        <v>182</v>
      </c>
      <c r="AD710" s="706">
        <v>200</v>
      </c>
      <c r="AE710" s="706">
        <v>201</v>
      </c>
      <c r="AF710" s="706">
        <v>0</v>
      </c>
      <c r="AG710" s="706">
        <v>0</v>
      </c>
      <c r="AH710" s="706">
        <v>22</v>
      </c>
      <c r="AI710" s="706">
        <v>22</v>
      </c>
      <c r="AJ710" s="905" t="str">
        <f t="shared" si="68"/>
        <v>G45200</v>
      </c>
      <c r="AK710" s="905" t="str">
        <f t="shared" si="69"/>
        <v>VTES-CAMIONS OCC EN GROS</v>
      </c>
      <c r="AL710" s="905">
        <f>IFERROR(INDEX(G710:R710,1,MATCH(Parametres!$B$3,G$1:R$1,0)-1)*IF(OR(F710="L",F710="S",F710="I"),-1,1),"")</f>
        <v>-6873627.2699999996</v>
      </c>
      <c r="AM710" s="905">
        <f t="shared" si="70"/>
        <v>-627112.74000000022</v>
      </c>
      <c r="AN710" s="905">
        <f>INDEX(G710:R710,1,MATCH(Parametres!$B$3,G$1:R$1,0))*IF(OR(F710="L",F710="S",F710="I"),-1,1)</f>
        <v>-7500740.0099999998</v>
      </c>
      <c r="AO710" s="487" t="str">
        <f>+VLOOKUP($AJ710,Data_Validation!$A:$D,1,0)</f>
        <v>G45200</v>
      </c>
      <c r="AP710" s="487" t="str">
        <f>+VLOOKUP($AJ710,Data_Validation!$A:$D,3,0)</f>
        <v>Véhicules usagés</v>
      </c>
      <c r="AQ710" s="487" t="str">
        <f>+VLOOKUP($AJ710,Data_Validation!$A:$D,4,0)</f>
        <v>Ventes au Gros</v>
      </c>
      <c r="AR710" s="487" t="s">
        <v>299</v>
      </c>
      <c r="AS710" s="487" t="str">
        <f>+VLOOKUP($AJ710,Data_Validation!$A:$E,5,0)</f>
        <v>Oui</v>
      </c>
      <c r="AT710" s="904" t="str">
        <f t="shared" si="71"/>
        <v>G45200</v>
      </c>
      <c r="AU710" s="488" t="str">
        <f t="shared" si="72"/>
        <v>VTES-CAMIONS OCC EN GROS</v>
      </c>
      <c r="AV710" s="899">
        <f>IFERROR(INDEX(V710:AG710,1,MATCH(Parametres!$B$3,V$1:AG$1,0)-1)*IF(OR(C710="L",C710="S",C710="I"),-1,1),"")</f>
        <v>182</v>
      </c>
      <c r="AW710" s="899">
        <f t="shared" si="73"/>
        <v>18</v>
      </c>
      <c r="AX710" s="899">
        <f>INDEX(V710:AG710,1,MATCH(Parametres!$B$3,V$1:AG$1,0))*IF(OR(C710="L",C710="S",C710="I"),-1,1)</f>
        <v>200</v>
      </c>
      <c r="AY710" s="487" t="s">
        <v>337</v>
      </c>
      <c r="AZ710" s="487" t="str">
        <f>+VLOOKUP($AJ710,Data_Validation!$A:$E,5,0)</f>
        <v>Oui</v>
      </c>
    </row>
    <row r="711" spans="1:52" ht="15" customHeight="1">
      <c r="A711" s="706" t="s">
        <v>1148</v>
      </c>
      <c r="B711" s="706">
        <v>2026</v>
      </c>
      <c r="C711" s="706" t="s">
        <v>2422</v>
      </c>
      <c r="D711" s="706" t="s">
        <v>2423</v>
      </c>
      <c r="E711" s="706" t="s">
        <v>1149</v>
      </c>
      <c r="F711" s="706" t="s">
        <v>1149</v>
      </c>
      <c r="G711" s="706">
        <v>6844500</v>
      </c>
      <c r="H711" s="706">
        <v>7395000</v>
      </c>
      <c r="I711" s="706">
        <v>10383950</v>
      </c>
      <c r="J711" s="706">
        <v>16296150</v>
      </c>
      <c r="K711" s="706">
        <v>18243450</v>
      </c>
      <c r="L711" s="706">
        <v>20028350</v>
      </c>
      <c r="M711" s="706">
        <v>21800450</v>
      </c>
      <c r="N711" s="706">
        <v>22951450</v>
      </c>
      <c r="O711" s="706">
        <v>23329950</v>
      </c>
      <c r="P711" s="706">
        <v>23329950</v>
      </c>
      <c r="Q711" s="706">
        <v>0</v>
      </c>
      <c r="R711" s="706">
        <v>0</v>
      </c>
      <c r="S711" s="706">
        <v>2592216.67</v>
      </c>
      <c r="T711" s="706">
        <v>2592216.67</v>
      </c>
      <c r="U711" s="706">
        <v>0</v>
      </c>
      <c r="V711" s="706">
        <v>41</v>
      </c>
      <c r="W711" s="706">
        <v>44</v>
      </c>
      <c r="X711" s="706">
        <v>76</v>
      </c>
      <c r="Y711" s="706">
        <v>139</v>
      </c>
      <c r="Z711" s="706">
        <v>157</v>
      </c>
      <c r="AA711" s="706">
        <v>177</v>
      </c>
      <c r="AB711" s="706">
        <v>188</v>
      </c>
      <c r="AC711" s="706">
        <v>196</v>
      </c>
      <c r="AD711" s="706">
        <v>197</v>
      </c>
      <c r="AE711" s="706">
        <v>197</v>
      </c>
      <c r="AF711" s="706">
        <v>0</v>
      </c>
      <c r="AG711" s="706">
        <v>0</v>
      </c>
      <c r="AH711" s="706">
        <v>22</v>
      </c>
      <c r="AI711" s="706">
        <v>22</v>
      </c>
      <c r="AJ711" s="905" t="str">
        <f t="shared" si="68"/>
        <v>G45201</v>
      </c>
      <c r="AK711" s="905" t="str">
        <f t="shared" si="69"/>
        <v>VTES - WHOLESALE W</v>
      </c>
      <c r="AL711" s="905">
        <f>IFERROR(INDEX(G711:R711,1,MATCH(Parametres!$B$3,G$1:R$1,0)-1)*IF(OR(F711="L",F711="S",F711="I"),-1,1),"")</f>
        <v>-22951450</v>
      </c>
      <c r="AM711" s="905">
        <f t="shared" si="70"/>
        <v>-378500</v>
      </c>
      <c r="AN711" s="905">
        <f>INDEX(G711:R711,1,MATCH(Parametres!$B$3,G$1:R$1,0))*IF(OR(F711="L",F711="S",F711="I"),-1,1)</f>
        <v>-23329950</v>
      </c>
      <c r="AO711" s="487" t="str">
        <f>+VLOOKUP($AJ711,Data_Validation!$A:$D,1,0)</f>
        <v>G45201</v>
      </c>
      <c r="AP711" s="487" t="str">
        <f>+VLOOKUP($AJ711,Data_Validation!$A:$D,3,0)</f>
        <v>Wholesale autres</v>
      </c>
      <c r="AQ711" s="487" t="str">
        <f>+VLOOKUP($AJ711,Data_Validation!$A:$D,4,0)</f>
        <v>Wholesale Luxueux</v>
      </c>
      <c r="AR711" s="487" t="s">
        <v>299</v>
      </c>
      <c r="AS711" s="487" t="str">
        <f>+VLOOKUP($AJ711,Data_Validation!$A:$E,5,0)</f>
        <v>Oui</v>
      </c>
      <c r="AT711" s="904" t="str">
        <f t="shared" si="71"/>
        <v>G45201</v>
      </c>
      <c r="AU711" s="488" t="str">
        <f t="shared" si="72"/>
        <v>VTES - WHOLESALE W</v>
      </c>
      <c r="AV711" s="899">
        <f>IFERROR(INDEX(V711:AG711,1,MATCH(Parametres!$B$3,V$1:AG$1,0)-1)*IF(OR(C711="L",C711="S",C711="I"),-1,1),"")</f>
        <v>196</v>
      </c>
      <c r="AW711" s="899">
        <f t="shared" si="73"/>
        <v>1</v>
      </c>
      <c r="AX711" s="899">
        <f>INDEX(V711:AG711,1,MATCH(Parametres!$B$3,V$1:AG$1,0))*IF(OR(C711="L",C711="S",C711="I"),-1,1)</f>
        <v>197</v>
      </c>
      <c r="AY711" s="487" t="s">
        <v>337</v>
      </c>
      <c r="AZ711" s="487" t="str">
        <f>+VLOOKUP($AJ711,Data_Validation!$A:$E,5,0)</f>
        <v>Oui</v>
      </c>
    </row>
    <row r="712" spans="1:52" ht="15" hidden="1" customHeight="1">
      <c r="A712" s="706" t="s">
        <v>1148</v>
      </c>
      <c r="B712" s="706">
        <v>2026</v>
      </c>
      <c r="C712" s="706" t="s">
        <v>3155</v>
      </c>
      <c r="D712" s="706" t="s">
        <v>3156</v>
      </c>
      <c r="E712" s="706" t="s">
        <v>1149</v>
      </c>
      <c r="F712" s="706" t="s">
        <v>1149</v>
      </c>
      <c r="G712" s="706">
        <v>0</v>
      </c>
      <c r="H712" s="706">
        <v>0</v>
      </c>
      <c r="I712" s="706">
        <v>0</v>
      </c>
      <c r="J712" s="706">
        <v>0</v>
      </c>
      <c r="K712" s="706">
        <v>1503300</v>
      </c>
      <c r="L712" s="706">
        <v>2100300</v>
      </c>
      <c r="M712" s="706">
        <v>2100300</v>
      </c>
      <c r="N712" s="706">
        <v>2100300</v>
      </c>
      <c r="O712" s="706">
        <v>2100300</v>
      </c>
      <c r="P712" s="706">
        <v>2100300</v>
      </c>
      <c r="Q712" s="706">
        <v>0</v>
      </c>
      <c r="R712" s="706">
        <v>0</v>
      </c>
      <c r="S712" s="706">
        <v>233366.67</v>
      </c>
      <c r="T712" s="706">
        <v>233366.67</v>
      </c>
      <c r="U712" s="706">
        <v>0</v>
      </c>
      <c r="V712" s="706">
        <v>0</v>
      </c>
      <c r="W712" s="706">
        <v>0</v>
      </c>
      <c r="X712" s="706">
        <v>0</v>
      </c>
      <c r="Y712" s="706">
        <v>0</v>
      </c>
      <c r="Z712" s="706">
        <v>4</v>
      </c>
      <c r="AA712" s="706">
        <v>5</v>
      </c>
      <c r="AB712" s="706">
        <v>5</v>
      </c>
      <c r="AC712" s="706">
        <v>5</v>
      </c>
      <c r="AD712" s="706">
        <v>5</v>
      </c>
      <c r="AE712" s="706">
        <v>5</v>
      </c>
      <c r="AF712" s="706">
        <v>0</v>
      </c>
      <c r="AG712" s="706">
        <v>0</v>
      </c>
      <c r="AH712" s="706">
        <v>1</v>
      </c>
      <c r="AI712" s="706">
        <v>1</v>
      </c>
      <c r="AJ712" s="905" t="str">
        <f t="shared" si="68"/>
        <v>G45202</v>
      </c>
      <c r="AK712" s="905" t="str">
        <f t="shared" si="69"/>
        <v>VTES- WHOLESALES M</v>
      </c>
      <c r="AL712" s="905">
        <f>IFERROR(INDEX(G712:R712,1,MATCH(Parametres!$B$3,G$1:R$1,0)-1)*IF(OR(F712="L",F712="S",F712="I"),-1,1),"")</f>
        <v>-2100300</v>
      </c>
      <c r="AM712" s="905">
        <f t="shared" si="70"/>
        <v>0</v>
      </c>
      <c r="AN712" s="905">
        <f>INDEX(G712:R712,1,MATCH(Parametres!$B$3,G$1:R$1,0))*IF(OR(F712="L",F712="S",F712="I"),-1,1)</f>
        <v>-2100300</v>
      </c>
      <c r="AO712" s="487" t="str">
        <f>+VLOOKUP($AJ712,Data_Validation!$A:$D,1,0)</f>
        <v>G45202</v>
      </c>
      <c r="AP712" s="487" t="str">
        <f>+VLOOKUP($AJ712,Data_Validation!$A:$D,3,0)</f>
        <v>Wholesale autres</v>
      </c>
      <c r="AQ712" s="487" t="str">
        <f>+VLOOKUP($AJ712,Data_Validation!$A:$D,4,0)</f>
        <v>Wholesale Luxueux</v>
      </c>
      <c r="AR712" s="487" t="s">
        <v>299</v>
      </c>
      <c r="AS712" s="487" t="str">
        <f>+VLOOKUP($AJ712,Data_Validation!$A:$E,5,0)</f>
        <v>Oui</v>
      </c>
      <c r="AT712" s="904" t="str">
        <f t="shared" si="71"/>
        <v>G45202</v>
      </c>
      <c r="AU712" s="488" t="str">
        <f t="shared" si="72"/>
        <v>VTES- WHOLESALES M</v>
      </c>
      <c r="AV712" s="899">
        <f>IFERROR(INDEX(V712:AG712,1,MATCH(Parametres!$B$3,V$1:AG$1,0)-1)*IF(OR(C712="L",C712="S",C712="I"),-1,1),"")</f>
        <v>5</v>
      </c>
      <c r="AW712" s="899">
        <f t="shared" si="73"/>
        <v>0</v>
      </c>
      <c r="AX712" s="899">
        <f>INDEX(V712:AG712,1,MATCH(Parametres!$B$3,V$1:AG$1,0))*IF(OR(C712="L",C712="S",C712="I"),-1,1)</f>
        <v>5</v>
      </c>
      <c r="AY712" s="487" t="s">
        <v>337</v>
      </c>
      <c r="AZ712" s="487" t="str">
        <f>+VLOOKUP($AJ712,Data_Validation!$A:$E,5,0)</f>
        <v>Oui</v>
      </c>
    </row>
    <row r="713" spans="1:52" ht="15" hidden="1" customHeight="1">
      <c r="A713" s="706" t="s">
        <v>1148</v>
      </c>
      <c r="B713" s="706">
        <v>2026</v>
      </c>
      <c r="C713" s="706" t="s">
        <v>2424</v>
      </c>
      <c r="D713" s="706" t="s">
        <v>2425</v>
      </c>
      <c r="E713" s="706" t="s">
        <v>333</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G45300</v>
      </c>
      <c r="AK713" s="905" t="str">
        <f t="shared" si="69"/>
        <v>*RECTIFICATION/STOK/TRUCK</v>
      </c>
      <c r="AL713" s="905">
        <f>IFERROR(INDEX(G713:R713,1,MATCH(Parametres!$B$3,G$1:R$1,0)-1)*IF(OR(F713="L",F713="S",F713="I"),-1,1),"")</f>
        <v>0</v>
      </c>
      <c r="AM713" s="905">
        <f t="shared" si="70"/>
        <v>0</v>
      </c>
      <c r="AN713" s="905">
        <f>INDEX(G713:R713,1,MATCH(Parametres!$B$3,G$1:R$1,0))*IF(OR(F713="L",F713="S",F713="I"),-1,1)</f>
        <v>0</v>
      </c>
      <c r="AO713" s="487" t="str">
        <f>+VLOOKUP($AJ713,Data_Validation!$A:$D,1,0)</f>
        <v>G45300</v>
      </c>
      <c r="AP713" s="487">
        <f>+VLOOKUP($AJ713,Data_Validation!$A:$D,3,0)</f>
        <v>0</v>
      </c>
      <c r="AQ713" s="487">
        <f>+VLOOKUP($AJ713,Data_Validation!$A:$D,4,0)</f>
        <v>0</v>
      </c>
      <c r="AR713" s="487" t="s">
        <v>299</v>
      </c>
      <c r="AS713" s="487">
        <f>+VLOOKUP($AJ713,Data_Validation!$A:$E,5,0)</f>
        <v>0</v>
      </c>
      <c r="AT713" s="904" t="str">
        <f t="shared" si="71"/>
        <v>G45300</v>
      </c>
      <c r="AU713" s="488" t="str">
        <f t="shared" si="72"/>
        <v>*RECTIFICATION/STOK/TRUCK</v>
      </c>
      <c r="AV713" s="899">
        <f>IFERROR(INDEX(V713:AG713,1,MATCH(Parametres!$B$3,V$1:AG$1,0)-1)*IF(OR(C713="L",C713="S",C713="I"),-1,1),"")</f>
        <v>0</v>
      </c>
      <c r="AW713" s="899">
        <f t="shared" si="73"/>
        <v>0</v>
      </c>
      <c r="AX713" s="899">
        <f>INDEX(V713:AG713,1,MATCH(Parametres!$B$3,V$1:AG$1,0))*IF(OR(C713="L",C713="S",C713="I"),-1,1)</f>
        <v>0</v>
      </c>
      <c r="AY713" s="487" t="s">
        <v>337</v>
      </c>
      <c r="AZ713" s="487">
        <f>+VLOOKUP($AJ713,Data_Validation!$A:$E,5,0)</f>
        <v>0</v>
      </c>
    </row>
    <row r="714" spans="1:52" ht="15" hidden="1" customHeight="1">
      <c r="A714" s="706" t="s">
        <v>1148</v>
      </c>
      <c r="B714" s="706">
        <v>2026</v>
      </c>
      <c r="C714" s="706" t="s">
        <v>3483</v>
      </c>
      <c r="D714" s="706" t="s">
        <v>3484</v>
      </c>
      <c r="E714" s="706" t="s">
        <v>333</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G45301</v>
      </c>
      <c r="AK714" s="905" t="str">
        <f t="shared" si="69"/>
        <v>VTES- PRT ANTIROUILLE US</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G45301</v>
      </c>
      <c r="AU714" s="488" t="str">
        <f t="shared" si="72"/>
        <v>VTES- PRT ANTIROUILLE US</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3485</v>
      </c>
      <c r="D715" s="706" t="s">
        <v>3486</v>
      </c>
      <c r="E715" s="706" t="s">
        <v>333</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G45305</v>
      </c>
      <c r="AK715" s="905" t="str">
        <f t="shared" si="69"/>
        <v>VTE-PRT DOMINO-TAG USAGE</v>
      </c>
      <c r="AL715" s="905">
        <f>IFERROR(INDEX(G715:R715,1,MATCH(Parametres!$B$3,G$1:R$1,0)-1)*IF(OR(F715="L",F715="S",F715="I"),-1,1),"")</f>
        <v>0</v>
      </c>
      <c r="AM715" s="905">
        <f t="shared" si="70"/>
        <v>0</v>
      </c>
      <c r="AN715" s="905">
        <f>INDEX(G715:R715,1,MATCH(Parametres!$B$3,G$1:R$1,0))*IF(OR(F715="L",F715="S",F715="I"),-1,1)</f>
        <v>0</v>
      </c>
      <c r="AO715" s="487" t="e">
        <f>+VLOOKUP($AJ715,Data_Validation!$A:$D,1,0)</f>
        <v>#N/A</v>
      </c>
      <c r="AP715" s="487" t="e">
        <f>+VLOOKUP($AJ715,Data_Validation!$A:$D,3,0)</f>
        <v>#N/A</v>
      </c>
      <c r="AQ715" s="487" t="e">
        <f>+VLOOKUP($AJ715,Data_Validation!$A:$D,4,0)</f>
        <v>#N/A</v>
      </c>
      <c r="AR715" s="487" t="s">
        <v>299</v>
      </c>
      <c r="AS715" s="487" t="e">
        <f>+VLOOKUP($AJ715,Data_Validation!$A:$E,5,0)</f>
        <v>#N/A</v>
      </c>
      <c r="AT715" s="904" t="str">
        <f t="shared" si="71"/>
        <v>G45305</v>
      </c>
      <c r="AU715" s="488" t="str">
        <f t="shared" si="72"/>
        <v>VTE-PRT DOMINO-TAG USAGE</v>
      </c>
      <c r="AV715" s="899">
        <f>IFERROR(INDEX(V715:AG715,1,MATCH(Parametres!$B$3,V$1:AG$1,0)-1)*IF(OR(C715="L",C715="S",C715="I"),-1,1),"")</f>
        <v>0</v>
      </c>
      <c r="AW715" s="899">
        <f t="shared" si="73"/>
        <v>0</v>
      </c>
      <c r="AX715" s="899">
        <f>INDEX(V715:AG715,1,MATCH(Parametres!$B$3,V$1:AG$1,0))*IF(OR(C715="L",C715="S",C715="I"),-1,1)</f>
        <v>0</v>
      </c>
      <c r="AY715" s="487" t="s">
        <v>337</v>
      </c>
      <c r="AZ715" s="487" t="e">
        <f>+VLOOKUP($AJ715,Data_Validation!$A:$E,5,0)</f>
        <v>#N/A</v>
      </c>
    </row>
    <row r="716" spans="1:52" ht="15" hidden="1" customHeight="1">
      <c r="A716" s="706" t="s">
        <v>1148</v>
      </c>
      <c r="B716" s="706">
        <v>2026</v>
      </c>
      <c r="C716" s="706" t="s">
        <v>2426</v>
      </c>
      <c r="D716" s="706" t="s">
        <v>2427</v>
      </c>
      <c r="E716" s="706" t="s">
        <v>333</v>
      </c>
      <c r="F716" s="706" t="s">
        <v>1149</v>
      </c>
      <c r="G716" s="706">
        <v>32386.73</v>
      </c>
      <c r="H716" s="706">
        <v>41911.730000000003</v>
      </c>
      <c r="I716" s="706">
        <v>60622.73</v>
      </c>
      <c r="J716" s="706">
        <v>95459.73</v>
      </c>
      <c r="K716" s="706">
        <v>126732.73</v>
      </c>
      <c r="L716" s="706">
        <v>155831.73000000001</v>
      </c>
      <c r="M716" s="706">
        <v>155831.73000000001</v>
      </c>
      <c r="N716" s="706">
        <v>173727.73</v>
      </c>
      <c r="O716" s="706">
        <v>176686.73</v>
      </c>
      <c r="P716" s="706">
        <v>176686.73</v>
      </c>
      <c r="Q716" s="706">
        <v>0</v>
      </c>
      <c r="R716" s="706">
        <v>0</v>
      </c>
      <c r="S716" s="706">
        <v>19631.86</v>
      </c>
      <c r="T716" s="706">
        <v>19631.86</v>
      </c>
      <c r="U716" s="706">
        <v>0</v>
      </c>
      <c r="V716" s="706">
        <v>9</v>
      </c>
      <c r="W716" s="706">
        <v>12</v>
      </c>
      <c r="X716" s="706">
        <v>17</v>
      </c>
      <c r="Y716" s="706">
        <v>26</v>
      </c>
      <c r="Z716" s="706">
        <v>35</v>
      </c>
      <c r="AA716" s="706">
        <v>43</v>
      </c>
      <c r="AB716" s="706">
        <v>43</v>
      </c>
      <c r="AC716" s="706">
        <v>48</v>
      </c>
      <c r="AD716" s="706">
        <v>49</v>
      </c>
      <c r="AE716" s="706">
        <v>49</v>
      </c>
      <c r="AF716" s="706">
        <v>0</v>
      </c>
      <c r="AG716" s="706">
        <v>0</v>
      </c>
      <c r="AH716" s="706">
        <v>5</v>
      </c>
      <c r="AI716" s="706">
        <v>5</v>
      </c>
      <c r="AJ716" s="905" t="str">
        <f t="shared" si="68"/>
        <v>G45400</v>
      </c>
      <c r="AK716" s="905" t="str">
        <f t="shared" si="69"/>
        <v>VTES-PLAN PROTECTION USAG</v>
      </c>
      <c r="AL716" s="905">
        <f>IFERROR(INDEX(G716:R716,1,MATCH(Parametres!$B$3,G$1:R$1,0)-1)*IF(OR(F716="L",F716="S",F716="I"),-1,1),"")</f>
        <v>-173727.73</v>
      </c>
      <c r="AM716" s="905">
        <f t="shared" si="70"/>
        <v>-2959</v>
      </c>
      <c r="AN716" s="905">
        <f>INDEX(G716:R716,1,MATCH(Parametres!$B$3,G$1:R$1,0))*IF(OR(F716="L",F716="S",F716="I"),-1,1)</f>
        <v>-176686.73</v>
      </c>
      <c r="AO716" s="487" t="str">
        <f>+VLOOKUP($AJ716,Data_Validation!$A:$D,1,0)</f>
        <v>G45400</v>
      </c>
      <c r="AP716" s="487" t="str">
        <f>+VLOOKUP($AJ716,Data_Validation!$A:$D,3,0)</f>
        <v>Véhicules usagés</v>
      </c>
      <c r="AQ716" s="487" t="str">
        <f>+VLOOKUP($AJ716,Data_Validation!$A:$D,4,0)</f>
        <v>Rev. Protections</v>
      </c>
      <c r="AR716" s="487" t="s">
        <v>299</v>
      </c>
      <c r="AS716" s="487" t="str">
        <f>+VLOOKUP($AJ716,Data_Validation!$A:$E,5,0)</f>
        <v>Oui</v>
      </c>
      <c r="AT716" s="904" t="str">
        <f t="shared" si="71"/>
        <v>G45400</v>
      </c>
      <c r="AU716" s="488" t="str">
        <f t="shared" si="72"/>
        <v>VTES-PLAN PROTECTION USAG</v>
      </c>
      <c r="AV716" s="899">
        <f>IFERROR(INDEX(V716:AG716,1,MATCH(Parametres!$B$3,V$1:AG$1,0)-1)*IF(OR(C716="L",C716="S",C716="I"),-1,1),"")</f>
        <v>48</v>
      </c>
      <c r="AW716" s="899">
        <f t="shared" si="73"/>
        <v>1</v>
      </c>
      <c r="AX716" s="899">
        <f>INDEX(V716:AG716,1,MATCH(Parametres!$B$3,V$1:AG$1,0))*IF(OR(C716="L",C716="S",C716="I"),-1,1)</f>
        <v>49</v>
      </c>
      <c r="AY716" s="487" t="s">
        <v>337</v>
      </c>
      <c r="AZ716" s="487" t="str">
        <f>+VLOOKUP($AJ716,Data_Validation!$A:$E,5,0)</f>
        <v>Oui</v>
      </c>
    </row>
    <row r="717" spans="1:52" ht="15" hidden="1" customHeight="1">
      <c r="A717" s="706" t="s">
        <v>1148</v>
      </c>
      <c r="B717" s="706">
        <v>2026</v>
      </c>
      <c r="C717" s="706" t="s">
        <v>3341</v>
      </c>
      <c r="D717" s="706" t="s">
        <v>3342</v>
      </c>
      <c r="E717" s="706" t="s">
        <v>333</v>
      </c>
      <c r="F717" s="706" t="s">
        <v>1149</v>
      </c>
      <c r="G717" s="706">
        <v>0</v>
      </c>
      <c r="H717" s="706">
        <v>0</v>
      </c>
      <c r="I717" s="706">
        <v>0</v>
      </c>
      <c r="J717" s="706">
        <v>0</v>
      </c>
      <c r="K717" s="706">
        <v>0</v>
      </c>
      <c r="L717" s="706">
        <v>0</v>
      </c>
      <c r="M717" s="706">
        <v>8535</v>
      </c>
      <c r="N717" s="706">
        <v>8535</v>
      </c>
      <c r="O717" s="706">
        <v>8535</v>
      </c>
      <c r="P717" s="706">
        <v>8535</v>
      </c>
      <c r="Q717" s="706">
        <v>0</v>
      </c>
      <c r="R717" s="706">
        <v>0</v>
      </c>
      <c r="S717" s="706">
        <v>948.33</v>
      </c>
      <c r="T717" s="706">
        <v>948.33</v>
      </c>
      <c r="U717" s="706">
        <v>0</v>
      </c>
      <c r="V717" s="706">
        <v>0</v>
      </c>
      <c r="W717" s="706">
        <v>0</v>
      </c>
      <c r="X717" s="706">
        <v>0</v>
      </c>
      <c r="Y717" s="706">
        <v>0</v>
      </c>
      <c r="Z717" s="706">
        <v>0</v>
      </c>
      <c r="AA717" s="706">
        <v>0</v>
      </c>
      <c r="AB717" s="706">
        <v>3</v>
      </c>
      <c r="AC717" s="706">
        <v>3</v>
      </c>
      <c r="AD717" s="706">
        <v>3</v>
      </c>
      <c r="AE717" s="706">
        <v>3</v>
      </c>
      <c r="AF717" s="706">
        <v>0</v>
      </c>
      <c r="AG717" s="706">
        <v>0</v>
      </c>
      <c r="AH717" s="706">
        <v>0</v>
      </c>
      <c r="AI717" s="706">
        <v>0</v>
      </c>
      <c r="AJ717" s="905" t="str">
        <f t="shared" si="68"/>
        <v>G45401</v>
      </c>
      <c r="AK717" s="905" t="str">
        <f t="shared" si="69"/>
        <v>VTES ANTIROUILLE USAGE</v>
      </c>
      <c r="AL717" s="905">
        <f>IFERROR(INDEX(G717:R717,1,MATCH(Parametres!$B$3,G$1:R$1,0)-1)*IF(OR(F717="L",F717="S",F717="I"),-1,1),"")</f>
        <v>-8535</v>
      </c>
      <c r="AM717" s="905">
        <f t="shared" si="70"/>
        <v>0</v>
      </c>
      <c r="AN717" s="905">
        <f>INDEX(G717:R717,1,MATCH(Parametres!$B$3,G$1:R$1,0))*IF(OR(F717="L",F717="S",F717="I"),-1,1)</f>
        <v>-8535</v>
      </c>
      <c r="AO717" s="487" t="str">
        <f>+VLOOKUP($AJ717,Data_Validation!$A:$D,1,0)</f>
        <v>G45401</v>
      </c>
      <c r="AP717" s="487" t="str">
        <f>+VLOOKUP($AJ717,Data_Validation!$A:$D,3,0)</f>
        <v>Véhicules usagés</v>
      </c>
      <c r="AQ717" s="487" t="str">
        <f>+VLOOKUP($AJ717,Data_Validation!$A:$D,4,0)</f>
        <v>Rev. Protections</v>
      </c>
      <c r="AR717" s="487" t="s">
        <v>299</v>
      </c>
      <c r="AS717" s="487" t="str">
        <f>+VLOOKUP($AJ717,Data_Validation!$A:$E,5,0)</f>
        <v>Oui</v>
      </c>
      <c r="AT717" s="904" t="str">
        <f t="shared" si="71"/>
        <v>G45401</v>
      </c>
      <c r="AU717" s="488" t="str">
        <f t="shared" si="72"/>
        <v>VTES ANTIROUILLE USAGE</v>
      </c>
      <c r="AV717" s="899">
        <f>IFERROR(INDEX(V717:AG717,1,MATCH(Parametres!$B$3,V$1:AG$1,0)-1)*IF(OR(C717="L",C717="S",C717="I"),-1,1),"")</f>
        <v>3</v>
      </c>
      <c r="AW717" s="899">
        <f t="shared" si="73"/>
        <v>0</v>
      </c>
      <c r="AX717" s="899">
        <f>INDEX(V717:AG717,1,MATCH(Parametres!$B$3,V$1:AG$1,0))*IF(OR(C717="L",C717="S",C717="I"),-1,1)</f>
        <v>3</v>
      </c>
      <c r="AY717" s="487" t="s">
        <v>337</v>
      </c>
      <c r="AZ717" s="487" t="str">
        <f>+VLOOKUP($AJ717,Data_Validation!$A:$E,5,0)</f>
        <v>Oui</v>
      </c>
    </row>
    <row r="718" spans="1:52" ht="15" hidden="1" customHeight="1">
      <c r="A718" s="706" t="s">
        <v>1148</v>
      </c>
      <c r="B718" s="706">
        <v>2026</v>
      </c>
      <c r="C718" s="706" t="s">
        <v>3343</v>
      </c>
      <c r="D718" s="706" t="s">
        <v>3344</v>
      </c>
      <c r="E718" s="706" t="s">
        <v>333</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G45403</v>
      </c>
      <c r="AK718" s="905" t="str">
        <f t="shared" si="69"/>
        <v>VTE VITRE-PEINT-TISS- US</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G45403</v>
      </c>
      <c r="AU718" s="488" t="str">
        <f t="shared" si="72"/>
        <v>VTE VITRE-PEINT-TISS- US</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hidden="1" customHeight="1">
      <c r="A719" s="706" t="s">
        <v>1148</v>
      </c>
      <c r="B719" s="706">
        <v>2026</v>
      </c>
      <c r="C719" s="706" t="s">
        <v>3345</v>
      </c>
      <c r="D719" s="706" t="s">
        <v>3346</v>
      </c>
      <c r="E719" s="706" t="s">
        <v>333</v>
      </c>
      <c r="F719" s="706" t="s">
        <v>1149</v>
      </c>
      <c r="G719" s="706">
        <v>0</v>
      </c>
      <c r="H719" s="706">
        <v>0</v>
      </c>
      <c r="I719" s="706">
        <v>0</v>
      </c>
      <c r="J719" s="706">
        <v>0</v>
      </c>
      <c r="K719" s="706">
        <v>0</v>
      </c>
      <c r="L719" s="706">
        <v>0</v>
      </c>
      <c r="M719" s="706">
        <v>998</v>
      </c>
      <c r="N719" s="706">
        <v>998</v>
      </c>
      <c r="O719" s="706">
        <v>998</v>
      </c>
      <c r="P719" s="706">
        <v>998</v>
      </c>
      <c r="Q719" s="706">
        <v>0</v>
      </c>
      <c r="R719" s="706">
        <v>0</v>
      </c>
      <c r="S719" s="706">
        <v>110.89</v>
      </c>
      <c r="T719" s="706">
        <v>110.89</v>
      </c>
      <c r="U719" s="706">
        <v>0</v>
      </c>
      <c r="V719" s="706">
        <v>0</v>
      </c>
      <c r="W719" s="706">
        <v>0</v>
      </c>
      <c r="X719" s="706">
        <v>0</v>
      </c>
      <c r="Y719" s="706">
        <v>0</v>
      </c>
      <c r="Z719" s="706">
        <v>0</v>
      </c>
      <c r="AA719" s="706">
        <v>0</v>
      </c>
      <c r="AB719" s="706">
        <v>2</v>
      </c>
      <c r="AC719" s="706">
        <v>2</v>
      </c>
      <c r="AD719" s="706">
        <v>2</v>
      </c>
      <c r="AE719" s="706">
        <v>2</v>
      </c>
      <c r="AF719" s="706">
        <v>0</v>
      </c>
      <c r="AG719" s="706">
        <v>0</v>
      </c>
      <c r="AH719" s="706">
        <v>0</v>
      </c>
      <c r="AI719" s="706">
        <v>0</v>
      </c>
      <c r="AJ719" s="905" t="str">
        <f t="shared" si="68"/>
        <v>G45405</v>
      </c>
      <c r="AK719" s="905" t="str">
        <f t="shared" si="69"/>
        <v>VTES ANTIVOL-TAG -OCC</v>
      </c>
      <c r="AL719" s="905">
        <f>IFERROR(INDEX(G719:R719,1,MATCH(Parametres!$B$3,G$1:R$1,0)-1)*IF(OR(F719="L",F719="S",F719="I"),-1,1),"")</f>
        <v>-998</v>
      </c>
      <c r="AM719" s="905">
        <f t="shared" si="70"/>
        <v>0</v>
      </c>
      <c r="AN719" s="905">
        <f>INDEX(G719:R719,1,MATCH(Parametres!$B$3,G$1:R$1,0))*IF(OR(F719="L",F719="S",F719="I"),-1,1)</f>
        <v>-998</v>
      </c>
      <c r="AO719" s="487" t="str">
        <f>+VLOOKUP($AJ719,Data_Validation!$A:$D,1,0)</f>
        <v>G45405</v>
      </c>
      <c r="AP719" s="487" t="str">
        <f>+VLOOKUP($AJ719,Data_Validation!$A:$D,3,0)</f>
        <v>Véhicules usagés</v>
      </c>
      <c r="AQ719" s="487" t="str">
        <f>+VLOOKUP($AJ719,Data_Validation!$A:$D,4,0)</f>
        <v>Rev. Protections</v>
      </c>
      <c r="AR719" s="487" t="s">
        <v>299</v>
      </c>
      <c r="AS719" s="487" t="str">
        <f>+VLOOKUP($AJ719,Data_Validation!$A:$E,5,0)</f>
        <v>Oui</v>
      </c>
      <c r="AT719" s="904" t="str">
        <f t="shared" si="71"/>
        <v>G45405</v>
      </c>
      <c r="AU719" s="488" t="str">
        <f t="shared" si="72"/>
        <v>VTES ANTIVOL-TAG -OCC</v>
      </c>
      <c r="AV719" s="899">
        <f>IFERROR(INDEX(V719:AG719,1,MATCH(Parametres!$B$3,V$1:AG$1,0)-1)*IF(OR(C719="L",C719="S",C719="I"),-1,1),"")</f>
        <v>2</v>
      </c>
      <c r="AW719" s="899">
        <f t="shared" si="73"/>
        <v>0</v>
      </c>
      <c r="AX719" s="899">
        <f>INDEX(V719:AG719,1,MATCH(Parametres!$B$3,V$1:AG$1,0))*IF(OR(C719="L",C719="S",C719="I"),-1,1)</f>
        <v>2</v>
      </c>
      <c r="AY719" s="487" t="s">
        <v>337</v>
      </c>
      <c r="AZ719" s="487" t="str">
        <f>+VLOOKUP($AJ719,Data_Validation!$A:$E,5,0)</f>
        <v>Oui</v>
      </c>
    </row>
    <row r="720" spans="1:52" ht="15" hidden="1" customHeight="1">
      <c r="A720" s="706" t="s">
        <v>1148</v>
      </c>
      <c r="B720" s="706">
        <v>2026</v>
      </c>
      <c r="C720" s="706" t="s">
        <v>3487</v>
      </c>
      <c r="D720" s="706" t="s">
        <v>3488</v>
      </c>
      <c r="E720" s="706" t="s">
        <v>333</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G45410</v>
      </c>
      <c r="AK720" s="905" t="str">
        <f t="shared" si="69"/>
        <v>VTE - PL PROTECT GM USAGE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G45410</v>
      </c>
      <c r="AU720" s="488" t="str">
        <f t="shared" si="72"/>
        <v>VTE - PL PROTECT GM USAGE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hidden="1" customHeight="1">
      <c r="A721" s="706" t="s">
        <v>1148</v>
      </c>
      <c r="B721" s="706">
        <v>2026</v>
      </c>
      <c r="C721" s="706" t="s">
        <v>3489</v>
      </c>
      <c r="D721" s="706" t="s">
        <v>3490</v>
      </c>
      <c r="E721" s="706" t="s">
        <v>333</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G45411</v>
      </c>
      <c r="AK721" s="905" t="str">
        <f t="shared" si="69"/>
        <v>VTE -PR PNEUS-JANTE USAGE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G45411</v>
      </c>
      <c r="AU721" s="488" t="str">
        <f t="shared" si="72"/>
        <v>VTE -PR PNEUS-JANTE USAGE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hidden="1" customHeight="1">
      <c r="A722" s="706" t="s">
        <v>1148</v>
      </c>
      <c r="B722" s="706">
        <v>2026</v>
      </c>
      <c r="C722" s="706" t="s">
        <v>3491</v>
      </c>
      <c r="D722" s="706" t="s">
        <v>3492</v>
      </c>
      <c r="E722" s="706" t="s">
        <v>333</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G45412</v>
      </c>
      <c r="AK722" s="905" t="str">
        <f t="shared" si="69"/>
        <v>VTE -PROT A L'ECART USAG</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G45412</v>
      </c>
      <c r="AU722" s="488" t="str">
        <f t="shared" si="72"/>
        <v>VTE -PROT A L'ECART USAG</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hidden="1" customHeight="1">
      <c r="A723" s="706" t="s">
        <v>1148</v>
      </c>
      <c r="B723" s="706">
        <v>2026</v>
      </c>
      <c r="C723" s="706" t="s">
        <v>3493</v>
      </c>
      <c r="D723" s="706" t="s">
        <v>3494</v>
      </c>
      <c r="E723" s="706" t="s">
        <v>333</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G45413</v>
      </c>
      <c r="AK723" s="905" t="str">
        <f t="shared" si="69"/>
        <v>VTE -MULTI PROTECT USAGE</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G45413</v>
      </c>
      <c r="AU723" s="488" t="str">
        <f t="shared" si="72"/>
        <v>VTE -MULTI PROTECT USAGE</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hidden="1" customHeight="1">
      <c r="A724" s="706" t="s">
        <v>1148</v>
      </c>
      <c r="B724" s="706">
        <v>2026</v>
      </c>
      <c r="C724" s="706" t="s">
        <v>3495</v>
      </c>
      <c r="D724" s="706" t="s">
        <v>3496</v>
      </c>
      <c r="E724" s="706" t="s">
        <v>333</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G45414</v>
      </c>
      <c r="AK724" s="905" t="str">
        <f t="shared" si="69"/>
        <v>VTE -PRT USURE USAGE</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G45414</v>
      </c>
      <c r="AU724" s="488" t="str">
        <f t="shared" si="72"/>
        <v>VTE -PRT USURE USAGE</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hidden="1" customHeight="1">
      <c r="A725" s="706" t="s">
        <v>1148</v>
      </c>
      <c r="B725" s="706">
        <v>2026</v>
      </c>
      <c r="C725" s="706" t="s">
        <v>2428</v>
      </c>
      <c r="D725" s="706" t="s">
        <v>2429</v>
      </c>
      <c r="E725" s="706" t="s">
        <v>1149</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G45500</v>
      </c>
      <c r="AK725" s="905" t="str">
        <f t="shared" si="69"/>
        <v>RETOUR DE LOCATION-VENTE</v>
      </c>
      <c r="AL725" s="905">
        <f>IFERROR(INDEX(G725:R725,1,MATCH(Parametres!$B$3,G$1:R$1,0)-1)*IF(OR(F725="L",F725="S",F725="I"),-1,1),"")</f>
        <v>0</v>
      </c>
      <c r="AM725" s="905">
        <f t="shared" si="70"/>
        <v>0</v>
      </c>
      <c r="AN725" s="905">
        <f>INDEX(G725:R725,1,MATCH(Parametres!$B$3,G$1:R$1,0))*IF(OR(F725="L",F725="S",F725="I"),-1,1)</f>
        <v>0</v>
      </c>
      <c r="AO725" s="487" t="str">
        <f>+VLOOKUP($AJ725,Data_Validation!$A:$D,1,0)</f>
        <v>G45500</v>
      </c>
      <c r="AP725" s="487" t="str">
        <f>+VLOOKUP($AJ725,Data_Validation!$A:$D,3,0)</f>
        <v>Véhicules usagés</v>
      </c>
      <c r="AQ725" s="487" t="str">
        <f>+VLOOKUP($AJ725,Data_Validation!$A:$D,4,0)</f>
        <v>Rev. Protections</v>
      </c>
      <c r="AR725" s="487" t="s">
        <v>299</v>
      </c>
      <c r="AS725" s="487" t="str">
        <f>+VLOOKUP($AJ725,Data_Validation!$A:$E,5,0)</f>
        <v>Oui</v>
      </c>
      <c r="AT725" s="904" t="str">
        <f t="shared" si="71"/>
        <v>G45500</v>
      </c>
      <c r="AU725" s="488" t="str">
        <f t="shared" si="72"/>
        <v>RETOUR DE LOCATION-VENTE</v>
      </c>
      <c r="AV725" s="899">
        <f>IFERROR(INDEX(V725:AG725,1,MATCH(Parametres!$B$3,V$1:AG$1,0)-1)*IF(OR(C725="L",C725="S",C725="I"),-1,1),"")</f>
        <v>0</v>
      </c>
      <c r="AW725" s="899">
        <f t="shared" si="73"/>
        <v>0</v>
      </c>
      <c r="AX725" s="899">
        <f>INDEX(V725:AG725,1,MATCH(Parametres!$B$3,V$1:AG$1,0))*IF(OR(C725="L",C725="S",C725="I"),-1,1)</f>
        <v>0</v>
      </c>
      <c r="AY725" s="487" t="s">
        <v>337</v>
      </c>
      <c r="AZ725" s="487" t="str">
        <f>+VLOOKUP($AJ725,Data_Validation!$A:$E,5,0)</f>
        <v>Oui</v>
      </c>
    </row>
    <row r="726" spans="1:52" ht="15" hidden="1" customHeight="1">
      <c r="A726" s="706" t="s">
        <v>1148</v>
      </c>
      <c r="B726" s="706">
        <v>2026</v>
      </c>
      <c r="C726" s="706" t="s">
        <v>3497</v>
      </c>
      <c r="D726" s="706" t="s">
        <v>3498</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G45510</v>
      </c>
      <c r="AK726" s="905" t="str">
        <f t="shared" si="69"/>
        <v>VTE -PRT SERV VEH USAGE</v>
      </c>
      <c r="AL726" s="905">
        <f>IFERROR(INDEX(G726:R726,1,MATCH(Parametres!$B$3,G$1:R$1,0)-1)*IF(OR(F726="L",F726="S",F726="I"),-1,1),"")</f>
        <v>0</v>
      </c>
      <c r="AM726" s="905">
        <f t="shared" si="70"/>
        <v>0</v>
      </c>
      <c r="AN726" s="905">
        <f>INDEX(G726:R726,1,MATCH(Parametres!$B$3,G$1:R$1,0))*IF(OR(F726="L",F726="S",F726="I"),-1,1)</f>
        <v>0</v>
      </c>
      <c r="AO726" s="487" t="e">
        <f>+VLOOKUP($AJ726,Data_Validation!$A:$D,1,0)</f>
        <v>#N/A</v>
      </c>
      <c r="AP726" s="487" t="e">
        <f>+VLOOKUP($AJ726,Data_Validation!$A:$D,3,0)</f>
        <v>#N/A</v>
      </c>
      <c r="AQ726" s="487" t="e">
        <f>+VLOOKUP($AJ726,Data_Validation!$A:$D,4,0)</f>
        <v>#N/A</v>
      </c>
      <c r="AR726" s="487" t="s">
        <v>299</v>
      </c>
      <c r="AS726" s="487" t="e">
        <f>+VLOOKUP($AJ726,Data_Validation!$A:$E,5,0)</f>
        <v>#N/A</v>
      </c>
      <c r="AT726" s="904" t="str">
        <f t="shared" si="71"/>
        <v>G45510</v>
      </c>
      <c r="AU726" s="488" t="str">
        <f t="shared" si="72"/>
        <v>VTE -PRT SERV VEH USAGE</v>
      </c>
      <c r="AV726" s="899">
        <f>IFERROR(INDEX(V726:AG726,1,MATCH(Parametres!$B$3,V$1:AG$1,0)-1)*IF(OR(C726="L",C726="S",C726="I"),-1,1),"")</f>
        <v>0</v>
      </c>
      <c r="AW726" s="899">
        <f t="shared" si="73"/>
        <v>0</v>
      </c>
      <c r="AX726" s="899">
        <f>INDEX(V726:AG726,1,MATCH(Parametres!$B$3,V$1:AG$1,0))*IF(OR(C726="L",C726="S",C726="I"),-1,1)</f>
        <v>0</v>
      </c>
      <c r="AY726" s="487" t="s">
        <v>337</v>
      </c>
      <c r="AZ726" s="487" t="e">
        <f>+VLOOKUP($AJ726,Data_Validation!$A:$E,5,0)</f>
        <v>#N/A</v>
      </c>
    </row>
    <row r="727" spans="1:52" ht="15" hidden="1" customHeight="1">
      <c r="A727" s="706" t="s">
        <v>1148</v>
      </c>
      <c r="B727" s="706">
        <v>2026</v>
      </c>
      <c r="C727" s="706" t="s">
        <v>3499</v>
      </c>
      <c r="D727" s="706" t="s">
        <v>3500</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G45511</v>
      </c>
      <c r="AK727" s="905" t="str">
        <f t="shared" si="69"/>
        <v>VTE -PRT PNEUS -JA USAGE</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G45511</v>
      </c>
      <c r="AU727" s="488" t="str">
        <f t="shared" si="72"/>
        <v>VTE -PRT PNEUS -JA USAGE</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hidden="1" customHeight="1">
      <c r="A728" s="706" t="s">
        <v>1148</v>
      </c>
      <c r="B728" s="706">
        <v>2026</v>
      </c>
      <c r="C728" s="706" t="s">
        <v>3501</v>
      </c>
      <c r="D728" s="706" t="s">
        <v>3502</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G45512</v>
      </c>
      <c r="AK728" s="905" t="str">
        <f t="shared" ref="AK728:AK791" si="75">D728</f>
        <v>VTE -PRT PERTE TOT USAGE</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G45512</v>
      </c>
      <c r="AU728" s="488" t="str">
        <f t="shared" ref="AU728:AU791" si="78">D728</f>
        <v>VTE -PRT PERTE TOT USAGE</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hidden="1" customHeight="1">
      <c r="A729" s="706" t="s">
        <v>1148</v>
      </c>
      <c r="B729" s="706">
        <v>2026</v>
      </c>
      <c r="C729" s="706" t="s">
        <v>3503</v>
      </c>
      <c r="D729" s="706" t="s">
        <v>3504</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G45513</v>
      </c>
      <c r="AK729" s="905" t="str">
        <f t="shared" si="75"/>
        <v>VTE -PRT REMPL CLE-USAGE</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G45513</v>
      </c>
      <c r="AU729" s="488" t="str">
        <f t="shared" si="78"/>
        <v>VTE -PRT REMPL CLE-USAGE</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hidden="1" customHeight="1">
      <c r="A730" s="706" t="s">
        <v>1148</v>
      </c>
      <c r="B730" s="706">
        <v>2026</v>
      </c>
      <c r="C730" s="706" t="s">
        <v>2430</v>
      </c>
      <c r="D730" s="706" t="s">
        <v>2431</v>
      </c>
      <c r="E730" s="706" t="s">
        <v>333</v>
      </c>
      <c r="F730" s="706" t="s">
        <v>1149</v>
      </c>
      <c r="G730" s="706">
        <v>2177</v>
      </c>
      <c r="H730" s="706">
        <v>2177</v>
      </c>
      <c r="I730" s="706">
        <v>3534</v>
      </c>
      <c r="J730" s="706">
        <v>3534</v>
      </c>
      <c r="K730" s="706">
        <v>3534</v>
      </c>
      <c r="L730" s="706">
        <v>3534</v>
      </c>
      <c r="M730" s="706">
        <v>3534</v>
      </c>
      <c r="N730" s="706">
        <v>11188</v>
      </c>
      <c r="O730" s="706">
        <v>11188</v>
      </c>
      <c r="P730" s="706">
        <v>11188</v>
      </c>
      <c r="Q730" s="706">
        <v>0</v>
      </c>
      <c r="R730" s="706">
        <v>0</v>
      </c>
      <c r="S730" s="706">
        <v>1243.1099999999999</v>
      </c>
      <c r="T730" s="706">
        <v>1243.1099999999999</v>
      </c>
      <c r="U730" s="706">
        <v>0</v>
      </c>
      <c r="V730" s="706">
        <v>1</v>
      </c>
      <c r="W730" s="706">
        <v>1</v>
      </c>
      <c r="X730" s="706">
        <v>2</v>
      </c>
      <c r="Y730" s="706">
        <v>2</v>
      </c>
      <c r="Z730" s="706">
        <v>2</v>
      </c>
      <c r="AA730" s="706">
        <v>2</v>
      </c>
      <c r="AB730" s="706">
        <v>2</v>
      </c>
      <c r="AC730" s="706">
        <v>4</v>
      </c>
      <c r="AD730" s="706">
        <v>4</v>
      </c>
      <c r="AE730" s="706">
        <v>4</v>
      </c>
      <c r="AF730" s="706">
        <v>0</v>
      </c>
      <c r="AG730" s="706">
        <v>0</v>
      </c>
      <c r="AH730" s="706">
        <v>0</v>
      </c>
      <c r="AI730" s="706">
        <v>0</v>
      </c>
      <c r="AJ730" s="905" t="str">
        <f t="shared" si="74"/>
        <v>G45600</v>
      </c>
      <c r="AK730" s="905" t="str">
        <f t="shared" si="75"/>
        <v>VALEUR REMPL. USAGES</v>
      </c>
      <c r="AL730" s="905">
        <f>IFERROR(INDEX(G730:R730,1,MATCH(Parametres!$B$3,G$1:R$1,0)-1)*IF(OR(F730="L",F730="S",F730="I"),-1,1),"")</f>
        <v>-11188</v>
      </c>
      <c r="AM730" s="905">
        <f t="shared" si="76"/>
        <v>0</v>
      </c>
      <c r="AN730" s="905">
        <f>INDEX(G730:R730,1,MATCH(Parametres!$B$3,G$1:R$1,0))*IF(OR(F730="L",F730="S",F730="I"),-1,1)</f>
        <v>-11188</v>
      </c>
      <c r="AO730" s="487" t="str">
        <f>+VLOOKUP($AJ730,Data_Validation!$A:$D,1,0)</f>
        <v>G45600</v>
      </c>
      <c r="AP730" s="487" t="str">
        <f>+VLOOKUP($AJ730,Data_Validation!$A:$D,3,0)</f>
        <v>Véhicules usagés</v>
      </c>
      <c r="AQ730" s="487" t="str">
        <f>+VLOOKUP($AJ730,Data_Validation!$A:$D,4,0)</f>
        <v>Rev. Protections</v>
      </c>
      <c r="AR730" s="487" t="s">
        <v>299</v>
      </c>
      <c r="AS730" s="487" t="str">
        <f>+VLOOKUP($AJ730,Data_Validation!$A:$E,5,0)</f>
        <v>Oui</v>
      </c>
      <c r="AT730" s="904" t="str">
        <f t="shared" si="77"/>
        <v>G45600</v>
      </c>
      <c r="AU730" s="488" t="str">
        <f t="shared" si="78"/>
        <v>VALEUR REMPL. USAGES</v>
      </c>
      <c r="AV730" s="899">
        <f>IFERROR(INDEX(V730:AG730,1,MATCH(Parametres!$B$3,V$1:AG$1,0)-1)*IF(OR(C730="L",C730="S",C730="I"),-1,1),"")</f>
        <v>4</v>
      </c>
      <c r="AW730" s="899">
        <f t="shared" si="79"/>
        <v>0</v>
      </c>
      <c r="AX730" s="899">
        <f>INDEX(V730:AG730,1,MATCH(Parametres!$B$3,V$1:AG$1,0))*IF(OR(C730="L",C730="S",C730="I"),-1,1)</f>
        <v>4</v>
      </c>
      <c r="AY730" s="487" t="s">
        <v>337</v>
      </c>
      <c r="AZ730" s="487" t="str">
        <f>+VLOOKUP($AJ730,Data_Validation!$A:$E,5,0)</f>
        <v>Oui</v>
      </c>
    </row>
    <row r="731" spans="1:52" ht="15" hidden="1" customHeight="1">
      <c r="A731" s="706" t="s">
        <v>1148</v>
      </c>
      <c r="B731" s="706">
        <v>2026</v>
      </c>
      <c r="C731" s="706" t="s">
        <v>2432</v>
      </c>
      <c r="D731" s="706" t="s">
        <v>2433</v>
      </c>
      <c r="E731" s="706" t="s">
        <v>1149</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G45601</v>
      </c>
      <c r="AK731" s="905" t="str">
        <f t="shared" si="75"/>
        <v>REV VEHICULES U.S.A</v>
      </c>
      <c r="AL731" s="905">
        <f>IFERROR(INDEX(G731:R731,1,MATCH(Parametres!$B$3,G$1:R$1,0)-1)*IF(OR(F731="L",F731="S",F731="I"),-1,1),"")</f>
        <v>0</v>
      </c>
      <c r="AM731" s="905">
        <f t="shared" si="76"/>
        <v>0</v>
      </c>
      <c r="AN731" s="905">
        <f>INDEX(G731:R731,1,MATCH(Parametres!$B$3,G$1:R$1,0))*IF(OR(F731="L",F731="S",F731="I"),-1,1)</f>
        <v>0</v>
      </c>
      <c r="AO731" s="487" t="str">
        <f>+VLOOKUP($AJ731,Data_Validation!$A:$D,1,0)</f>
        <v>G45601</v>
      </c>
      <c r="AP731" s="487" t="str">
        <f>+VLOOKUP($AJ731,Data_Validation!$A:$D,3,0)</f>
        <v>Wholesale autres</v>
      </c>
      <c r="AQ731" s="487" t="str">
        <f>+VLOOKUP($AJ731,Data_Validation!$A:$D,4,0)</f>
        <v>Wholesale USA</v>
      </c>
      <c r="AR731" s="487" t="s">
        <v>299</v>
      </c>
      <c r="AS731" s="487" t="str">
        <f>+VLOOKUP($AJ731,Data_Validation!$A:$E,5,0)</f>
        <v>Oui</v>
      </c>
      <c r="AT731" s="904" t="str">
        <f t="shared" si="77"/>
        <v>G45601</v>
      </c>
      <c r="AU731" s="488" t="str">
        <f t="shared" si="78"/>
        <v>REV VEHICULES U.S.A</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hidden="1" customHeight="1">
      <c r="A732" s="706" t="s">
        <v>1148</v>
      </c>
      <c r="B732" s="706">
        <v>2026</v>
      </c>
      <c r="C732" s="706" t="s">
        <v>2434</v>
      </c>
      <c r="D732" s="706" t="s">
        <v>2435</v>
      </c>
      <c r="E732" s="706" t="s">
        <v>333</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G45602</v>
      </c>
      <c r="AK732" s="905" t="str">
        <f t="shared" si="75"/>
        <v>VENTE USA -AJUSTMENT</v>
      </c>
      <c r="AL732" s="905">
        <f>IFERROR(INDEX(G732:R732,1,MATCH(Parametres!$B$3,G$1:R$1,0)-1)*IF(OR(F732="L",F732="S",F732="I"),-1,1),"")</f>
        <v>0</v>
      </c>
      <c r="AM732" s="905">
        <f t="shared" si="76"/>
        <v>0</v>
      </c>
      <c r="AN732" s="905">
        <f>INDEX(G732:R732,1,MATCH(Parametres!$B$3,G$1:R$1,0))*IF(OR(F732="L",F732="S",F732="I"),-1,1)</f>
        <v>0</v>
      </c>
      <c r="AO732" s="487" t="str">
        <f>+VLOOKUP($AJ732,Data_Validation!$A:$D,1,0)</f>
        <v>G45602</v>
      </c>
      <c r="AP732" s="487" t="str">
        <f>+VLOOKUP($AJ732,Data_Validation!$A:$D,3,0)</f>
        <v>Wholesale autres</v>
      </c>
      <c r="AQ732" s="487" t="str">
        <f>+VLOOKUP($AJ732,Data_Validation!$A:$D,4,0)</f>
        <v>Wholesale USA</v>
      </c>
      <c r="AR732" s="487" t="s">
        <v>299</v>
      </c>
      <c r="AS732" s="487" t="str">
        <f>+VLOOKUP($AJ732,Data_Validation!$A:$E,5,0)</f>
        <v>Oui</v>
      </c>
      <c r="AT732" s="904" t="str">
        <f t="shared" si="77"/>
        <v>G45602</v>
      </c>
      <c r="AU732" s="488" t="str">
        <f t="shared" si="78"/>
        <v>VENTE USA -AJUSTMENT</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2436</v>
      </c>
      <c r="D733" s="706" t="s">
        <v>3347</v>
      </c>
      <c r="E733" s="706" t="s">
        <v>1149</v>
      </c>
      <c r="F733" s="706" t="s">
        <v>1149</v>
      </c>
      <c r="G733" s="706">
        <v>1865674.77</v>
      </c>
      <c r="H733" s="706">
        <v>3739642.83</v>
      </c>
      <c r="I733" s="706">
        <v>7577610.2699999996</v>
      </c>
      <c r="J733" s="706">
        <v>11976681.210000001</v>
      </c>
      <c r="K733" s="706">
        <v>15277728.66</v>
      </c>
      <c r="L733" s="706">
        <v>18289428.579999998</v>
      </c>
      <c r="M733" s="706">
        <v>20328923.420000002</v>
      </c>
      <c r="N733" s="706">
        <v>23873537.109999999</v>
      </c>
      <c r="O733" s="706">
        <v>24435979.539999999</v>
      </c>
      <c r="P733" s="706">
        <v>24435979.539999999</v>
      </c>
      <c r="Q733" s="706">
        <v>0</v>
      </c>
      <c r="R733" s="706">
        <v>0</v>
      </c>
      <c r="S733" s="706">
        <v>2715108.84</v>
      </c>
      <c r="T733" s="706">
        <v>2715108.84</v>
      </c>
      <c r="U733" s="706">
        <v>0</v>
      </c>
      <c r="V733" s="706">
        <v>40</v>
      </c>
      <c r="W733" s="706">
        <v>82</v>
      </c>
      <c r="X733" s="706">
        <v>165</v>
      </c>
      <c r="Y733" s="706">
        <v>257</v>
      </c>
      <c r="Z733" s="706">
        <v>334</v>
      </c>
      <c r="AA733" s="706">
        <v>396</v>
      </c>
      <c r="AB733" s="706">
        <v>441</v>
      </c>
      <c r="AC733" s="706">
        <v>518</v>
      </c>
      <c r="AD733" s="706">
        <v>530</v>
      </c>
      <c r="AE733" s="706">
        <v>530</v>
      </c>
      <c r="AF733" s="706">
        <v>0</v>
      </c>
      <c r="AG733" s="706">
        <v>0</v>
      </c>
      <c r="AH733" s="706">
        <v>59</v>
      </c>
      <c r="AI733" s="706">
        <v>59</v>
      </c>
      <c r="AJ733" s="905" t="str">
        <f t="shared" si="74"/>
        <v>G45603</v>
      </c>
      <c r="AK733" s="905" t="str">
        <f t="shared" si="75"/>
        <v>VENTES USA</v>
      </c>
      <c r="AL733" s="905">
        <f>IFERROR(INDEX(G733:R733,1,MATCH(Parametres!$B$3,G$1:R$1,0)-1)*IF(OR(F733="L",F733="S",F733="I"),-1,1),"")</f>
        <v>-23873537.109999999</v>
      </c>
      <c r="AM733" s="905">
        <f t="shared" si="76"/>
        <v>-562442.4299999997</v>
      </c>
      <c r="AN733" s="905">
        <f>INDEX(G733:R733,1,MATCH(Parametres!$B$3,G$1:R$1,0))*IF(OR(F733="L",F733="S",F733="I"),-1,1)</f>
        <v>-24435979.539999999</v>
      </c>
      <c r="AO733" s="487" t="str">
        <f>+VLOOKUP($AJ733,Data_Validation!$A:$D,1,0)</f>
        <v>G45603</v>
      </c>
      <c r="AP733" s="487" t="str">
        <f>+VLOOKUP($AJ733,Data_Validation!$A:$D,3,0)</f>
        <v>Wholesale autres</v>
      </c>
      <c r="AQ733" s="487" t="str">
        <f>+VLOOKUP($AJ733,Data_Validation!$A:$D,4,0)</f>
        <v>Wholesale USA</v>
      </c>
      <c r="AR733" s="487" t="s">
        <v>299</v>
      </c>
      <c r="AS733" s="487" t="str">
        <f>+VLOOKUP($AJ733,Data_Validation!$A:$E,5,0)</f>
        <v>Oui</v>
      </c>
      <c r="AT733" s="904" t="str">
        <f t="shared" si="77"/>
        <v>G45603</v>
      </c>
      <c r="AU733" s="488" t="str">
        <f t="shared" si="78"/>
        <v>VENTES USA</v>
      </c>
      <c r="AV733" s="899">
        <f>IFERROR(INDEX(V733:AG733,1,MATCH(Parametres!$B$3,V$1:AG$1,0)-1)*IF(OR(C733="L",C733="S",C733="I"),-1,1),"")</f>
        <v>518</v>
      </c>
      <c r="AW733" s="899">
        <f t="shared" si="79"/>
        <v>12</v>
      </c>
      <c r="AX733" s="899">
        <f>INDEX(V733:AG733,1,MATCH(Parametres!$B$3,V$1:AG$1,0))*IF(OR(C733="L",C733="S",C733="I"),-1,1)</f>
        <v>530</v>
      </c>
      <c r="AY733" s="487" t="s">
        <v>337</v>
      </c>
      <c r="AZ733" s="487" t="str">
        <f>+VLOOKUP($AJ733,Data_Validation!$A:$E,5,0)</f>
        <v>Oui</v>
      </c>
    </row>
    <row r="734" spans="1:52" ht="15" hidden="1" customHeight="1">
      <c r="A734" s="706" t="s">
        <v>1148</v>
      </c>
      <c r="B734" s="706">
        <v>2026</v>
      </c>
      <c r="C734" s="706" t="s">
        <v>2438</v>
      </c>
      <c r="D734" s="706" t="s">
        <v>2439</v>
      </c>
      <c r="E734" s="706" t="s">
        <v>1149</v>
      </c>
      <c r="F734" s="706" t="s">
        <v>1149</v>
      </c>
      <c r="G734" s="706">
        <v>0</v>
      </c>
      <c r="H734" s="706">
        <v>0</v>
      </c>
      <c r="I734" s="706">
        <v>0</v>
      </c>
      <c r="J734" s="706">
        <v>0</v>
      </c>
      <c r="K734" s="706">
        <v>3688515.75</v>
      </c>
      <c r="L734" s="706">
        <v>5629910.8300000001</v>
      </c>
      <c r="M734" s="706">
        <v>7128148.5800000001</v>
      </c>
      <c r="N734" s="706">
        <v>8932635.0700000003</v>
      </c>
      <c r="O734" s="706">
        <v>10295803.07</v>
      </c>
      <c r="P734" s="706">
        <v>10360303.07</v>
      </c>
      <c r="Q734" s="706">
        <v>0</v>
      </c>
      <c r="R734" s="706">
        <v>0</v>
      </c>
      <c r="S734" s="706">
        <v>1143978.1200000001</v>
      </c>
      <c r="T734" s="706">
        <v>1143978.1200000001</v>
      </c>
      <c r="U734" s="706">
        <v>0</v>
      </c>
      <c r="V734" s="706">
        <v>0</v>
      </c>
      <c r="W734" s="706">
        <v>0</v>
      </c>
      <c r="X734" s="706">
        <v>0</v>
      </c>
      <c r="Y734" s="706">
        <v>0</v>
      </c>
      <c r="Z734" s="706">
        <v>66</v>
      </c>
      <c r="AA734" s="706">
        <v>102</v>
      </c>
      <c r="AB734" s="706">
        <v>127</v>
      </c>
      <c r="AC734" s="706">
        <v>158</v>
      </c>
      <c r="AD734" s="706">
        <v>180</v>
      </c>
      <c r="AE734" s="706">
        <v>181</v>
      </c>
      <c r="AF734" s="706">
        <v>0</v>
      </c>
      <c r="AG734" s="706">
        <v>0</v>
      </c>
      <c r="AH734" s="706">
        <v>20</v>
      </c>
      <c r="AI734" s="706">
        <v>20</v>
      </c>
      <c r="AJ734" s="905" t="str">
        <f t="shared" si="74"/>
        <v>G456031</v>
      </c>
      <c r="AK734" s="905" t="str">
        <f t="shared" si="75"/>
        <v>VENTES INTERCO USA</v>
      </c>
      <c r="AL734" s="905">
        <f>IFERROR(INDEX(G734:R734,1,MATCH(Parametres!$B$3,G$1:R$1,0)-1)*IF(OR(F734="L",F734="S",F734="I"),-1,1),"")</f>
        <v>-8932635.0700000003</v>
      </c>
      <c r="AM734" s="905">
        <f t="shared" si="76"/>
        <v>-1363168</v>
      </c>
      <c r="AN734" s="905">
        <f>INDEX(G734:R734,1,MATCH(Parametres!$B$3,G$1:R$1,0))*IF(OR(F734="L",F734="S",F734="I"),-1,1)</f>
        <v>-10295803.07</v>
      </c>
      <c r="AO734" s="487" t="str">
        <f>+VLOOKUP($AJ734,Data_Validation!$A:$D,1,0)</f>
        <v>G456031</v>
      </c>
      <c r="AP734" s="487">
        <f>+VLOOKUP($AJ734,Data_Validation!$A:$D,3,0)</f>
        <v>0</v>
      </c>
      <c r="AQ734" s="487">
        <f>+VLOOKUP($AJ734,Data_Validation!$A:$D,4,0)</f>
        <v>0</v>
      </c>
      <c r="AR734" s="487" t="s">
        <v>299</v>
      </c>
      <c r="AS734" s="487">
        <f>+VLOOKUP($AJ734,Data_Validation!$A:$E,5,0)</f>
        <v>0</v>
      </c>
      <c r="AT734" s="904" t="str">
        <f t="shared" si="77"/>
        <v>G456031</v>
      </c>
      <c r="AU734" s="488" t="str">
        <f t="shared" si="78"/>
        <v>VENTES INTERCO USA</v>
      </c>
      <c r="AV734" s="899">
        <f>IFERROR(INDEX(V734:AG734,1,MATCH(Parametres!$B$3,V$1:AG$1,0)-1)*IF(OR(C734="L",C734="S",C734="I"),-1,1),"")</f>
        <v>158</v>
      </c>
      <c r="AW734" s="899">
        <f t="shared" si="79"/>
        <v>22</v>
      </c>
      <c r="AX734" s="899">
        <f>INDEX(V734:AG734,1,MATCH(Parametres!$B$3,V$1:AG$1,0))*IF(OR(C734="L",C734="S",C734="I"),-1,1)</f>
        <v>180</v>
      </c>
      <c r="AY734" s="487" t="s">
        <v>337</v>
      </c>
      <c r="AZ734" s="487">
        <f>+VLOOKUP($AJ734,Data_Validation!$A:$E,5,0)</f>
        <v>0</v>
      </c>
    </row>
    <row r="735" spans="1:52" ht="15" customHeight="1">
      <c r="A735" s="706" t="s">
        <v>1148</v>
      </c>
      <c r="B735" s="706">
        <v>2026</v>
      </c>
      <c r="C735" s="706" t="s">
        <v>2440</v>
      </c>
      <c r="D735" s="706" t="s">
        <v>2441</v>
      </c>
      <c r="E735" s="706" t="s">
        <v>1149</v>
      </c>
      <c r="F735" s="706" t="s">
        <v>1149</v>
      </c>
      <c r="G735" s="706">
        <v>0</v>
      </c>
      <c r="H735" s="706">
        <v>0</v>
      </c>
      <c r="I735" s="706">
        <v>0</v>
      </c>
      <c r="J735" s="706">
        <v>0</v>
      </c>
      <c r="K735" s="706">
        <v>7860774.2599999998</v>
      </c>
      <c r="L735" s="706">
        <v>8498277.2599999998</v>
      </c>
      <c r="M735" s="706">
        <v>9319339.2599999998</v>
      </c>
      <c r="N735" s="706">
        <v>10241533.26</v>
      </c>
      <c r="O735" s="706">
        <v>10805765.26</v>
      </c>
      <c r="P735" s="706">
        <v>10862286.26</v>
      </c>
      <c r="Q735" s="706">
        <v>0</v>
      </c>
      <c r="R735" s="706">
        <v>0</v>
      </c>
      <c r="S735" s="706">
        <v>1200640.58</v>
      </c>
      <c r="T735" s="706">
        <v>1200640.58</v>
      </c>
      <c r="U735" s="706">
        <v>0</v>
      </c>
      <c r="V735" s="706">
        <v>0</v>
      </c>
      <c r="W735" s="706">
        <v>0</v>
      </c>
      <c r="X735" s="706">
        <v>0</v>
      </c>
      <c r="Y735" s="706">
        <v>0</v>
      </c>
      <c r="Z735" s="706">
        <v>246</v>
      </c>
      <c r="AA735" s="706">
        <v>262</v>
      </c>
      <c r="AB735" s="706">
        <v>283</v>
      </c>
      <c r="AC735" s="706">
        <v>310</v>
      </c>
      <c r="AD735" s="706">
        <v>328</v>
      </c>
      <c r="AE735" s="706">
        <v>329</v>
      </c>
      <c r="AF735" s="706">
        <v>0</v>
      </c>
      <c r="AG735" s="706">
        <v>0</v>
      </c>
      <c r="AH735" s="706">
        <v>36</v>
      </c>
      <c r="AI735" s="706">
        <v>36</v>
      </c>
      <c r="AJ735" s="905" t="str">
        <f t="shared" si="74"/>
        <v>G45605</v>
      </c>
      <c r="AK735" s="905" t="str">
        <f t="shared" si="75"/>
        <v>VENTE WHL CANADA</v>
      </c>
      <c r="AL735" s="905">
        <f>IFERROR(INDEX(G735:R735,1,MATCH(Parametres!$B$3,G$1:R$1,0)-1)*IF(OR(F735="L",F735="S",F735="I"),-1,1),"")</f>
        <v>-10241533.26</v>
      </c>
      <c r="AM735" s="905">
        <f t="shared" si="76"/>
        <v>-564232</v>
      </c>
      <c r="AN735" s="905">
        <f>INDEX(G735:R735,1,MATCH(Parametres!$B$3,G$1:R$1,0))*IF(OR(F735="L",F735="S",F735="I"),-1,1)</f>
        <v>-10805765.26</v>
      </c>
      <c r="AO735" s="487" t="str">
        <f>+VLOOKUP($AJ735,Data_Validation!$A:$D,1,0)</f>
        <v>G45605</v>
      </c>
      <c r="AP735" s="487" t="str">
        <f>+VLOOKUP($AJ735,Data_Validation!$A:$D,3,0)</f>
        <v>Wholesale autres</v>
      </c>
      <c r="AQ735" s="487" t="str">
        <f>+VLOOKUP($AJ735,Data_Validation!$A:$D,4,0)</f>
        <v>Wholesale Canada</v>
      </c>
      <c r="AR735" s="487" t="s">
        <v>299</v>
      </c>
      <c r="AS735" s="487" t="str">
        <f>+VLOOKUP($AJ735,Data_Validation!$A:$E,5,0)</f>
        <v>Oui</v>
      </c>
      <c r="AT735" s="904" t="str">
        <f t="shared" si="77"/>
        <v>G45605</v>
      </c>
      <c r="AU735" s="488" t="str">
        <f t="shared" si="78"/>
        <v>VENTE WHL CANADA</v>
      </c>
      <c r="AV735" s="899">
        <f>IFERROR(INDEX(V735:AG735,1,MATCH(Parametres!$B$3,V$1:AG$1,0)-1)*IF(OR(C735="L",C735="S",C735="I"),-1,1),"")</f>
        <v>310</v>
      </c>
      <c r="AW735" s="899">
        <f t="shared" si="79"/>
        <v>18</v>
      </c>
      <c r="AX735" s="899">
        <f>INDEX(V735:AG735,1,MATCH(Parametres!$B$3,V$1:AG$1,0))*IF(OR(C735="L",C735="S",C735="I"),-1,1)</f>
        <v>328</v>
      </c>
      <c r="AY735" s="487" t="s">
        <v>337</v>
      </c>
      <c r="AZ735" s="487" t="str">
        <f>+VLOOKUP($AJ735,Data_Validation!$A:$E,5,0)</f>
        <v>Oui</v>
      </c>
    </row>
    <row r="736" spans="1:52" ht="15" hidden="1" customHeight="1">
      <c r="A736" s="706" t="s">
        <v>1148</v>
      </c>
      <c r="B736" s="706">
        <v>2026</v>
      </c>
      <c r="C736" s="706" t="s">
        <v>2442</v>
      </c>
      <c r="D736" s="706" t="s">
        <v>2443</v>
      </c>
      <c r="E736" s="706" t="s">
        <v>1151</v>
      </c>
      <c r="F736" s="706" t="s">
        <v>1149</v>
      </c>
      <c r="G736" s="706">
        <v>57649.56</v>
      </c>
      <c r="H736" s="706">
        <v>133321.16</v>
      </c>
      <c r="I736" s="706">
        <v>208755.74</v>
      </c>
      <c r="J736" s="706">
        <v>280763.65000000002</v>
      </c>
      <c r="K736" s="706">
        <v>315937.68</v>
      </c>
      <c r="L736" s="706">
        <v>370066.6</v>
      </c>
      <c r="M736" s="706">
        <v>423889.12</v>
      </c>
      <c r="N736" s="706">
        <v>466345.67</v>
      </c>
      <c r="O736" s="706">
        <v>520227.15</v>
      </c>
      <c r="P736" s="706">
        <v>530558.43999999994</v>
      </c>
      <c r="Q736" s="706">
        <v>0</v>
      </c>
      <c r="R736" s="706">
        <v>0</v>
      </c>
      <c r="S736" s="706">
        <v>57803.02</v>
      </c>
      <c r="T736" s="706">
        <v>57803.02</v>
      </c>
      <c r="U736" s="706">
        <v>0</v>
      </c>
      <c r="V736" s="706">
        <v>157</v>
      </c>
      <c r="W736" s="706">
        <v>314</v>
      </c>
      <c r="X736" s="706">
        <v>529</v>
      </c>
      <c r="Y736" s="706">
        <v>844</v>
      </c>
      <c r="Z736" s="706">
        <v>1056</v>
      </c>
      <c r="AA736" s="706">
        <v>1280</v>
      </c>
      <c r="AB736" s="706">
        <v>1503</v>
      </c>
      <c r="AC736" s="706">
        <v>1699</v>
      </c>
      <c r="AD736" s="706">
        <v>1909</v>
      </c>
      <c r="AE736" s="706">
        <v>1935</v>
      </c>
      <c r="AF736" s="706">
        <v>0</v>
      </c>
      <c r="AG736" s="706">
        <v>0</v>
      </c>
      <c r="AH736" s="706">
        <v>212</v>
      </c>
      <c r="AI736" s="706">
        <v>212</v>
      </c>
      <c r="AJ736" s="905" t="str">
        <f t="shared" si="74"/>
        <v>G46010</v>
      </c>
      <c r="AK736" s="905" t="str">
        <f t="shared" si="75"/>
        <v>M-D'O CLIENT VOIT-CAM.LEG</v>
      </c>
      <c r="AL736" s="905">
        <f>IFERROR(INDEX(G736:R736,1,MATCH(Parametres!$B$3,G$1:R$1,0)-1)*IF(OR(F736="L",F736="S",F736="I"),-1,1),"")</f>
        <v>-466345.67</v>
      </c>
      <c r="AM736" s="905">
        <f t="shared" si="76"/>
        <v>-53881.48000000004</v>
      </c>
      <c r="AN736" s="905">
        <f>INDEX(G736:R736,1,MATCH(Parametres!$B$3,G$1:R$1,0))*IF(OR(F736="L",F736="S",F736="I"),-1,1)</f>
        <v>-520227.15</v>
      </c>
      <c r="AO736" s="487" t="str">
        <f>+VLOOKUP($AJ736,Data_Validation!$A:$D,1,0)</f>
        <v>G46010</v>
      </c>
      <c r="AP736" s="487" t="str">
        <f>+VLOOKUP($AJ736,Data_Validation!$A:$D,3,0)</f>
        <v>Service</v>
      </c>
      <c r="AQ736" s="487" t="str">
        <f>+VLOOKUP($AJ736,Data_Validation!$A:$D,4,0)</f>
        <v>M/O Client</v>
      </c>
      <c r="AR736" s="487" t="s">
        <v>299</v>
      </c>
      <c r="AS736" s="487" t="str">
        <f>+VLOOKUP($AJ736,Data_Validation!$A:$E,5,0)</f>
        <v>Oui</v>
      </c>
      <c r="AT736" s="904" t="str">
        <f t="shared" si="77"/>
        <v>G46010</v>
      </c>
      <c r="AU736" s="488" t="str">
        <f t="shared" si="78"/>
        <v>M-D'O CLIENT VOIT-CAM.LEG</v>
      </c>
      <c r="AV736" s="899">
        <f>IFERROR(INDEX(V736:AG736,1,MATCH(Parametres!$B$3,V$1:AG$1,0)-1)*IF(OR(C736="L",C736="S",C736="I"),-1,1),"")</f>
        <v>1699</v>
      </c>
      <c r="AW736" s="899">
        <f t="shared" si="79"/>
        <v>210</v>
      </c>
      <c r="AX736" s="899">
        <f>INDEX(V736:AG736,1,MATCH(Parametres!$B$3,V$1:AG$1,0))*IF(OR(C736="L",C736="S",C736="I"),-1,1)</f>
        <v>1909</v>
      </c>
      <c r="AY736" s="487" t="s">
        <v>337</v>
      </c>
      <c r="AZ736" s="487" t="str">
        <f>+VLOOKUP($AJ736,Data_Validation!$A:$E,5,0)</f>
        <v>Oui</v>
      </c>
    </row>
    <row r="737" spans="1:52" ht="15" hidden="1" customHeight="1">
      <c r="A737" s="706" t="s">
        <v>1148</v>
      </c>
      <c r="B737" s="706">
        <v>2026</v>
      </c>
      <c r="C737" s="706" t="s">
        <v>3348</v>
      </c>
      <c r="D737" s="706" t="s">
        <v>3349</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905" t="str">
        <f t="shared" si="74"/>
        <v>G46015</v>
      </c>
      <c r="AK737" s="905" t="str">
        <f t="shared" si="75"/>
        <v>VTE ESTHETIQUE CLIENT</v>
      </c>
      <c r="AL737" s="905">
        <f>IFERROR(INDEX(G737:R737,1,MATCH(Parametres!$B$3,G$1:R$1,0)-1)*IF(OR(F737="L",F737="S",F737="I"),-1,1),"")</f>
        <v>0</v>
      </c>
      <c r="AM737" s="905">
        <f t="shared" si="76"/>
        <v>0</v>
      </c>
      <c r="AN737" s="905">
        <f>INDEX(G737:R737,1,MATCH(Parametres!$B$3,G$1:R$1,0))*IF(OR(F737="L",F737="S",F737="I"),-1,1)</f>
        <v>0</v>
      </c>
      <c r="AO737" s="487" t="e">
        <f>+VLOOKUP($AJ737,Data_Validation!$A:$D,1,0)</f>
        <v>#N/A</v>
      </c>
      <c r="AP737" s="487" t="e">
        <f>+VLOOKUP($AJ737,Data_Validation!$A:$D,3,0)</f>
        <v>#N/A</v>
      </c>
      <c r="AQ737" s="487" t="e">
        <f>+VLOOKUP($AJ737,Data_Validation!$A:$D,4,0)</f>
        <v>#N/A</v>
      </c>
      <c r="AR737" s="487" t="s">
        <v>299</v>
      </c>
      <c r="AS737" s="487" t="e">
        <f>+VLOOKUP($AJ737,Data_Validation!$A:$E,5,0)</f>
        <v>#N/A</v>
      </c>
      <c r="AT737" s="904" t="str">
        <f t="shared" si="77"/>
        <v>G46015</v>
      </c>
      <c r="AU737" s="488" t="str">
        <f t="shared" si="78"/>
        <v>VTE ESTHETIQUE CLIENT</v>
      </c>
      <c r="AV737" s="899">
        <f>IFERROR(INDEX(V737:AG737,1,MATCH(Parametres!$B$3,V$1:AG$1,0)-1)*IF(OR(C737="L",C737="S",C737="I"),-1,1),"")</f>
        <v>0</v>
      </c>
      <c r="AW737" s="899">
        <f t="shared" si="79"/>
        <v>0</v>
      </c>
      <c r="AX737" s="899">
        <f>INDEX(V737:AG737,1,MATCH(Parametres!$B$3,V$1:AG$1,0))*IF(OR(C737="L",C737="S",C737="I"),-1,1)</f>
        <v>0</v>
      </c>
      <c r="AY737" s="487" t="s">
        <v>337</v>
      </c>
      <c r="AZ737" s="487" t="e">
        <f>+VLOOKUP($AJ737,Data_Validation!$A:$E,5,0)</f>
        <v>#N/A</v>
      </c>
    </row>
    <row r="738" spans="1:52" ht="15" hidden="1" customHeight="1">
      <c r="A738" s="706" t="s">
        <v>1148</v>
      </c>
      <c r="B738" s="706">
        <v>2026</v>
      </c>
      <c r="C738" s="706" t="s">
        <v>2444</v>
      </c>
      <c r="D738" s="706" t="s">
        <v>2445</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1</v>
      </c>
      <c r="AA738" s="706">
        <v>1</v>
      </c>
      <c r="AB738" s="706">
        <v>1</v>
      </c>
      <c r="AC738" s="706">
        <v>1</v>
      </c>
      <c r="AD738" s="706">
        <v>1</v>
      </c>
      <c r="AE738" s="706">
        <v>1</v>
      </c>
      <c r="AF738" s="706">
        <v>0</v>
      </c>
      <c r="AG738" s="706">
        <v>0</v>
      </c>
      <c r="AH738" s="706">
        <v>0</v>
      </c>
      <c r="AI738" s="706">
        <v>0</v>
      </c>
      <c r="AJ738" s="905" t="str">
        <f t="shared" si="74"/>
        <v>G46020</v>
      </c>
      <c r="AK738" s="905" t="str">
        <f t="shared" si="75"/>
        <v>CONT.SER-VOIT &amp; CAM.LEGER</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G46020</v>
      </c>
      <c r="AU738" s="488" t="str">
        <f t="shared" si="78"/>
        <v>CONT.SER-VOIT &amp; CAM.LEGER</v>
      </c>
      <c r="AV738" s="899">
        <f>IFERROR(INDEX(V738:AG738,1,MATCH(Parametres!$B$3,V$1:AG$1,0)-1)*IF(OR(C738="L",C738="S",C738="I"),-1,1),"")</f>
        <v>1</v>
      </c>
      <c r="AW738" s="899">
        <f t="shared" si="79"/>
        <v>0</v>
      </c>
      <c r="AX738" s="899">
        <f>INDEX(V738:AG738,1,MATCH(Parametres!$B$3,V$1:AG$1,0))*IF(OR(C738="L",C738="S",C738="I"),-1,1)</f>
        <v>1</v>
      </c>
      <c r="AY738" s="487" t="s">
        <v>337</v>
      </c>
      <c r="AZ738" s="487" t="e">
        <f>+VLOOKUP($AJ738,Data_Validation!$A:$E,5,0)</f>
        <v>#N/A</v>
      </c>
    </row>
    <row r="739" spans="1:52" ht="15" hidden="1" customHeight="1">
      <c r="A739" s="706" t="s">
        <v>1148</v>
      </c>
      <c r="B739" s="706">
        <v>2026</v>
      </c>
      <c r="C739" s="706" t="s">
        <v>2446</v>
      </c>
      <c r="D739" s="706" t="s">
        <v>2447</v>
      </c>
      <c r="E739" s="706" t="s">
        <v>1151</v>
      </c>
      <c r="F739" s="706" t="s">
        <v>1149</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905" t="str">
        <f t="shared" si="74"/>
        <v>G46030</v>
      </c>
      <c r="AK739" s="905" t="str">
        <f t="shared" si="75"/>
        <v>VTES-M.D.PL.PROT.AUT.AUTO</v>
      </c>
      <c r="AL739" s="905">
        <f>IFERROR(INDEX(G739:R739,1,MATCH(Parametres!$B$3,G$1:R$1,0)-1)*IF(OR(F739="L",F739="S",F739="I"),-1,1),"")</f>
        <v>0</v>
      </c>
      <c r="AM739" s="905">
        <f t="shared" si="76"/>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77"/>
        <v>G46030</v>
      </c>
      <c r="AU739" s="488" t="str">
        <f t="shared" si="78"/>
        <v>VTES-M.D.PL.PROT.AUT.AUTO</v>
      </c>
      <c r="AV739" s="899">
        <f>IFERROR(INDEX(V739:AG739,1,MATCH(Parametres!$B$3,V$1:AG$1,0)-1)*IF(OR(C739="L",C739="S",C739="I"),-1,1),"")</f>
        <v>0</v>
      </c>
      <c r="AW739" s="899">
        <f t="shared" si="79"/>
        <v>0</v>
      </c>
      <c r="AX739" s="899">
        <f>INDEX(V739:AG739,1,MATCH(Parametres!$B$3,V$1:AG$1,0))*IF(OR(C739="L",C739="S",C739="I"),-1,1)</f>
        <v>0</v>
      </c>
      <c r="AY739" s="487" t="s">
        <v>337</v>
      </c>
      <c r="AZ739" s="487" t="e">
        <f>+VLOOKUP($AJ739,Data_Validation!$A:$E,5,0)</f>
        <v>#N/A</v>
      </c>
    </row>
    <row r="740" spans="1:52" ht="15" hidden="1" customHeight="1">
      <c r="A740" s="706" t="s">
        <v>1148</v>
      </c>
      <c r="B740" s="706">
        <v>2026</v>
      </c>
      <c r="C740" s="706" t="s">
        <v>2448</v>
      </c>
      <c r="D740" s="706" t="s">
        <v>2449</v>
      </c>
      <c r="E740" s="706" t="s">
        <v>1151</v>
      </c>
      <c r="F740" s="706" t="s">
        <v>1149</v>
      </c>
      <c r="G740" s="706">
        <v>3100.84</v>
      </c>
      <c r="H740" s="706">
        <v>4320.3999999999996</v>
      </c>
      <c r="I740" s="706">
        <v>4904.8</v>
      </c>
      <c r="J740" s="706">
        <v>6091.54</v>
      </c>
      <c r="K740" s="706">
        <v>10948.9</v>
      </c>
      <c r="L740" s="706">
        <v>13966.1</v>
      </c>
      <c r="M740" s="706">
        <v>15457.5</v>
      </c>
      <c r="N740" s="706">
        <v>16730.39</v>
      </c>
      <c r="O740" s="706">
        <v>18624.36</v>
      </c>
      <c r="P740" s="706">
        <v>18655.22</v>
      </c>
      <c r="Q740" s="706">
        <v>0</v>
      </c>
      <c r="R740" s="706">
        <v>0</v>
      </c>
      <c r="S740" s="706">
        <v>2069.37</v>
      </c>
      <c r="T740" s="706">
        <v>2069.37</v>
      </c>
      <c r="U740" s="706">
        <v>0</v>
      </c>
      <c r="V740" s="706">
        <v>12</v>
      </c>
      <c r="W740" s="706">
        <v>18</v>
      </c>
      <c r="X740" s="706">
        <v>21</v>
      </c>
      <c r="Y740" s="706">
        <v>38</v>
      </c>
      <c r="Z740" s="706">
        <v>79</v>
      </c>
      <c r="AA740" s="706">
        <v>103</v>
      </c>
      <c r="AB740" s="706">
        <v>115</v>
      </c>
      <c r="AC740" s="706">
        <v>126</v>
      </c>
      <c r="AD740" s="706">
        <v>147</v>
      </c>
      <c r="AE740" s="706">
        <v>148</v>
      </c>
      <c r="AF740" s="706">
        <v>0</v>
      </c>
      <c r="AG740" s="706">
        <v>0</v>
      </c>
      <c r="AH740" s="706">
        <v>16</v>
      </c>
      <c r="AI740" s="706">
        <v>16</v>
      </c>
      <c r="AJ740" s="905" t="str">
        <f t="shared" si="74"/>
        <v>G46040</v>
      </c>
      <c r="AK740" s="905" t="str">
        <f t="shared" si="75"/>
        <v>SERV. RAPIDE VOIT CAM.LEG</v>
      </c>
      <c r="AL740" s="905">
        <f>IFERROR(INDEX(G740:R740,1,MATCH(Parametres!$B$3,G$1:R$1,0)-1)*IF(OR(F740="L",F740="S",F740="I"),-1,1),"")</f>
        <v>-16730.39</v>
      </c>
      <c r="AM740" s="905">
        <f t="shared" si="76"/>
        <v>-1893.9700000000012</v>
      </c>
      <c r="AN740" s="905">
        <f>INDEX(G740:R740,1,MATCH(Parametres!$B$3,G$1:R$1,0))*IF(OR(F740="L",F740="S",F740="I"),-1,1)</f>
        <v>-18624.36</v>
      </c>
      <c r="AO740" s="487" t="str">
        <f>+VLOOKUP($AJ740,Data_Validation!$A:$D,1,0)</f>
        <v>G46040</v>
      </c>
      <c r="AP740" s="487" t="str">
        <f>+VLOOKUP($AJ740,Data_Validation!$A:$D,3,0)</f>
        <v>Service</v>
      </c>
      <c r="AQ740" s="487" t="str">
        <f>+VLOOKUP($AJ740,Data_Validation!$A:$D,4,0)</f>
        <v>M/O Client</v>
      </c>
      <c r="AR740" s="487" t="s">
        <v>299</v>
      </c>
      <c r="AS740" s="487" t="str">
        <f>+VLOOKUP($AJ740,Data_Validation!$A:$E,5,0)</f>
        <v>Oui</v>
      </c>
      <c r="AT740" s="904" t="str">
        <f t="shared" si="77"/>
        <v>G46040</v>
      </c>
      <c r="AU740" s="488" t="str">
        <f t="shared" si="78"/>
        <v>SERV. RAPIDE VOIT CAM.LEG</v>
      </c>
      <c r="AV740" s="899">
        <f>IFERROR(INDEX(V740:AG740,1,MATCH(Parametres!$B$3,V$1:AG$1,0)-1)*IF(OR(C740="L",C740="S",C740="I"),-1,1),"")</f>
        <v>126</v>
      </c>
      <c r="AW740" s="899">
        <f t="shared" si="79"/>
        <v>21</v>
      </c>
      <c r="AX740" s="899">
        <f>INDEX(V740:AG740,1,MATCH(Parametres!$B$3,V$1:AG$1,0))*IF(OR(C740="L",C740="S",C740="I"),-1,1)</f>
        <v>147</v>
      </c>
      <c r="AY740" s="487" t="s">
        <v>337</v>
      </c>
      <c r="AZ740" s="487" t="str">
        <f>+VLOOKUP($AJ740,Data_Validation!$A:$E,5,0)</f>
        <v>Oui</v>
      </c>
    </row>
    <row r="741" spans="1:52" ht="15" hidden="1" customHeight="1">
      <c r="A741" s="706" t="s">
        <v>1148</v>
      </c>
      <c r="B741" s="706">
        <v>2026</v>
      </c>
      <c r="C741" s="706" t="s">
        <v>3350</v>
      </c>
      <c r="D741" s="706" t="s">
        <v>3351</v>
      </c>
      <c r="E741" s="706" t="s">
        <v>1151</v>
      </c>
      <c r="F741" s="706" t="s">
        <v>1149</v>
      </c>
      <c r="G741" s="706">
        <v>0</v>
      </c>
      <c r="H741" s="706">
        <v>0</v>
      </c>
      <c r="I741" s="706">
        <v>0</v>
      </c>
      <c r="J741" s="706">
        <v>0</v>
      </c>
      <c r="K741" s="706">
        <v>0</v>
      </c>
      <c r="L741" s="706">
        <v>0</v>
      </c>
      <c r="M741" s="706">
        <v>0</v>
      </c>
      <c r="N741" s="706">
        <v>0</v>
      </c>
      <c r="O741" s="706">
        <v>0</v>
      </c>
      <c r="P741" s="706">
        <v>0</v>
      </c>
      <c r="Q741" s="706">
        <v>0</v>
      </c>
      <c r="R741" s="706">
        <v>0</v>
      </c>
      <c r="S741" s="706">
        <v>0</v>
      </c>
      <c r="T741" s="706">
        <v>0</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905" t="str">
        <f t="shared" si="74"/>
        <v>G46050</v>
      </c>
      <c r="AK741" s="905" t="str">
        <f t="shared" si="75"/>
        <v>VTE M-0 ELECTRIQUE   CLT</v>
      </c>
      <c r="AL741" s="905">
        <f>IFERROR(INDEX(G741:R741,1,MATCH(Parametres!$B$3,G$1:R$1,0)-1)*IF(OR(F741="L",F741="S",F741="I"),-1,1),"")</f>
        <v>0</v>
      </c>
      <c r="AM741" s="905">
        <f t="shared" si="76"/>
        <v>0</v>
      </c>
      <c r="AN741" s="905">
        <f>INDEX(G741:R741,1,MATCH(Parametres!$B$3,G$1:R$1,0))*IF(OR(F741="L",F741="S",F741="I"),-1,1)</f>
        <v>0</v>
      </c>
      <c r="AO741" s="487" t="e">
        <f>+VLOOKUP($AJ741,Data_Validation!$A:$D,1,0)</f>
        <v>#N/A</v>
      </c>
      <c r="AP741" s="487" t="e">
        <f>+VLOOKUP($AJ741,Data_Validation!$A:$D,3,0)</f>
        <v>#N/A</v>
      </c>
      <c r="AQ741" s="487" t="e">
        <f>+VLOOKUP($AJ741,Data_Validation!$A:$D,4,0)</f>
        <v>#N/A</v>
      </c>
      <c r="AR741" s="487" t="s">
        <v>299</v>
      </c>
      <c r="AS741" s="487" t="e">
        <f>+VLOOKUP($AJ741,Data_Validation!$A:$E,5,0)</f>
        <v>#N/A</v>
      </c>
      <c r="AT741" s="904" t="str">
        <f t="shared" si="77"/>
        <v>G46050</v>
      </c>
      <c r="AU741" s="488" t="str">
        <f t="shared" si="78"/>
        <v>VTE M-0 ELECTRIQUE   CLT</v>
      </c>
      <c r="AV741" s="899">
        <f>IFERROR(INDEX(V741:AG741,1,MATCH(Parametres!$B$3,V$1:AG$1,0)-1)*IF(OR(C741="L",C741="S",C741="I"),-1,1),"")</f>
        <v>0</v>
      </c>
      <c r="AW741" s="899">
        <f t="shared" si="79"/>
        <v>0</v>
      </c>
      <c r="AX741" s="899">
        <f>INDEX(V741:AG741,1,MATCH(Parametres!$B$3,V$1:AG$1,0))*IF(OR(C741="L",C741="S",C741="I"),-1,1)</f>
        <v>0</v>
      </c>
      <c r="AY741" s="487" t="s">
        <v>337</v>
      </c>
      <c r="AZ741" s="487" t="e">
        <f>+VLOOKUP($AJ741,Data_Validation!$A:$E,5,0)</f>
        <v>#N/A</v>
      </c>
    </row>
    <row r="742" spans="1:52" ht="15" hidden="1" customHeight="1">
      <c r="A742" s="706" t="s">
        <v>1148</v>
      </c>
      <c r="B742" s="706">
        <v>2026</v>
      </c>
      <c r="C742" s="706" t="s">
        <v>2450</v>
      </c>
      <c r="D742" s="706" t="s">
        <v>2451</v>
      </c>
      <c r="E742" s="706" t="s">
        <v>1151</v>
      </c>
      <c r="F742" s="706" t="s">
        <v>1149</v>
      </c>
      <c r="G742" s="706">
        <v>81920</v>
      </c>
      <c r="H742" s="706">
        <v>163770</v>
      </c>
      <c r="I742" s="706">
        <v>272495</v>
      </c>
      <c r="J742" s="706">
        <v>382055</v>
      </c>
      <c r="K742" s="706">
        <v>452319.95</v>
      </c>
      <c r="L742" s="706">
        <v>471485.42</v>
      </c>
      <c r="M742" s="706">
        <v>495185.42</v>
      </c>
      <c r="N742" s="706">
        <v>512310.42</v>
      </c>
      <c r="O742" s="706">
        <v>533640.42000000004</v>
      </c>
      <c r="P742" s="706">
        <v>536820.42000000004</v>
      </c>
      <c r="Q742" s="706">
        <v>0</v>
      </c>
      <c r="R742" s="706">
        <v>0</v>
      </c>
      <c r="S742" s="706">
        <v>59293.38</v>
      </c>
      <c r="T742" s="706">
        <v>59293.38</v>
      </c>
      <c r="U742" s="706">
        <v>0</v>
      </c>
      <c r="V742" s="706">
        <v>497</v>
      </c>
      <c r="W742" s="706">
        <v>964</v>
      </c>
      <c r="X742" s="706">
        <v>1611</v>
      </c>
      <c r="Y742" s="706">
        <v>2272</v>
      </c>
      <c r="Z742" s="706">
        <v>2746</v>
      </c>
      <c r="AA742" s="706">
        <v>2898</v>
      </c>
      <c r="AB742" s="706">
        <v>3091</v>
      </c>
      <c r="AC742" s="706">
        <v>3230</v>
      </c>
      <c r="AD742" s="706">
        <v>3398</v>
      </c>
      <c r="AE742" s="706">
        <v>3424</v>
      </c>
      <c r="AF742" s="706">
        <v>0</v>
      </c>
      <c r="AG742" s="706">
        <v>0</v>
      </c>
      <c r="AH742" s="706">
        <v>378</v>
      </c>
      <c r="AI742" s="706">
        <v>378</v>
      </c>
      <c r="AJ742" s="905" t="str">
        <f t="shared" si="74"/>
        <v>G46110</v>
      </c>
      <c r="AK742" s="905" t="str">
        <f t="shared" si="75"/>
        <v>M-D'O CLIENT S.A.A.Q</v>
      </c>
      <c r="AL742" s="905">
        <f>IFERROR(INDEX(G742:R742,1,MATCH(Parametres!$B$3,G$1:R$1,0)-1)*IF(OR(F742="L",F742="S",F742="I"),-1,1),"")</f>
        <v>-512310.42</v>
      </c>
      <c r="AM742" s="905">
        <f t="shared" si="76"/>
        <v>-21330.000000000058</v>
      </c>
      <c r="AN742" s="905">
        <f>INDEX(G742:R742,1,MATCH(Parametres!$B$3,G$1:R$1,0))*IF(OR(F742="L",F742="S",F742="I"),-1,1)</f>
        <v>-533640.42000000004</v>
      </c>
      <c r="AO742" s="487" t="str">
        <f>+VLOOKUP($AJ742,Data_Validation!$A:$D,1,0)</f>
        <v>G46110</v>
      </c>
      <c r="AP742" s="487" t="str">
        <f>+VLOOKUP($AJ742,Data_Validation!$A:$D,3,0)</f>
        <v>SAAQ</v>
      </c>
      <c r="AQ742" s="487" t="str">
        <f>+VLOOKUP($AJ742,Data_Validation!$A:$D,4,0)</f>
        <v>Inspection - Véhicules Légers</v>
      </c>
      <c r="AR742" s="487" t="s">
        <v>299</v>
      </c>
      <c r="AS742" s="487" t="str">
        <f>+VLOOKUP($AJ742,Data_Validation!$A:$E,5,0)</f>
        <v>Oui</v>
      </c>
      <c r="AT742" s="904" t="str">
        <f t="shared" si="77"/>
        <v>G46110</v>
      </c>
      <c r="AU742" s="488" t="str">
        <f t="shared" si="78"/>
        <v>M-D'O CLIENT S.A.A.Q</v>
      </c>
      <c r="AV742" s="899">
        <f>IFERROR(INDEX(V742:AG742,1,MATCH(Parametres!$B$3,V$1:AG$1,0)-1)*IF(OR(C742="L",C742="S",C742="I"),-1,1),"")</f>
        <v>3230</v>
      </c>
      <c r="AW742" s="899">
        <f t="shared" si="79"/>
        <v>168</v>
      </c>
      <c r="AX742" s="899">
        <f>INDEX(V742:AG742,1,MATCH(Parametres!$B$3,V$1:AG$1,0))*IF(OR(C742="L",C742="S",C742="I"),-1,1)</f>
        <v>3398</v>
      </c>
      <c r="AY742" s="487" t="s">
        <v>337</v>
      </c>
      <c r="AZ742" s="487" t="str">
        <f>+VLOOKUP($AJ742,Data_Validation!$A:$E,5,0)</f>
        <v>Oui</v>
      </c>
    </row>
    <row r="743" spans="1:52" ht="15" hidden="1" customHeight="1">
      <c r="A743" s="706" t="s">
        <v>1148</v>
      </c>
      <c r="B743" s="706">
        <v>2026</v>
      </c>
      <c r="C743" s="706" t="s">
        <v>3352</v>
      </c>
      <c r="D743" s="706" t="s">
        <v>3353</v>
      </c>
      <c r="E743" s="706" t="s">
        <v>1151</v>
      </c>
      <c r="F743" s="706" t="s">
        <v>1149</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905" t="str">
        <f t="shared" si="74"/>
        <v>G46111</v>
      </c>
      <c r="AK743" s="905" t="str">
        <f t="shared" si="75"/>
        <v>VTES M-O CLIENT FLOTTES</v>
      </c>
      <c r="AL743" s="905">
        <f>IFERROR(INDEX(G743:R743,1,MATCH(Parametres!$B$3,G$1:R$1,0)-1)*IF(OR(F743="L",F743="S",F743="I"),-1,1),"")</f>
        <v>0</v>
      </c>
      <c r="AM743" s="905">
        <f t="shared" si="76"/>
        <v>0</v>
      </c>
      <c r="AN743" s="905">
        <f>INDEX(G743:R743,1,MATCH(Parametres!$B$3,G$1:R$1,0))*IF(OR(F743="L",F743="S",F743="I"),-1,1)</f>
        <v>0</v>
      </c>
      <c r="AO743" s="487" t="e">
        <f>+VLOOKUP($AJ743,Data_Validation!$A:$D,1,0)</f>
        <v>#N/A</v>
      </c>
      <c r="AP743" s="487" t="e">
        <f>+VLOOKUP($AJ743,Data_Validation!$A:$D,3,0)</f>
        <v>#N/A</v>
      </c>
      <c r="AQ743" s="487" t="e">
        <f>+VLOOKUP($AJ743,Data_Validation!$A:$D,4,0)</f>
        <v>#N/A</v>
      </c>
      <c r="AR743" s="487" t="s">
        <v>299</v>
      </c>
      <c r="AS743" s="487" t="e">
        <f>+VLOOKUP($AJ743,Data_Validation!$A:$E,5,0)</f>
        <v>#N/A</v>
      </c>
      <c r="AT743" s="904" t="str">
        <f t="shared" si="77"/>
        <v>G46111</v>
      </c>
      <c r="AU743" s="488" t="str">
        <f t="shared" si="78"/>
        <v>VTES M-O CLIENT FLOTTES</v>
      </c>
      <c r="AV743" s="899">
        <f>IFERROR(INDEX(V743:AG743,1,MATCH(Parametres!$B$3,V$1:AG$1,0)-1)*IF(OR(C743="L",C743="S",C743="I"),-1,1),"")</f>
        <v>0</v>
      </c>
      <c r="AW743" s="899">
        <f t="shared" si="79"/>
        <v>0</v>
      </c>
      <c r="AX743" s="899">
        <f>INDEX(V743:AG743,1,MATCH(Parametres!$B$3,V$1:AG$1,0))*IF(OR(C743="L",C743="S",C743="I"),-1,1)</f>
        <v>0</v>
      </c>
      <c r="AY743" s="487" t="s">
        <v>337</v>
      </c>
      <c r="AZ743" s="487" t="e">
        <f>+VLOOKUP($AJ743,Data_Validation!$A:$E,5,0)</f>
        <v>#N/A</v>
      </c>
    </row>
    <row r="744" spans="1:52" ht="15" hidden="1" customHeight="1">
      <c r="A744" s="706" t="s">
        <v>1148</v>
      </c>
      <c r="B744" s="706">
        <v>2026</v>
      </c>
      <c r="C744" s="706" t="s">
        <v>2452</v>
      </c>
      <c r="D744" s="706" t="s">
        <v>3354</v>
      </c>
      <c r="E744" s="706" t="s">
        <v>1151</v>
      </c>
      <c r="F744" s="706" t="s">
        <v>1149</v>
      </c>
      <c r="G744" s="706">
        <v>0</v>
      </c>
      <c r="H744" s="706">
        <v>0</v>
      </c>
      <c r="I744" s="706">
        <v>0</v>
      </c>
      <c r="J744" s="706">
        <v>0</v>
      </c>
      <c r="K744" s="706">
        <v>0</v>
      </c>
      <c r="L744" s="706">
        <v>0</v>
      </c>
      <c r="M744" s="706">
        <v>0</v>
      </c>
      <c r="N744" s="706">
        <v>0</v>
      </c>
      <c r="O744" s="706">
        <v>0</v>
      </c>
      <c r="P744" s="706">
        <v>0</v>
      </c>
      <c r="Q744" s="706">
        <v>0</v>
      </c>
      <c r="R744" s="706">
        <v>0</v>
      </c>
      <c r="S744" s="706">
        <v>0</v>
      </c>
      <c r="T744" s="706">
        <v>0</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905" t="str">
        <f t="shared" si="74"/>
        <v>G46120</v>
      </c>
      <c r="AK744" s="905" t="str">
        <f t="shared" si="75"/>
        <v>M-D'O.GARANTIE S.A.A.Q.</v>
      </c>
      <c r="AL744" s="905">
        <f>IFERROR(INDEX(G744:R744,1,MATCH(Parametres!$B$3,G$1:R$1,0)-1)*IF(OR(F744="L",F744="S",F744="I"),-1,1),"")</f>
        <v>0</v>
      </c>
      <c r="AM744" s="905">
        <f t="shared" si="76"/>
        <v>0</v>
      </c>
      <c r="AN744" s="905">
        <f>INDEX(G744:R744,1,MATCH(Parametres!$B$3,G$1:R$1,0))*IF(OR(F744="L",F744="S",F744="I"),-1,1)</f>
        <v>0</v>
      </c>
      <c r="AO744" s="487" t="str">
        <f>+VLOOKUP($AJ744,Data_Validation!$A:$D,1,0)</f>
        <v>G46120</v>
      </c>
      <c r="AP744" s="487" t="str">
        <f>+VLOOKUP($AJ744,Data_Validation!$A:$D,3,0)</f>
        <v>SAAQ</v>
      </c>
      <c r="AQ744" s="487" t="str">
        <f>+VLOOKUP($AJ744,Data_Validation!$A:$D,4,0)</f>
        <v>Inspection - Véhicules Interne</v>
      </c>
      <c r="AR744" s="487" t="s">
        <v>299</v>
      </c>
      <c r="AS744" s="487" t="str">
        <f>+VLOOKUP($AJ744,Data_Validation!$A:$E,5,0)</f>
        <v>Oui</v>
      </c>
      <c r="AT744" s="904" t="str">
        <f t="shared" si="77"/>
        <v>G46120</v>
      </c>
      <c r="AU744" s="488" t="str">
        <f t="shared" si="78"/>
        <v>M-D'O.GARANTIE S.A.A.Q.</v>
      </c>
      <c r="AV744" s="899">
        <f>IFERROR(INDEX(V744:AG744,1,MATCH(Parametres!$B$3,V$1:AG$1,0)-1)*IF(OR(C744="L",C744="S",C744="I"),-1,1),"")</f>
        <v>0</v>
      </c>
      <c r="AW744" s="899">
        <f t="shared" si="79"/>
        <v>0</v>
      </c>
      <c r="AX744" s="899">
        <f>INDEX(V744:AG744,1,MATCH(Parametres!$B$3,V$1:AG$1,0))*IF(OR(C744="L",C744="S",C744="I"),-1,1)</f>
        <v>0</v>
      </c>
      <c r="AY744" s="487" t="s">
        <v>337</v>
      </c>
      <c r="AZ744" s="487" t="str">
        <f>+VLOOKUP($AJ744,Data_Validation!$A:$E,5,0)</f>
        <v>Oui</v>
      </c>
    </row>
    <row r="745" spans="1:52" ht="15" hidden="1" customHeight="1">
      <c r="A745" s="706" t="s">
        <v>1148</v>
      </c>
      <c r="B745" s="706">
        <v>2026</v>
      </c>
      <c r="C745" s="706" t="s">
        <v>2454</v>
      </c>
      <c r="D745" s="706" t="s">
        <v>3355</v>
      </c>
      <c r="E745" s="706" t="s">
        <v>1151</v>
      </c>
      <c r="F745" s="706" t="s">
        <v>1149</v>
      </c>
      <c r="G745" s="706">
        <v>0</v>
      </c>
      <c r="H745" s="706">
        <v>0</v>
      </c>
      <c r="I745" s="706">
        <v>0</v>
      </c>
      <c r="J745" s="706">
        <v>0</v>
      </c>
      <c r="K745" s="706">
        <v>26312.5</v>
      </c>
      <c r="L745" s="706">
        <v>97132.5</v>
      </c>
      <c r="M745" s="706">
        <v>166657.5</v>
      </c>
      <c r="N745" s="706">
        <v>220535</v>
      </c>
      <c r="O745" s="706">
        <v>288285</v>
      </c>
      <c r="P745" s="706">
        <v>301655</v>
      </c>
      <c r="Q745" s="706">
        <v>0</v>
      </c>
      <c r="R745" s="706">
        <v>0</v>
      </c>
      <c r="S745" s="706">
        <v>32031.67</v>
      </c>
      <c r="T745" s="706">
        <v>32031.67</v>
      </c>
      <c r="U745" s="706">
        <v>0</v>
      </c>
      <c r="V745" s="706">
        <v>0</v>
      </c>
      <c r="W745" s="706">
        <v>0</v>
      </c>
      <c r="X745" s="706">
        <v>0</v>
      </c>
      <c r="Y745" s="706">
        <v>0</v>
      </c>
      <c r="Z745" s="706">
        <v>158</v>
      </c>
      <c r="AA745" s="706">
        <v>595</v>
      </c>
      <c r="AB745" s="706">
        <v>988</v>
      </c>
      <c r="AC745" s="706">
        <v>1320</v>
      </c>
      <c r="AD745" s="706">
        <v>1681</v>
      </c>
      <c r="AE745" s="706">
        <v>1762</v>
      </c>
      <c r="AF745" s="706">
        <v>0</v>
      </c>
      <c r="AG745" s="706">
        <v>0</v>
      </c>
      <c r="AH745" s="706">
        <v>187</v>
      </c>
      <c r="AI745" s="706">
        <v>187</v>
      </c>
      <c r="AJ745" s="905" t="str">
        <f t="shared" si="74"/>
        <v>G46140</v>
      </c>
      <c r="AK745" s="905" t="str">
        <f t="shared" si="75"/>
        <v>VTES - M.O LOURD -S.A,A.Q</v>
      </c>
      <c r="AL745" s="905">
        <f>IFERROR(INDEX(G745:R745,1,MATCH(Parametres!$B$3,G$1:R$1,0)-1)*IF(OR(F745="L",F745="S",F745="I"),-1,1),"")</f>
        <v>-220535</v>
      </c>
      <c r="AM745" s="905">
        <f t="shared" si="76"/>
        <v>-67750</v>
      </c>
      <c r="AN745" s="905">
        <f>INDEX(G745:R745,1,MATCH(Parametres!$B$3,G$1:R$1,0))*IF(OR(F745="L",F745="S",F745="I"),-1,1)</f>
        <v>-288285</v>
      </c>
      <c r="AO745" s="487" t="str">
        <f>+VLOOKUP($AJ745,Data_Validation!$A:$D,1,0)</f>
        <v>G46140</v>
      </c>
      <c r="AP745" s="487" t="str">
        <f>+VLOOKUP($AJ745,Data_Validation!$A:$D,3,0)</f>
        <v>SAAQ</v>
      </c>
      <c r="AQ745" s="487" t="str">
        <f>+VLOOKUP($AJ745,Data_Validation!$A:$D,4,0)</f>
        <v>Inspection - Véhicules Lourds</v>
      </c>
      <c r="AR745" s="487" t="s">
        <v>299</v>
      </c>
      <c r="AS745" s="487" t="str">
        <f>+VLOOKUP($AJ745,Data_Validation!$A:$E,5,0)</f>
        <v>Oui</v>
      </c>
      <c r="AT745" s="904" t="str">
        <f t="shared" si="77"/>
        <v>G46140</v>
      </c>
      <c r="AU745" s="488" t="str">
        <f t="shared" si="78"/>
        <v>VTES - M.O LOURD -S.A,A.Q</v>
      </c>
      <c r="AV745" s="899">
        <f>IFERROR(INDEX(V745:AG745,1,MATCH(Parametres!$B$3,V$1:AG$1,0)-1)*IF(OR(C745="L",C745="S",C745="I"),-1,1),"")</f>
        <v>1320</v>
      </c>
      <c r="AW745" s="899">
        <f t="shared" si="79"/>
        <v>361</v>
      </c>
      <c r="AX745" s="899">
        <f>INDEX(V745:AG745,1,MATCH(Parametres!$B$3,V$1:AG$1,0))*IF(OR(C745="L",C745="S",C745="I"),-1,1)</f>
        <v>1681</v>
      </c>
      <c r="AY745" s="487" t="s">
        <v>337</v>
      </c>
      <c r="AZ745" s="487" t="str">
        <f>+VLOOKUP($AJ745,Data_Validation!$A:$E,5,0)</f>
        <v>Oui</v>
      </c>
    </row>
    <row r="746" spans="1:52" ht="15" hidden="1" customHeight="1">
      <c r="A746" s="706" t="s">
        <v>1148</v>
      </c>
      <c r="B746" s="706">
        <v>2026</v>
      </c>
      <c r="C746" s="706" t="s">
        <v>3356</v>
      </c>
      <c r="D746" s="706" t="s">
        <v>3357</v>
      </c>
      <c r="E746" s="706" t="s">
        <v>1151</v>
      </c>
      <c r="F746" s="706" t="s">
        <v>1149</v>
      </c>
      <c r="G746" s="706">
        <v>0</v>
      </c>
      <c r="H746" s="706">
        <v>0</v>
      </c>
      <c r="I746" s="706">
        <v>0</v>
      </c>
      <c r="J746" s="706">
        <v>0</v>
      </c>
      <c r="K746" s="706">
        <v>0</v>
      </c>
      <c r="L746" s="706">
        <v>0</v>
      </c>
      <c r="M746" s="706">
        <v>0</v>
      </c>
      <c r="N746" s="706">
        <v>0</v>
      </c>
      <c r="O746" s="706">
        <v>0</v>
      </c>
      <c r="P746" s="706">
        <v>0</v>
      </c>
      <c r="Q746" s="706">
        <v>0</v>
      </c>
      <c r="R746" s="706">
        <v>0</v>
      </c>
      <c r="S746" s="706">
        <v>0</v>
      </c>
      <c r="T746" s="706">
        <v>0</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905" t="str">
        <f t="shared" si="74"/>
        <v>G46150</v>
      </c>
      <c r="AK746" s="905" t="str">
        <f t="shared" si="75"/>
        <v>VTE M-O ELECTIQUE FLOTTE</v>
      </c>
      <c r="AL746" s="905">
        <f>IFERROR(INDEX(G746:R746,1,MATCH(Parametres!$B$3,G$1:R$1,0)-1)*IF(OR(F746="L",F746="S",F746="I"),-1,1),"")</f>
        <v>0</v>
      </c>
      <c r="AM746" s="905">
        <f t="shared" si="76"/>
        <v>0</v>
      </c>
      <c r="AN746" s="905">
        <f>INDEX(G746:R746,1,MATCH(Parametres!$B$3,G$1:R$1,0))*IF(OR(F746="L",F746="S",F746="I"),-1,1)</f>
        <v>0</v>
      </c>
      <c r="AO746" s="487" t="e">
        <f>+VLOOKUP($AJ746,Data_Validation!$A:$D,1,0)</f>
        <v>#N/A</v>
      </c>
      <c r="AP746" s="487" t="e">
        <f>+VLOOKUP($AJ746,Data_Validation!$A:$D,3,0)</f>
        <v>#N/A</v>
      </c>
      <c r="AQ746" s="487" t="e">
        <f>+VLOOKUP($AJ746,Data_Validation!$A:$D,4,0)</f>
        <v>#N/A</v>
      </c>
      <c r="AR746" s="487" t="s">
        <v>299</v>
      </c>
      <c r="AS746" s="487" t="e">
        <f>+VLOOKUP($AJ746,Data_Validation!$A:$E,5,0)</f>
        <v>#N/A</v>
      </c>
      <c r="AT746" s="904" t="str">
        <f t="shared" si="77"/>
        <v>G46150</v>
      </c>
      <c r="AU746" s="488" t="str">
        <f t="shared" si="78"/>
        <v>VTE M-O ELECTIQUE FLOTTE</v>
      </c>
      <c r="AV746" s="899">
        <f>IFERROR(INDEX(V746:AG746,1,MATCH(Parametres!$B$3,V$1:AG$1,0)-1)*IF(OR(C746="L",C746="S",C746="I"),-1,1),"")</f>
        <v>0</v>
      </c>
      <c r="AW746" s="899">
        <f t="shared" si="79"/>
        <v>0</v>
      </c>
      <c r="AX746" s="899">
        <f>INDEX(V746:AG746,1,MATCH(Parametres!$B$3,V$1:AG$1,0))*IF(OR(C746="L",C746="S",C746="I"),-1,1)</f>
        <v>0</v>
      </c>
      <c r="AY746" s="487" t="s">
        <v>337</v>
      </c>
      <c r="AZ746" s="487" t="e">
        <f>+VLOOKUP($AJ746,Data_Validation!$A:$E,5,0)</f>
        <v>#N/A</v>
      </c>
    </row>
    <row r="747" spans="1:52" ht="15" hidden="1" customHeight="1">
      <c r="A747" s="706" t="s">
        <v>1148</v>
      </c>
      <c r="B747" s="706">
        <v>2026</v>
      </c>
      <c r="C747" s="706" t="s">
        <v>2456</v>
      </c>
      <c r="D747" s="706" t="s">
        <v>2457</v>
      </c>
      <c r="E747" s="706" t="s">
        <v>1151</v>
      </c>
      <c r="F747" s="706" t="s">
        <v>1149</v>
      </c>
      <c r="G747" s="706">
        <v>48069.68</v>
      </c>
      <c r="H747" s="706">
        <v>98097.58</v>
      </c>
      <c r="I747" s="706">
        <v>168097.15</v>
      </c>
      <c r="J747" s="706">
        <v>218322.78</v>
      </c>
      <c r="K747" s="706">
        <v>249913.78</v>
      </c>
      <c r="L747" s="706">
        <v>320092.03000000003</v>
      </c>
      <c r="M747" s="706">
        <v>360350.33</v>
      </c>
      <c r="N747" s="706">
        <v>418498.88</v>
      </c>
      <c r="O747" s="706">
        <v>447973.74</v>
      </c>
      <c r="P747" s="706">
        <v>454855.96</v>
      </c>
      <c r="Q747" s="706">
        <v>0</v>
      </c>
      <c r="R747" s="706">
        <v>0</v>
      </c>
      <c r="S747" s="706">
        <v>49774.86</v>
      </c>
      <c r="T747" s="706">
        <v>49774.86</v>
      </c>
      <c r="U747" s="706">
        <v>0</v>
      </c>
      <c r="V747" s="706">
        <v>274</v>
      </c>
      <c r="W747" s="706">
        <v>556</v>
      </c>
      <c r="X747" s="706">
        <v>912</v>
      </c>
      <c r="Y747" s="706">
        <v>1210</v>
      </c>
      <c r="Z747" s="706">
        <v>1439</v>
      </c>
      <c r="AA747" s="706">
        <v>1820</v>
      </c>
      <c r="AB747" s="706">
        <v>2069</v>
      </c>
      <c r="AC747" s="706">
        <v>2428</v>
      </c>
      <c r="AD747" s="706">
        <v>2639</v>
      </c>
      <c r="AE747" s="706">
        <v>2684</v>
      </c>
      <c r="AF747" s="706">
        <v>0</v>
      </c>
      <c r="AG747" s="706">
        <v>0</v>
      </c>
      <c r="AH747" s="706">
        <v>293</v>
      </c>
      <c r="AI747" s="706">
        <v>293</v>
      </c>
      <c r="AJ747" s="905" t="str">
        <f t="shared" si="74"/>
        <v>G46200</v>
      </c>
      <c r="AK747" s="905" t="str">
        <f t="shared" si="75"/>
        <v>VTES-M.D.RECL.GARANTIE</v>
      </c>
      <c r="AL747" s="905">
        <f>IFERROR(INDEX(G747:R747,1,MATCH(Parametres!$B$3,G$1:R$1,0)-1)*IF(OR(F747="L",F747="S",F747="I"),-1,1),"")</f>
        <v>-418498.88</v>
      </c>
      <c r="AM747" s="905">
        <f t="shared" si="76"/>
        <v>-29474.859999999986</v>
      </c>
      <c r="AN747" s="905">
        <f>INDEX(G747:R747,1,MATCH(Parametres!$B$3,G$1:R$1,0))*IF(OR(F747="L",F747="S",F747="I"),-1,1)</f>
        <v>-447973.74</v>
      </c>
      <c r="AO747" s="487" t="str">
        <f>+VLOOKUP($AJ747,Data_Validation!$A:$D,1,0)</f>
        <v>G46200</v>
      </c>
      <c r="AP747" s="487" t="str">
        <f>+VLOOKUP($AJ747,Data_Validation!$A:$D,3,0)</f>
        <v>Service</v>
      </c>
      <c r="AQ747" s="487" t="str">
        <f>+VLOOKUP($AJ747,Data_Validation!$A:$D,4,0)</f>
        <v>M/O Garantie</v>
      </c>
      <c r="AR747" s="487" t="s">
        <v>299</v>
      </c>
      <c r="AS747" s="487" t="str">
        <f>+VLOOKUP($AJ747,Data_Validation!$A:$E,5,0)</f>
        <v>Oui</v>
      </c>
      <c r="AT747" s="904" t="str">
        <f t="shared" si="77"/>
        <v>G46200</v>
      </c>
      <c r="AU747" s="488" t="str">
        <f t="shared" si="78"/>
        <v>VTES-M.D.RECL.GARANTIE</v>
      </c>
      <c r="AV747" s="899">
        <f>IFERROR(INDEX(V747:AG747,1,MATCH(Parametres!$B$3,V$1:AG$1,0)-1)*IF(OR(C747="L",C747="S",C747="I"),-1,1),"")</f>
        <v>2428</v>
      </c>
      <c r="AW747" s="899">
        <f t="shared" si="79"/>
        <v>211</v>
      </c>
      <c r="AX747" s="899">
        <f>INDEX(V747:AG747,1,MATCH(Parametres!$B$3,V$1:AG$1,0))*IF(OR(C747="L",C747="S",C747="I"),-1,1)</f>
        <v>2639</v>
      </c>
      <c r="AY747" s="487" t="s">
        <v>337</v>
      </c>
      <c r="AZ747" s="487" t="str">
        <f>+VLOOKUP($AJ747,Data_Validation!$A:$E,5,0)</f>
        <v>Oui</v>
      </c>
    </row>
    <row r="748" spans="1:52" ht="15" hidden="1" customHeight="1">
      <c r="A748" s="706" t="s">
        <v>1148</v>
      </c>
      <c r="B748" s="706">
        <v>2026</v>
      </c>
      <c r="C748" s="706" t="s">
        <v>2458</v>
      </c>
      <c r="D748" s="706" t="s">
        <v>2459</v>
      </c>
      <c r="E748" s="706" t="s">
        <v>1151</v>
      </c>
      <c r="F748" s="706" t="s">
        <v>1149</v>
      </c>
      <c r="G748" s="706">
        <v>39339.53</v>
      </c>
      <c r="H748" s="706">
        <v>87940.91</v>
      </c>
      <c r="I748" s="706">
        <v>137067.01</v>
      </c>
      <c r="J748" s="706">
        <v>196363.11</v>
      </c>
      <c r="K748" s="706">
        <v>251577.99</v>
      </c>
      <c r="L748" s="706">
        <v>308265.09000000003</v>
      </c>
      <c r="M748" s="706">
        <v>355697.39</v>
      </c>
      <c r="N748" s="706">
        <v>402172.8</v>
      </c>
      <c r="O748" s="706">
        <v>447961.19</v>
      </c>
      <c r="P748" s="706">
        <v>455628.16</v>
      </c>
      <c r="Q748" s="706">
        <v>0</v>
      </c>
      <c r="R748" s="706">
        <v>0</v>
      </c>
      <c r="S748" s="706">
        <v>49773.47</v>
      </c>
      <c r="T748" s="706">
        <v>49773.47</v>
      </c>
      <c r="U748" s="706">
        <v>0</v>
      </c>
      <c r="V748" s="706">
        <v>257</v>
      </c>
      <c r="W748" s="706">
        <v>582</v>
      </c>
      <c r="X748" s="706">
        <v>990</v>
      </c>
      <c r="Y748" s="706">
        <v>1433</v>
      </c>
      <c r="Z748" s="706">
        <v>1742</v>
      </c>
      <c r="AA748" s="706">
        <v>2068</v>
      </c>
      <c r="AB748" s="706">
        <v>2346</v>
      </c>
      <c r="AC748" s="706">
        <v>2577</v>
      </c>
      <c r="AD748" s="706">
        <v>2877</v>
      </c>
      <c r="AE748" s="706">
        <v>2940</v>
      </c>
      <c r="AF748" s="706">
        <v>0</v>
      </c>
      <c r="AG748" s="706">
        <v>0</v>
      </c>
      <c r="AH748" s="706">
        <v>320</v>
      </c>
      <c r="AI748" s="706">
        <v>320</v>
      </c>
      <c r="AJ748" s="905" t="str">
        <f t="shared" si="74"/>
        <v>G46300</v>
      </c>
      <c r="AK748" s="905" t="str">
        <f t="shared" si="75"/>
        <v>VTES-M.D. INTERNE SERV.</v>
      </c>
      <c r="AL748" s="905">
        <f>IFERROR(INDEX(G748:R748,1,MATCH(Parametres!$B$3,G$1:R$1,0)-1)*IF(OR(F748="L",F748="S",F748="I"),-1,1),"")</f>
        <v>-402172.8</v>
      </c>
      <c r="AM748" s="905">
        <f t="shared" si="76"/>
        <v>-45788.390000000014</v>
      </c>
      <c r="AN748" s="905">
        <f>INDEX(G748:R748,1,MATCH(Parametres!$B$3,G$1:R$1,0))*IF(OR(F748="L",F748="S",F748="I"),-1,1)</f>
        <v>-447961.19</v>
      </c>
      <c r="AO748" s="487" t="str">
        <f>+VLOOKUP($AJ748,Data_Validation!$A:$D,1,0)</f>
        <v>G46300</v>
      </c>
      <c r="AP748" s="487" t="str">
        <f>+VLOOKUP($AJ748,Data_Validation!$A:$D,3,0)</f>
        <v>Service</v>
      </c>
      <c r="AQ748" s="487" t="str">
        <f>+VLOOKUP($AJ748,Data_Validation!$A:$D,4,0)</f>
        <v>M/O Interne</v>
      </c>
      <c r="AR748" s="487" t="s">
        <v>299</v>
      </c>
      <c r="AS748" s="487" t="str">
        <f>+VLOOKUP($AJ748,Data_Validation!$A:$E,5,0)</f>
        <v>Oui</v>
      </c>
      <c r="AT748" s="904" t="str">
        <f t="shared" si="77"/>
        <v>G46300</v>
      </c>
      <c r="AU748" s="488" t="str">
        <f t="shared" si="78"/>
        <v>VTES-M.D. INTERNE SERV.</v>
      </c>
      <c r="AV748" s="899">
        <f>IFERROR(INDEX(V748:AG748,1,MATCH(Parametres!$B$3,V$1:AG$1,0)-1)*IF(OR(C748="L",C748="S",C748="I"),-1,1),"")</f>
        <v>2577</v>
      </c>
      <c r="AW748" s="899">
        <f t="shared" si="79"/>
        <v>300</v>
      </c>
      <c r="AX748" s="899">
        <f>INDEX(V748:AG748,1,MATCH(Parametres!$B$3,V$1:AG$1,0))*IF(OR(C748="L",C748="S",C748="I"),-1,1)</f>
        <v>2877</v>
      </c>
      <c r="AY748" s="487" t="s">
        <v>337</v>
      </c>
      <c r="AZ748" s="487" t="str">
        <f>+VLOOKUP($AJ748,Data_Validation!$A:$E,5,0)</f>
        <v>Oui</v>
      </c>
    </row>
    <row r="749" spans="1:52" ht="15" hidden="1" customHeight="1">
      <c r="A749" s="706" t="s">
        <v>1148</v>
      </c>
      <c r="B749" s="706">
        <v>2026</v>
      </c>
      <c r="C749" s="706" t="s">
        <v>3358</v>
      </c>
      <c r="D749" s="706" t="s">
        <v>3359</v>
      </c>
      <c r="E749" s="706" t="s">
        <v>1151</v>
      </c>
      <c r="F749" s="706" t="s">
        <v>1149</v>
      </c>
      <c r="G749" s="706">
        <v>0</v>
      </c>
      <c r="H749" s="706">
        <v>0</v>
      </c>
      <c r="I749" s="706">
        <v>0</v>
      </c>
      <c r="J749" s="706">
        <v>0</v>
      </c>
      <c r="K749" s="706">
        <v>0</v>
      </c>
      <c r="L749" s="706">
        <v>0</v>
      </c>
      <c r="M749" s="706">
        <v>0</v>
      </c>
      <c r="N749" s="706">
        <v>0</v>
      </c>
      <c r="O749" s="706">
        <v>0</v>
      </c>
      <c r="P749" s="706">
        <v>2733</v>
      </c>
      <c r="Q749" s="706">
        <v>0</v>
      </c>
      <c r="R749" s="706">
        <v>0</v>
      </c>
      <c r="S749" s="706">
        <v>0</v>
      </c>
      <c r="T749" s="706">
        <v>0</v>
      </c>
      <c r="U749" s="706">
        <v>0</v>
      </c>
      <c r="V749" s="706">
        <v>0</v>
      </c>
      <c r="W749" s="706">
        <v>0</v>
      </c>
      <c r="X749" s="706">
        <v>0</v>
      </c>
      <c r="Y749" s="706">
        <v>0</v>
      </c>
      <c r="Z749" s="706">
        <v>0</v>
      </c>
      <c r="AA749" s="706">
        <v>0</v>
      </c>
      <c r="AB749" s="706">
        <v>0</v>
      </c>
      <c r="AC749" s="706">
        <v>0</v>
      </c>
      <c r="AD749" s="706">
        <v>2</v>
      </c>
      <c r="AE749" s="706">
        <v>24</v>
      </c>
      <c r="AF749" s="706">
        <v>0</v>
      </c>
      <c r="AG749" s="706">
        <v>0</v>
      </c>
      <c r="AH749" s="706">
        <v>0</v>
      </c>
      <c r="AI749" s="706">
        <v>0</v>
      </c>
      <c r="AJ749" s="905" t="str">
        <f t="shared" si="74"/>
        <v>G46305</v>
      </c>
      <c r="AK749" s="905" t="str">
        <f t="shared" si="75"/>
        <v>VTE ESTHETIQUE INTERNE</v>
      </c>
      <c r="AL749" s="905">
        <f>IFERROR(INDEX(G749:R749,1,MATCH(Parametres!$B$3,G$1:R$1,0)-1)*IF(OR(F749="L",F749="S",F749="I"),-1,1),"")</f>
        <v>0</v>
      </c>
      <c r="AM749" s="905">
        <f t="shared" si="76"/>
        <v>0</v>
      </c>
      <c r="AN749" s="905">
        <f>INDEX(G749:R749,1,MATCH(Parametres!$B$3,G$1:R$1,0))*IF(OR(F749="L",F749="S",F749="I"),-1,1)</f>
        <v>0</v>
      </c>
      <c r="AO749" s="487" t="e">
        <f>+VLOOKUP($AJ749,Data_Validation!$A:$D,1,0)</f>
        <v>#N/A</v>
      </c>
      <c r="AP749" s="487" t="e">
        <f>+VLOOKUP($AJ749,Data_Validation!$A:$D,3,0)</f>
        <v>#N/A</v>
      </c>
      <c r="AQ749" s="487" t="e">
        <f>+VLOOKUP($AJ749,Data_Validation!$A:$D,4,0)</f>
        <v>#N/A</v>
      </c>
      <c r="AR749" s="487" t="s">
        <v>299</v>
      </c>
      <c r="AS749" s="487" t="e">
        <f>+VLOOKUP($AJ749,Data_Validation!$A:$E,5,0)</f>
        <v>#N/A</v>
      </c>
      <c r="AT749" s="904" t="str">
        <f t="shared" si="77"/>
        <v>G46305</v>
      </c>
      <c r="AU749" s="488" t="str">
        <f t="shared" si="78"/>
        <v>VTE ESTHETIQUE INTERNE</v>
      </c>
      <c r="AV749" s="899">
        <f>IFERROR(INDEX(V749:AG749,1,MATCH(Parametres!$B$3,V$1:AG$1,0)-1)*IF(OR(C749="L",C749="S",C749="I"),-1,1),"")</f>
        <v>0</v>
      </c>
      <c r="AW749" s="899">
        <f t="shared" si="79"/>
        <v>2</v>
      </c>
      <c r="AX749" s="899">
        <f>INDEX(V749:AG749,1,MATCH(Parametres!$B$3,V$1:AG$1,0))*IF(OR(C749="L",C749="S",C749="I"),-1,1)</f>
        <v>2</v>
      </c>
      <c r="AY749" s="487" t="s">
        <v>337</v>
      </c>
      <c r="AZ749" s="487" t="e">
        <f>+VLOOKUP($AJ749,Data_Validation!$A:$E,5,0)</f>
        <v>#N/A</v>
      </c>
    </row>
    <row r="750" spans="1:52" ht="15" hidden="1" customHeight="1">
      <c r="A750" s="706" t="s">
        <v>1148</v>
      </c>
      <c r="B750" s="706">
        <v>2026</v>
      </c>
      <c r="C750" s="706" t="s">
        <v>2460</v>
      </c>
      <c r="D750" s="706" t="s">
        <v>3360</v>
      </c>
      <c r="E750" s="706" t="s">
        <v>1151</v>
      </c>
      <c r="F750" s="706" t="s">
        <v>1149</v>
      </c>
      <c r="G750" s="706">
        <v>1950</v>
      </c>
      <c r="H750" s="706">
        <v>2250</v>
      </c>
      <c r="I750" s="706">
        <v>2550</v>
      </c>
      <c r="J750" s="706">
        <v>2700</v>
      </c>
      <c r="K750" s="706">
        <v>3090</v>
      </c>
      <c r="L750" s="706">
        <v>3090</v>
      </c>
      <c r="M750" s="706">
        <v>3720.5</v>
      </c>
      <c r="N750" s="706">
        <v>4470.5</v>
      </c>
      <c r="O750" s="706">
        <v>4470.5</v>
      </c>
      <c r="P750" s="706">
        <v>4470.5</v>
      </c>
      <c r="Q750" s="706">
        <v>0</v>
      </c>
      <c r="R750" s="706">
        <v>0</v>
      </c>
      <c r="S750" s="706">
        <v>496.72</v>
      </c>
      <c r="T750" s="706">
        <v>496.72</v>
      </c>
      <c r="U750" s="706">
        <v>0</v>
      </c>
      <c r="V750" s="706">
        <v>13</v>
      </c>
      <c r="W750" s="706">
        <v>15</v>
      </c>
      <c r="X750" s="706">
        <v>17</v>
      </c>
      <c r="Y750" s="706">
        <v>18</v>
      </c>
      <c r="Z750" s="706">
        <v>21</v>
      </c>
      <c r="AA750" s="706">
        <v>21</v>
      </c>
      <c r="AB750" s="706">
        <v>26</v>
      </c>
      <c r="AC750" s="706">
        <v>31</v>
      </c>
      <c r="AD750" s="706">
        <v>31</v>
      </c>
      <c r="AE750" s="706">
        <v>31</v>
      </c>
      <c r="AF750" s="706">
        <v>0</v>
      </c>
      <c r="AG750" s="706">
        <v>0</v>
      </c>
      <c r="AH750" s="706">
        <v>3</v>
      </c>
      <c r="AI750" s="706">
        <v>3</v>
      </c>
      <c r="AJ750" s="905" t="str">
        <f t="shared" si="74"/>
        <v>G46320</v>
      </c>
      <c r="AK750" s="905" t="str">
        <f t="shared" si="75"/>
        <v>VTES-MO INTERN S.A.A.Q.</v>
      </c>
      <c r="AL750" s="905">
        <f>IFERROR(INDEX(G750:R750,1,MATCH(Parametres!$B$3,G$1:R$1,0)-1)*IF(OR(F750="L",F750="S",F750="I"),-1,1),"")</f>
        <v>-4470.5</v>
      </c>
      <c r="AM750" s="905">
        <f t="shared" si="76"/>
        <v>0</v>
      </c>
      <c r="AN750" s="905">
        <f>INDEX(G750:R750,1,MATCH(Parametres!$B$3,G$1:R$1,0))*IF(OR(F750="L",F750="S",F750="I"),-1,1)</f>
        <v>-4470.5</v>
      </c>
      <c r="AO750" s="487" t="str">
        <f>+VLOOKUP($AJ750,Data_Validation!$A:$D,1,0)</f>
        <v>G46320</v>
      </c>
      <c r="AP750" s="487" t="str">
        <f>+VLOOKUP($AJ750,Data_Validation!$A:$D,3,0)</f>
        <v>SAAQ</v>
      </c>
      <c r="AQ750" s="487" t="str">
        <f>+VLOOKUP($AJ750,Data_Validation!$A:$D,4,0)</f>
        <v>Inspection - Véhicules Interne</v>
      </c>
      <c r="AR750" s="487" t="s">
        <v>299</v>
      </c>
      <c r="AS750" s="487" t="str">
        <f>+VLOOKUP($AJ750,Data_Validation!$A:$E,5,0)</f>
        <v>Oui</v>
      </c>
      <c r="AT750" s="904" t="str">
        <f t="shared" si="77"/>
        <v>G46320</v>
      </c>
      <c r="AU750" s="488" t="str">
        <f t="shared" si="78"/>
        <v>VTES-MO INTERN S.A.A.Q.</v>
      </c>
      <c r="AV750" s="899">
        <f>IFERROR(INDEX(V750:AG750,1,MATCH(Parametres!$B$3,V$1:AG$1,0)-1)*IF(OR(C750="L",C750="S",C750="I"),-1,1),"")</f>
        <v>31</v>
      </c>
      <c r="AW750" s="899">
        <f t="shared" si="79"/>
        <v>0</v>
      </c>
      <c r="AX750" s="899">
        <f>INDEX(V750:AG750,1,MATCH(Parametres!$B$3,V$1:AG$1,0))*IF(OR(C750="L",C750="S",C750="I"),-1,1)</f>
        <v>31</v>
      </c>
      <c r="AY750" s="487" t="s">
        <v>337</v>
      </c>
      <c r="AZ750" s="487" t="str">
        <f>+VLOOKUP($AJ750,Data_Validation!$A:$E,5,0)</f>
        <v>Oui</v>
      </c>
    </row>
    <row r="751" spans="1:52" ht="15" hidden="1" customHeight="1">
      <c r="A751" s="706" t="s">
        <v>1148</v>
      </c>
      <c r="B751" s="706">
        <v>2026</v>
      </c>
      <c r="C751" s="706" t="s">
        <v>2462</v>
      </c>
      <c r="D751" s="706" t="s">
        <v>2463</v>
      </c>
      <c r="E751" s="706" t="s">
        <v>1151</v>
      </c>
      <c r="F751" s="706" t="s">
        <v>1149</v>
      </c>
      <c r="G751" s="706">
        <v>22291</v>
      </c>
      <c r="H751" s="706">
        <v>51476.32</v>
      </c>
      <c r="I751" s="706">
        <v>93858.59</v>
      </c>
      <c r="J751" s="706">
        <v>115408.32000000001</v>
      </c>
      <c r="K751" s="706">
        <v>135246.35999999999</v>
      </c>
      <c r="L751" s="706">
        <v>156298.54</v>
      </c>
      <c r="M751" s="706">
        <v>171043.12</v>
      </c>
      <c r="N751" s="706">
        <v>190097.4</v>
      </c>
      <c r="O751" s="706">
        <v>210572.49</v>
      </c>
      <c r="P751" s="706">
        <v>212179.8</v>
      </c>
      <c r="Q751" s="706">
        <v>0</v>
      </c>
      <c r="R751" s="706">
        <v>0</v>
      </c>
      <c r="S751" s="706">
        <v>23396.94</v>
      </c>
      <c r="T751" s="706">
        <v>23396.94</v>
      </c>
      <c r="U751" s="706">
        <v>0</v>
      </c>
      <c r="V751" s="706">
        <v>149</v>
      </c>
      <c r="W751" s="706">
        <v>337</v>
      </c>
      <c r="X751" s="706">
        <v>620</v>
      </c>
      <c r="Y751" s="706">
        <v>762</v>
      </c>
      <c r="Z751" s="706">
        <v>894</v>
      </c>
      <c r="AA751" s="706">
        <v>1036</v>
      </c>
      <c r="AB751" s="706">
        <v>1136</v>
      </c>
      <c r="AC751" s="706">
        <v>1271</v>
      </c>
      <c r="AD751" s="706">
        <v>1401</v>
      </c>
      <c r="AE751" s="706">
        <v>1411</v>
      </c>
      <c r="AF751" s="706">
        <v>0</v>
      </c>
      <c r="AG751" s="706">
        <v>0</v>
      </c>
      <c r="AH751" s="706">
        <v>156</v>
      </c>
      <c r="AI751" s="706">
        <v>156</v>
      </c>
      <c r="AJ751" s="905" t="str">
        <f t="shared" si="74"/>
        <v>G46400</v>
      </c>
      <c r="AK751" s="905" t="str">
        <f t="shared" si="75"/>
        <v>VTES-M.D. INSPECTION</v>
      </c>
      <c r="AL751" s="905">
        <f>IFERROR(INDEX(G751:R751,1,MATCH(Parametres!$B$3,G$1:R$1,0)-1)*IF(OR(F751="L",F751="S",F751="I"),-1,1),"")</f>
        <v>-190097.4</v>
      </c>
      <c r="AM751" s="905">
        <f t="shared" si="76"/>
        <v>-20475.089999999997</v>
      </c>
      <c r="AN751" s="905">
        <f>INDEX(G751:R751,1,MATCH(Parametres!$B$3,G$1:R$1,0))*IF(OR(F751="L",F751="S",F751="I"),-1,1)</f>
        <v>-210572.49</v>
      </c>
      <c r="AO751" s="487" t="str">
        <f>+VLOOKUP($AJ751,Data_Validation!$A:$D,1,0)</f>
        <v>G46400</v>
      </c>
      <c r="AP751" s="487" t="str">
        <f>+VLOOKUP($AJ751,Data_Validation!$A:$D,3,0)</f>
        <v>Service</v>
      </c>
      <c r="AQ751" s="487" t="str">
        <f>+VLOOKUP($AJ751,Data_Validation!$A:$D,4,0)</f>
        <v>M/O Interne</v>
      </c>
      <c r="AR751" s="487" t="s">
        <v>299</v>
      </c>
      <c r="AS751" s="487" t="str">
        <f>+VLOOKUP($AJ751,Data_Validation!$A:$E,5,0)</f>
        <v>Oui</v>
      </c>
      <c r="AT751" s="904" t="str">
        <f t="shared" si="77"/>
        <v>G46400</v>
      </c>
      <c r="AU751" s="488" t="str">
        <f t="shared" si="78"/>
        <v>VTES-M.D. INSPECTION</v>
      </c>
      <c r="AV751" s="899">
        <f>IFERROR(INDEX(V751:AG751,1,MATCH(Parametres!$B$3,V$1:AG$1,0)-1)*IF(OR(C751="L",C751="S",C751="I"),-1,1),"")</f>
        <v>1271</v>
      </c>
      <c r="AW751" s="899">
        <f t="shared" si="79"/>
        <v>130</v>
      </c>
      <c r="AX751" s="899">
        <f>INDEX(V751:AG751,1,MATCH(Parametres!$B$3,V$1:AG$1,0))*IF(OR(C751="L",C751="S",C751="I"),-1,1)</f>
        <v>1401</v>
      </c>
      <c r="AY751" s="487" t="s">
        <v>337</v>
      </c>
      <c r="AZ751" s="487" t="str">
        <f>+VLOOKUP($AJ751,Data_Validation!$A:$E,5,0)</f>
        <v>Oui</v>
      </c>
    </row>
    <row r="752" spans="1:52" ht="15" hidden="1" customHeight="1">
      <c r="A752" s="706" t="s">
        <v>1148</v>
      </c>
      <c r="B752" s="706">
        <v>2026</v>
      </c>
      <c r="C752" s="706" t="s">
        <v>2464</v>
      </c>
      <c r="D752" s="706" t="s">
        <v>2465</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G46420</v>
      </c>
      <c r="AK752" s="905" t="str">
        <f t="shared" si="75"/>
        <v>VTES-MO PDI CAM MOYEN</v>
      </c>
      <c r="AL752" s="905">
        <f>IFERROR(INDEX(G752:R752,1,MATCH(Parametres!$B$3,G$1:R$1,0)-1)*IF(OR(F752="L",F752="S",F752="I"),-1,1),"")</f>
        <v>0</v>
      </c>
      <c r="AM752" s="905">
        <f t="shared" si="76"/>
        <v>0</v>
      </c>
      <c r="AN752" s="905">
        <f>INDEX(G752:R752,1,MATCH(Parametres!$B$3,G$1:R$1,0))*IF(OR(F752="L",F752="S",F752="I"),-1,1)</f>
        <v>0</v>
      </c>
      <c r="AO752" s="487" t="e">
        <f>+VLOOKUP($AJ752,Data_Validation!$A:$D,1,0)</f>
        <v>#N/A</v>
      </c>
      <c r="AP752" s="487" t="e">
        <f>+VLOOKUP($AJ752,Data_Validation!$A:$D,3,0)</f>
        <v>#N/A</v>
      </c>
      <c r="AQ752" s="487" t="e">
        <f>+VLOOKUP($AJ752,Data_Validation!$A:$D,4,0)</f>
        <v>#N/A</v>
      </c>
      <c r="AR752" s="487" t="s">
        <v>299</v>
      </c>
      <c r="AS752" s="487" t="e">
        <f>+VLOOKUP($AJ752,Data_Validation!$A:$E,5,0)</f>
        <v>#N/A</v>
      </c>
      <c r="AT752" s="904" t="str">
        <f t="shared" si="77"/>
        <v>G46420</v>
      </c>
      <c r="AU752" s="488" t="str">
        <f t="shared" si="78"/>
        <v>VTES-MO PDI CAM MOYEN</v>
      </c>
      <c r="AV752" s="899">
        <f>IFERROR(INDEX(V752:AG752,1,MATCH(Parametres!$B$3,V$1:AG$1,0)-1)*IF(OR(C752="L",C752="S",C752="I"),-1,1),"")</f>
        <v>0</v>
      </c>
      <c r="AW752" s="899">
        <f t="shared" si="79"/>
        <v>0</v>
      </c>
      <c r="AX752" s="899">
        <f>INDEX(V752:AG752,1,MATCH(Parametres!$B$3,V$1:AG$1,0))*IF(OR(C752="L",C752="S",C752="I"),-1,1)</f>
        <v>0</v>
      </c>
      <c r="AY752" s="487" t="s">
        <v>337</v>
      </c>
      <c r="AZ752" s="487" t="e">
        <f>+VLOOKUP($AJ752,Data_Validation!$A:$E,5,0)</f>
        <v>#N/A</v>
      </c>
    </row>
    <row r="753" spans="1:52" ht="15" hidden="1" customHeight="1">
      <c r="A753" s="706" t="s">
        <v>1148</v>
      </c>
      <c r="B753" s="706">
        <v>2026</v>
      </c>
      <c r="C753" s="706" t="s">
        <v>2466</v>
      </c>
      <c r="D753" s="706" t="s">
        <v>2467</v>
      </c>
      <c r="E753" s="706" t="s">
        <v>333</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G46500</v>
      </c>
      <c r="AK753" s="905" t="str">
        <f t="shared" si="75"/>
        <v>*TEMPS PERDU SERVICE</v>
      </c>
      <c r="AL753" s="905">
        <f>IFERROR(INDEX(G753:R753,1,MATCH(Parametres!$B$3,G$1:R$1,0)-1)*IF(OR(F753="L",F753="S",F753="I"),-1,1),"")</f>
        <v>0</v>
      </c>
      <c r="AM753" s="905">
        <f t="shared" si="76"/>
        <v>0</v>
      </c>
      <c r="AN753" s="905">
        <f>INDEX(G753:R753,1,MATCH(Parametres!$B$3,G$1:R$1,0))*IF(OR(F753="L",F753="S",F753="I"),-1,1)</f>
        <v>0</v>
      </c>
      <c r="AO753" s="487" t="str">
        <f>+VLOOKUP($AJ753,Data_Validation!$A:$D,1,0)</f>
        <v>G46500</v>
      </c>
      <c r="AP753" s="487">
        <f>+VLOOKUP($AJ753,Data_Validation!$A:$D,3,0)</f>
        <v>0</v>
      </c>
      <c r="AQ753" s="487">
        <f>+VLOOKUP($AJ753,Data_Validation!$A:$D,4,0)</f>
        <v>0</v>
      </c>
      <c r="AR753" s="487" t="s">
        <v>299</v>
      </c>
      <c r="AS753" s="487">
        <f>+VLOOKUP($AJ753,Data_Validation!$A:$E,5,0)</f>
        <v>0</v>
      </c>
      <c r="AT753" s="904" t="str">
        <f t="shared" si="77"/>
        <v>G46500</v>
      </c>
      <c r="AU753" s="488" t="str">
        <f t="shared" si="78"/>
        <v>*TEMPS PERDU SERVICE</v>
      </c>
      <c r="AV753" s="899">
        <f>IFERROR(INDEX(V753:AG753,1,MATCH(Parametres!$B$3,V$1:AG$1,0)-1)*IF(OR(C753="L",C753="S",C753="I"),-1,1),"")</f>
        <v>0</v>
      </c>
      <c r="AW753" s="899">
        <f t="shared" si="79"/>
        <v>0</v>
      </c>
      <c r="AX753" s="899">
        <f>INDEX(V753:AG753,1,MATCH(Parametres!$B$3,V$1:AG$1,0))*IF(OR(C753="L",C753="S",C753="I"),-1,1)</f>
        <v>0</v>
      </c>
      <c r="AY753" s="487" t="s">
        <v>337</v>
      </c>
      <c r="AZ753" s="487">
        <f>+VLOOKUP($AJ753,Data_Validation!$A:$E,5,0)</f>
        <v>0</v>
      </c>
    </row>
    <row r="754" spans="1:52" ht="15" hidden="1" customHeight="1">
      <c r="A754" s="706" t="s">
        <v>1148</v>
      </c>
      <c r="B754" s="706">
        <v>2026</v>
      </c>
      <c r="C754" s="706" t="s">
        <v>3361</v>
      </c>
      <c r="D754" s="706" t="s">
        <v>3362</v>
      </c>
      <c r="E754" s="706" t="s">
        <v>333</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G46507</v>
      </c>
      <c r="AK754" s="905" t="str">
        <f t="shared" si="75"/>
        <v>*TEMPS PERDU SAAQ</v>
      </c>
      <c r="AL754" s="905">
        <f>IFERROR(INDEX(G754:R754,1,MATCH(Parametres!$B$3,G$1:R$1,0)-1)*IF(OR(F754="L",F754="S",F754="I"),-1,1),"")</f>
        <v>0</v>
      </c>
      <c r="AM754" s="905">
        <f t="shared" si="76"/>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77"/>
        <v>G46507</v>
      </c>
      <c r="AU754" s="488" t="str">
        <f t="shared" si="78"/>
        <v>*TEMPS PERDU SAAQ</v>
      </c>
      <c r="AV754" s="899">
        <f>IFERROR(INDEX(V754:AG754,1,MATCH(Parametres!$B$3,V$1:AG$1,0)-1)*IF(OR(C754="L",C754="S",C754="I"),-1,1),"")</f>
        <v>0</v>
      </c>
      <c r="AW754" s="899">
        <f t="shared" si="79"/>
        <v>0</v>
      </c>
      <c r="AX754" s="899">
        <f>INDEX(V754:AG754,1,MATCH(Parametres!$B$3,V$1:AG$1,0))*IF(OR(C754="L",C754="S",C754="I"),-1,1)</f>
        <v>0</v>
      </c>
      <c r="AY754" s="487" t="s">
        <v>337</v>
      </c>
      <c r="AZ754" s="487" t="e">
        <f>+VLOOKUP($AJ754,Data_Validation!$A:$E,5,0)</f>
        <v>#N/A</v>
      </c>
    </row>
    <row r="755" spans="1:52" ht="15" hidden="1" customHeight="1">
      <c r="A755" s="706" t="s">
        <v>1148</v>
      </c>
      <c r="B755" s="706">
        <v>2026</v>
      </c>
      <c r="C755" s="706" t="s">
        <v>2468</v>
      </c>
      <c r="D755" s="706" t="s">
        <v>2469</v>
      </c>
      <c r="E755" s="706" t="s">
        <v>1151</v>
      </c>
      <c r="F755" s="706" t="s">
        <v>1149</v>
      </c>
      <c r="G755" s="706">
        <v>4849.09</v>
      </c>
      <c r="H755" s="706">
        <v>20619.18</v>
      </c>
      <c r="I755" s="706">
        <v>38598.06</v>
      </c>
      <c r="J755" s="706">
        <v>48780.08</v>
      </c>
      <c r="K755" s="706">
        <v>63022.97</v>
      </c>
      <c r="L755" s="706">
        <v>74558.77</v>
      </c>
      <c r="M755" s="706">
        <v>84699.56</v>
      </c>
      <c r="N755" s="706">
        <v>101547.02</v>
      </c>
      <c r="O755" s="706">
        <v>111933.48</v>
      </c>
      <c r="P755" s="706">
        <v>113843.48</v>
      </c>
      <c r="Q755" s="706">
        <v>0</v>
      </c>
      <c r="R755" s="706">
        <v>0</v>
      </c>
      <c r="S755" s="706">
        <v>12437.05</v>
      </c>
      <c r="T755" s="706">
        <v>12437.05</v>
      </c>
      <c r="U755" s="706">
        <v>0</v>
      </c>
      <c r="V755" s="706">
        <v>19</v>
      </c>
      <c r="W755" s="706">
        <v>56</v>
      </c>
      <c r="X755" s="706">
        <v>90</v>
      </c>
      <c r="Y755" s="706">
        <v>127</v>
      </c>
      <c r="Z755" s="706">
        <v>168</v>
      </c>
      <c r="AA755" s="706">
        <v>207</v>
      </c>
      <c r="AB755" s="706">
        <v>241</v>
      </c>
      <c r="AC755" s="706">
        <v>273</v>
      </c>
      <c r="AD755" s="706">
        <v>305</v>
      </c>
      <c r="AE755" s="706">
        <v>314</v>
      </c>
      <c r="AF755" s="706">
        <v>0</v>
      </c>
      <c r="AG755" s="706">
        <v>0</v>
      </c>
      <c r="AH755" s="706">
        <v>34</v>
      </c>
      <c r="AI755" s="706">
        <v>34</v>
      </c>
      <c r="AJ755" s="905" t="str">
        <f t="shared" si="74"/>
        <v>G46600</v>
      </c>
      <c r="AK755" s="905" t="str">
        <f t="shared" si="75"/>
        <v>VTES-REPARAT.SOUS-TRAITES</v>
      </c>
      <c r="AL755" s="905">
        <f>IFERROR(INDEX(G755:R755,1,MATCH(Parametres!$B$3,G$1:R$1,0)-1)*IF(OR(F755="L",F755="S",F755="I"),-1,1),"")</f>
        <v>-101547.02</v>
      </c>
      <c r="AM755" s="905">
        <f t="shared" si="76"/>
        <v>-10386.459999999992</v>
      </c>
      <c r="AN755" s="905">
        <f>INDEX(G755:R755,1,MATCH(Parametres!$B$3,G$1:R$1,0))*IF(OR(F755="L",F755="S",F755="I"),-1,1)</f>
        <v>-111933.48</v>
      </c>
      <c r="AO755" s="487" t="str">
        <f>+VLOOKUP($AJ755,Data_Validation!$A:$D,1,0)</f>
        <v>G46600</v>
      </c>
      <c r="AP755" s="487" t="str">
        <f>+VLOOKUP($AJ755,Data_Validation!$A:$D,3,0)</f>
        <v>Service</v>
      </c>
      <c r="AQ755" s="487" t="str">
        <f>+VLOOKUP($AJ755,Data_Validation!$A:$D,4,0)</f>
        <v>Sous-traitement</v>
      </c>
      <c r="AR755" s="487" t="s">
        <v>299</v>
      </c>
      <c r="AS755" s="487" t="str">
        <f>+VLOOKUP($AJ755,Data_Validation!$A:$E,5,0)</f>
        <v>Oui</v>
      </c>
      <c r="AT755" s="904" t="str">
        <f t="shared" si="77"/>
        <v>G46600</v>
      </c>
      <c r="AU755" s="488" t="str">
        <f t="shared" si="78"/>
        <v>VTES-REPARAT.SOUS-TRAITES</v>
      </c>
      <c r="AV755" s="899">
        <f>IFERROR(INDEX(V755:AG755,1,MATCH(Parametres!$B$3,V$1:AG$1,0)-1)*IF(OR(C755="L",C755="S",C755="I"),-1,1),"")</f>
        <v>273</v>
      </c>
      <c r="AW755" s="899">
        <f t="shared" si="79"/>
        <v>32</v>
      </c>
      <c r="AX755" s="899">
        <f>INDEX(V755:AG755,1,MATCH(Parametres!$B$3,V$1:AG$1,0))*IF(OR(C755="L",C755="S",C755="I"),-1,1)</f>
        <v>305</v>
      </c>
      <c r="AY755" s="487" t="s">
        <v>337</v>
      </c>
      <c r="AZ755" s="487" t="str">
        <f>+VLOOKUP($AJ755,Data_Validation!$A:$E,5,0)</f>
        <v>Oui</v>
      </c>
    </row>
    <row r="756" spans="1:52" ht="15" hidden="1" customHeight="1">
      <c r="A756" s="706" t="s">
        <v>1148</v>
      </c>
      <c r="B756" s="706">
        <v>2026</v>
      </c>
      <c r="C756" s="706" t="s">
        <v>2470</v>
      </c>
      <c r="D756" s="706" t="s">
        <v>3134</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G46610</v>
      </c>
      <c r="AK756" s="905" t="str">
        <f t="shared" si="75"/>
        <v>VTES-SOUS-TRAITANCE SAAQ</v>
      </c>
      <c r="AL756" s="905">
        <f>IFERROR(INDEX(G756:R756,1,MATCH(Parametres!$B$3,G$1:R$1,0)-1)*IF(OR(F756="L",F756="S",F756="I"),-1,1),"")</f>
        <v>0</v>
      </c>
      <c r="AM756" s="905">
        <f t="shared" si="76"/>
        <v>0</v>
      </c>
      <c r="AN756" s="905">
        <f>INDEX(G756:R756,1,MATCH(Parametres!$B$3,G$1:R$1,0))*IF(OR(F756="L",F756="S",F756="I"),-1,1)</f>
        <v>0</v>
      </c>
      <c r="AO756" s="487" t="str">
        <f>+VLOOKUP($AJ756,Data_Validation!$A:$D,1,0)</f>
        <v>G46610</v>
      </c>
      <c r="AP756" s="487" t="str">
        <f>+VLOOKUP($AJ756,Data_Validation!$A:$D,3,0)</f>
        <v>SAAQ</v>
      </c>
      <c r="AQ756" s="487" t="str">
        <f>+VLOOKUP($AJ756,Data_Validation!$A:$D,4,0)</f>
        <v>Inspection - Véhicules Interne</v>
      </c>
      <c r="AR756" s="487" t="s">
        <v>299</v>
      </c>
      <c r="AS756" s="487" t="str">
        <f>+VLOOKUP($AJ756,Data_Validation!$A:$E,5,0)</f>
        <v>Oui</v>
      </c>
      <c r="AT756" s="904" t="str">
        <f t="shared" si="77"/>
        <v>G46610</v>
      </c>
      <c r="AU756" s="488" t="str">
        <f t="shared" si="78"/>
        <v>VTES-SOUS-TRAITANCE SAAQ</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hidden="1" customHeight="1">
      <c r="A757" s="706" t="s">
        <v>1148</v>
      </c>
      <c r="B757" s="706">
        <v>2026</v>
      </c>
      <c r="C757" s="706" t="s">
        <v>2472</v>
      </c>
      <c r="D757" s="706" t="s">
        <v>2473</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G46611</v>
      </c>
      <c r="AK757" s="905" t="str">
        <f t="shared" si="75"/>
        <v>SUPER VITRE VENTE SUBLET</v>
      </c>
      <c r="AL757" s="905">
        <f>IFERROR(INDEX(G757:R757,1,MATCH(Parametres!$B$3,G$1:R$1,0)-1)*IF(OR(F757="L",F757="S",F757="I"),-1,1),"")</f>
        <v>0</v>
      </c>
      <c r="AM757" s="905">
        <f t="shared" si="76"/>
        <v>0</v>
      </c>
      <c r="AN757" s="905">
        <f>INDEX(G757:R757,1,MATCH(Parametres!$B$3,G$1:R$1,0))*IF(OR(F757="L",F757="S",F757="I"),-1,1)</f>
        <v>0</v>
      </c>
      <c r="AO757" s="487" t="e">
        <f>+VLOOKUP($AJ757,Data_Validation!$A:$D,1,0)</f>
        <v>#N/A</v>
      </c>
      <c r="AP757" s="487" t="e">
        <f>+VLOOKUP($AJ757,Data_Validation!$A:$D,3,0)</f>
        <v>#N/A</v>
      </c>
      <c r="AQ757" s="487" t="e">
        <f>+VLOOKUP($AJ757,Data_Validation!$A:$D,4,0)</f>
        <v>#N/A</v>
      </c>
      <c r="AR757" s="487" t="s">
        <v>299</v>
      </c>
      <c r="AS757" s="487" t="e">
        <f>+VLOOKUP($AJ757,Data_Validation!$A:$E,5,0)</f>
        <v>#N/A</v>
      </c>
      <c r="AT757" s="904" t="str">
        <f t="shared" si="77"/>
        <v>G46611</v>
      </c>
      <c r="AU757" s="488" t="str">
        <f t="shared" si="78"/>
        <v>SUPER VITRE VENTE SUBLET</v>
      </c>
      <c r="AV757" s="899">
        <f>IFERROR(INDEX(V757:AG757,1,MATCH(Parametres!$B$3,V$1:AG$1,0)-1)*IF(OR(C757="L",C757="S",C757="I"),-1,1),"")</f>
        <v>0</v>
      </c>
      <c r="AW757" s="899">
        <f t="shared" si="79"/>
        <v>0</v>
      </c>
      <c r="AX757" s="899">
        <f>INDEX(V757:AG757,1,MATCH(Parametres!$B$3,V$1:AG$1,0))*IF(OR(C757="L",C757="S",C757="I"),-1,1)</f>
        <v>0</v>
      </c>
      <c r="AY757" s="487" t="s">
        <v>337</v>
      </c>
      <c r="AZ757" s="487" t="e">
        <f>+VLOOKUP($AJ757,Data_Validation!$A:$E,5,0)</f>
        <v>#N/A</v>
      </c>
    </row>
    <row r="758" spans="1:52" ht="15" hidden="1" customHeight="1">
      <c r="A758" s="706" t="s">
        <v>1148</v>
      </c>
      <c r="B758" s="706">
        <v>2026</v>
      </c>
      <c r="C758" s="706" t="s">
        <v>2474</v>
      </c>
      <c r="D758" s="706" t="s">
        <v>2475</v>
      </c>
      <c r="E758" s="706" t="s">
        <v>1151</v>
      </c>
      <c r="F758" s="706" t="s">
        <v>1149</v>
      </c>
      <c r="G758" s="706">
        <v>41978.81</v>
      </c>
      <c r="H758" s="706">
        <v>103633.08</v>
      </c>
      <c r="I758" s="706">
        <v>149530.79</v>
      </c>
      <c r="J758" s="706">
        <v>192371.79</v>
      </c>
      <c r="K758" s="706">
        <v>220602.06</v>
      </c>
      <c r="L758" s="706">
        <v>281495.37</v>
      </c>
      <c r="M758" s="706">
        <v>333679.74</v>
      </c>
      <c r="N758" s="706">
        <v>383287.53</v>
      </c>
      <c r="O758" s="706">
        <v>443132.08</v>
      </c>
      <c r="P758" s="706">
        <v>453043.77</v>
      </c>
      <c r="Q758" s="706">
        <v>0</v>
      </c>
      <c r="R758" s="706">
        <v>0</v>
      </c>
      <c r="S758" s="706">
        <v>49236.9</v>
      </c>
      <c r="T758" s="706">
        <v>49236.9</v>
      </c>
      <c r="U758" s="706">
        <v>0</v>
      </c>
      <c r="V758" s="706">
        <v>130</v>
      </c>
      <c r="W758" s="706">
        <v>275</v>
      </c>
      <c r="X758" s="706">
        <v>447</v>
      </c>
      <c r="Y758" s="706">
        <v>646</v>
      </c>
      <c r="Z758" s="706">
        <v>805</v>
      </c>
      <c r="AA758" s="706">
        <v>971</v>
      </c>
      <c r="AB758" s="706">
        <v>1145</v>
      </c>
      <c r="AC758" s="706">
        <v>1283</v>
      </c>
      <c r="AD758" s="706">
        <v>1447</v>
      </c>
      <c r="AE758" s="706">
        <v>1466</v>
      </c>
      <c r="AF758" s="706">
        <v>0</v>
      </c>
      <c r="AG758" s="706">
        <v>0</v>
      </c>
      <c r="AH758" s="706">
        <v>161</v>
      </c>
      <c r="AI758" s="706">
        <v>161</v>
      </c>
      <c r="AJ758" s="905" t="str">
        <f t="shared" si="74"/>
        <v>G46710</v>
      </c>
      <c r="AK758" s="905" t="str">
        <f t="shared" si="75"/>
        <v>VTES PI SERV.VOIT&amp;CAM LEG</v>
      </c>
      <c r="AL758" s="905">
        <f>IFERROR(INDEX(G758:R758,1,MATCH(Parametres!$B$3,G$1:R$1,0)-1)*IF(OR(F758="L",F758="S",F758="I"),-1,1),"")</f>
        <v>-383287.53</v>
      </c>
      <c r="AM758" s="905">
        <f t="shared" si="76"/>
        <v>-59844.549999999988</v>
      </c>
      <c r="AN758" s="905">
        <f>INDEX(G758:R758,1,MATCH(Parametres!$B$3,G$1:R$1,0))*IF(OR(F758="L",F758="S",F758="I"),-1,1)</f>
        <v>-443132.08</v>
      </c>
      <c r="AO758" s="487" t="str">
        <f>+VLOOKUP($AJ758,Data_Validation!$A:$D,1,0)</f>
        <v>G46710</v>
      </c>
      <c r="AP758" s="487" t="str">
        <f>+VLOOKUP($AJ758,Data_Validation!$A:$D,3,0)</f>
        <v>Pièces</v>
      </c>
      <c r="AQ758" s="487" t="str">
        <f>+VLOOKUP($AJ758,Data_Validation!$A:$D,4,0)</f>
        <v>Pièces Ro Clients</v>
      </c>
      <c r="AR758" s="487" t="s">
        <v>299</v>
      </c>
      <c r="AS758" s="487" t="str">
        <f>+VLOOKUP($AJ758,Data_Validation!$A:$E,5,0)</f>
        <v>Oui</v>
      </c>
      <c r="AT758" s="904" t="str">
        <f t="shared" si="77"/>
        <v>G46710</v>
      </c>
      <c r="AU758" s="488" t="str">
        <f t="shared" si="78"/>
        <v>VTES PI SERV.VOIT&amp;CAM LEG</v>
      </c>
      <c r="AV758" s="899">
        <f>IFERROR(INDEX(V758:AG758,1,MATCH(Parametres!$B$3,V$1:AG$1,0)-1)*IF(OR(C758="L",C758="S",C758="I"),-1,1),"")</f>
        <v>1283</v>
      </c>
      <c r="AW758" s="899">
        <f t="shared" si="79"/>
        <v>164</v>
      </c>
      <c r="AX758" s="899">
        <f>INDEX(V758:AG758,1,MATCH(Parametres!$B$3,V$1:AG$1,0))*IF(OR(C758="L",C758="S",C758="I"),-1,1)</f>
        <v>1447</v>
      </c>
      <c r="AY758" s="487" t="s">
        <v>337</v>
      </c>
      <c r="AZ758" s="487" t="str">
        <f>+VLOOKUP($AJ758,Data_Validation!$A:$E,5,0)</f>
        <v>Oui</v>
      </c>
    </row>
    <row r="759" spans="1:52" ht="15" hidden="1" customHeight="1">
      <c r="A759" s="706" t="s">
        <v>1148</v>
      </c>
      <c r="B759" s="706">
        <v>2026</v>
      </c>
      <c r="C759" s="706" t="s">
        <v>2476</v>
      </c>
      <c r="D759" s="706" t="s">
        <v>2477</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G46720</v>
      </c>
      <c r="AK759" s="905" t="str">
        <f t="shared" si="75"/>
        <v>B.R PPC VOIT &amp; CAM LEG.</v>
      </c>
      <c r="AL759" s="905">
        <f>IFERROR(INDEX(G759:R759,1,MATCH(Parametres!$B$3,G$1:R$1,0)-1)*IF(OR(F759="L",F759="S",F759="I"),-1,1),"")</f>
        <v>0</v>
      </c>
      <c r="AM759" s="905">
        <f t="shared" si="76"/>
        <v>0</v>
      </c>
      <c r="AN759" s="905">
        <f>INDEX(G759:R759,1,MATCH(Parametres!$B$3,G$1:R$1,0))*IF(OR(F759="L",F759="S",F759="I"),-1,1)</f>
        <v>0</v>
      </c>
      <c r="AO759" s="487" t="str">
        <f>+VLOOKUP($AJ759,Data_Validation!$A:$D,1,0)</f>
        <v>G46720</v>
      </c>
      <c r="AP759" s="487" t="str">
        <f>+VLOOKUP($AJ759,Data_Validation!$A:$D,3,0)</f>
        <v>Pièces</v>
      </c>
      <c r="AQ759" s="487" t="str">
        <f>+VLOOKUP($AJ759,Data_Validation!$A:$D,4,0)</f>
        <v>Pièces Ro Clients</v>
      </c>
      <c r="AR759" s="487" t="s">
        <v>299</v>
      </c>
      <c r="AS759" s="487" t="str">
        <f>+VLOOKUP($AJ759,Data_Validation!$A:$E,5,0)</f>
        <v>Oui</v>
      </c>
      <c r="AT759" s="904" t="str">
        <f t="shared" si="77"/>
        <v>G46720</v>
      </c>
      <c r="AU759" s="488" t="str">
        <f t="shared" si="78"/>
        <v>B.R PPC VOIT &amp; CAM LEG.</v>
      </c>
      <c r="AV759" s="899">
        <f>IFERROR(INDEX(V759:AG759,1,MATCH(Parametres!$B$3,V$1:AG$1,0)-1)*IF(OR(C759="L",C759="S",C759="I"),-1,1),"")</f>
        <v>0</v>
      </c>
      <c r="AW759" s="899">
        <f t="shared" si="79"/>
        <v>0</v>
      </c>
      <c r="AX759" s="899">
        <f>INDEX(V759:AG759,1,MATCH(Parametres!$B$3,V$1:AG$1,0))*IF(OR(C759="L",C759="S",C759="I"),-1,1)</f>
        <v>0</v>
      </c>
      <c r="AY759" s="487" t="s">
        <v>337</v>
      </c>
      <c r="AZ759" s="487" t="str">
        <f>+VLOOKUP($AJ759,Data_Validation!$A:$E,5,0)</f>
        <v>Oui</v>
      </c>
    </row>
    <row r="760" spans="1:52" ht="15" hidden="1" customHeight="1">
      <c r="A760" s="706" t="s">
        <v>1148</v>
      </c>
      <c r="B760" s="706">
        <v>2026</v>
      </c>
      <c r="C760" s="706" t="s">
        <v>2478</v>
      </c>
      <c r="D760" s="706" t="s">
        <v>2479</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G46740</v>
      </c>
      <c r="AK760" s="905" t="str">
        <f t="shared" si="75"/>
        <v>SER.RAPIDE VOIT CAM LEG.</v>
      </c>
      <c r="AL760" s="905">
        <f>IFERROR(INDEX(G760:R760,1,MATCH(Parametres!$B$3,G$1:R$1,0)-1)*IF(OR(F760="L",F760="S",F760="I"),-1,1),"")</f>
        <v>0</v>
      </c>
      <c r="AM760" s="905">
        <f t="shared" si="76"/>
        <v>0</v>
      </c>
      <c r="AN760" s="905">
        <f>INDEX(G760:R760,1,MATCH(Parametres!$B$3,G$1:R$1,0))*IF(OR(F760="L",F760="S",F760="I"),-1,1)</f>
        <v>0</v>
      </c>
      <c r="AO760" s="487" t="str">
        <f>+VLOOKUP($AJ760,Data_Validation!$A:$D,1,0)</f>
        <v>G46740</v>
      </c>
      <c r="AP760" s="487">
        <f>+VLOOKUP($AJ760,Data_Validation!$A:$D,3,0)</f>
        <v>0</v>
      </c>
      <c r="AQ760" s="487">
        <f>+VLOOKUP($AJ760,Data_Validation!$A:$D,4,0)</f>
        <v>0</v>
      </c>
      <c r="AR760" s="487" t="s">
        <v>299</v>
      </c>
      <c r="AS760" s="487">
        <f>+VLOOKUP($AJ760,Data_Validation!$A:$E,5,0)</f>
        <v>0</v>
      </c>
      <c r="AT760" s="904" t="str">
        <f t="shared" si="77"/>
        <v>G46740</v>
      </c>
      <c r="AU760" s="488" t="str">
        <f t="shared" si="78"/>
        <v>SER.RAPIDE VOIT CAM LEG.</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hidden="1" customHeight="1">
      <c r="A761" s="706" t="s">
        <v>1148</v>
      </c>
      <c r="B761" s="706">
        <v>2026</v>
      </c>
      <c r="C761" s="706" t="s">
        <v>2480</v>
      </c>
      <c r="D761" s="706" t="s">
        <v>2481</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G46800</v>
      </c>
      <c r="AK761" s="905" t="str">
        <f t="shared" si="75"/>
        <v>VTES-PCE CLIENT CAM MOYEN</v>
      </c>
      <c r="AL761" s="905">
        <f>IFERROR(INDEX(G761:R761,1,MATCH(Parametres!$B$3,G$1:R$1,0)-1)*IF(OR(F761="L",F761="S",F761="I"),-1,1),"")</f>
        <v>0</v>
      </c>
      <c r="AM761" s="905">
        <f t="shared" si="76"/>
        <v>0</v>
      </c>
      <c r="AN761" s="905">
        <f>INDEX(G761:R761,1,MATCH(Parametres!$B$3,G$1:R$1,0))*IF(OR(F761="L",F761="S",F761="I"),-1,1)</f>
        <v>0</v>
      </c>
      <c r="AO761" s="487" t="str">
        <f>+VLOOKUP($AJ761,Data_Validation!$A:$D,1,0)</f>
        <v>G46800</v>
      </c>
      <c r="AP761" s="487">
        <f>+VLOOKUP($AJ761,Data_Validation!$A:$D,3,0)</f>
        <v>0</v>
      </c>
      <c r="AQ761" s="487">
        <f>+VLOOKUP($AJ761,Data_Validation!$A:$D,4,0)</f>
        <v>0</v>
      </c>
      <c r="AR761" s="487" t="s">
        <v>299</v>
      </c>
      <c r="AS761" s="487">
        <f>+VLOOKUP($AJ761,Data_Validation!$A:$E,5,0)</f>
        <v>0</v>
      </c>
      <c r="AT761" s="904" t="str">
        <f t="shared" si="77"/>
        <v>G46800</v>
      </c>
      <c r="AU761" s="488" t="str">
        <f t="shared" si="78"/>
        <v>VTES-PCE CLIENT 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hidden="1" customHeight="1">
      <c r="A762" s="706" t="s">
        <v>1148</v>
      </c>
      <c r="B762" s="706">
        <v>2026</v>
      </c>
      <c r="C762" s="706" t="s">
        <v>2482</v>
      </c>
      <c r="D762" s="706" t="s">
        <v>2483</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G46810</v>
      </c>
      <c r="AK762" s="905" t="str">
        <f t="shared" si="75"/>
        <v>VTES-PCE SERV.CLIENT CAM.</v>
      </c>
      <c r="AL762" s="905">
        <f>IFERROR(INDEX(G762:R762,1,MATCH(Parametres!$B$3,G$1:R$1,0)-1)*IF(OR(F762="L",F762="S",F762="I"),-1,1),"")</f>
        <v>0</v>
      </c>
      <c r="AM762" s="905">
        <f t="shared" si="76"/>
        <v>0</v>
      </c>
      <c r="AN762" s="905">
        <f>INDEX(G762:R762,1,MATCH(Parametres!$B$3,G$1:R$1,0))*IF(OR(F762="L",F762="S",F762="I"),-1,1)</f>
        <v>0</v>
      </c>
      <c r="AO762" s="487" t="str">
        <f>+VLOOKUP($AJ762,Data_Validation!$A:$D,1,0)</f>
        <v>G46810</v>
      </c>
      <c r="AP762" s="487">
        <f>+VLOOKUP($AJ762,Data_Validation!$A:$D,3,0)</f>
        <v>0</v>
      </c>
      <c r="AQ762" s="487">
        <f>+VLOOKUP($AJ762,Data_Validation!$A:$D,4,0)</f>
        <v>0</v>
      </c>
      <c r="AR762" s="487" t="s">
        <v>299</v>
      </c>
      <c r="AS762" s="487">
        <f>+VLOOKUP($AJ762,Data_Validation!$A:$E,5,0)</f>
        <v>0</v>
      </c>
      <c r="AT762" s="904" t="str">
        <f t="shared" si="77"/>
        <v>G46810</v>
      </c>
      <c r="AU762" s="488" t="str">
        <f t="shared" si="78"/>
        <v>VTES-PCE SERV.CLIENT CAM.</v>
      </c>
      <c r="AV762" s="899">
        <f>IFERROR(INDEX(V762:AG762,1,MATCH(Parametres!$B$3,V$1:AG$1,0)-1)*IF(OR(C762="L",C762="S",C762="I"),-1,1),"")</f>
        <v>0</v>
      </c>
      <c r="AW762" s="899">
        <f t="shared" si="79"/>
        <v>0</v>
      </c>
      <c r="AX762" s="899">
        <f>INDEX(V762:AG762,1,MATCH(Parametres!$B$3,V$1:AG$1,0))*IF(OR(C762="L",C762="S",C762="I"),-1,1)</f>
        <v>0</v>
      </c>
      <c r="AY762" s="487" t="s">
        <v>337</v>
      </c>
      <c r="AZ762" s="487">
        <f>+VLOOKUP($AJ762,Data_Validation!$A:$E,5,0)</f>
        <v>0</v>
      </c>
    </row>
    <row r="763" spans="1:52" ht="15" hidden="1" customHeight="1">
      <c r="A763" s="706" t="s">
        <v>1148</v>
      </c>
      <c r="B763" s="706">
        <v>2026</v>
      </c>
      <c r="C763" s="706" t="s">
        <v>2484</v>
      </c>
      <c r="D763" s="706" t="s">
        <v>2485</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G46840</v>
      </c>
      <c r="AK763" s="905" t="str">
        <f t="shared" si="75"/>
        <v>VTES-PCE GOODWRENCH CAMIO</v>
      </c>
      <c r="AL763" s="905">
        <f>IFERROR(INDEX(G763:R763,1,MATCH(Parametres!$B$3,G$1:R$1,0)-1)*IF(OR(F763="L",F763="S",F763="I"),-1,1),"")</f>
        <v>0</v>
      </c>
      <c r="AM763" s="905">
        <f t="shared" si="76"/>
        <v>0</v>
      </c>
      <c r="AN763" s="905">
        <f>INDEX(G763:R763,1,MATCH(Parametres!$B$3,G$1:R$1,0))*IF(OR(F763="L",F763="S",F763="I"),-1,1)</f>
        <v>0</v>
      </c>
      <c r="AO763" s="487" t="e">
        <f>+VLOOKUP($AJ763,Data_Validation!$A:$D,1,0)</f>
        <v>#N/A</v>
      </c>
      <c r="AP763" s="487" t="e">
        <f>+VLOOKUP($AJ763,Data_Validation!$A:$D,3,0)</f>
        <v>#N/A</v>
      </c>
      <c r="AQ763" s="487" t="e">
        <f>+VLOOKUP($AJ763,Data_Validation!$A:$D,4,0)</f>
        <v>#N/A</v>
      </c>
      <c r="AR763" s="487" t="s">
        <v>299</v>
      </c>
      <c r="AS763" s="487" t="e">
        <f>+VLOOKUP($AJ763,Data_Validation!$A:$E,5,0)</f>
        <v>#N/A</v>
      </c>
      <c r="AT763" s="904" t="str">
        <f t="shared" si="77"/>
        <v>G46840</v>
      </c>
      <c r="AU763" s="488" t="str">
        <f t="shared" si="78"/>
        <v>VTES-PCE GOODWRENCH CAMIO</v>
      </c>
      <c r="AV763" s="899">
        <f>IFERROR(INDEX(V763:AG763,1,MATCH(Parametres!$B$3,V$1:AG$1,0)-1)*IF(OR(C763="L",C763="S",C763="I"),-1,1),"")</f>
        <v>0</v>
      </c>
      <c r="AW763" s="899">
        <f t="shared" si="79"/>
        <v>0</v>
      </c>
      <c r="AX763" s="899">
        <f>INDEX(V763:AG763,1,MATCH(Parametres!$B$3,V$1:AG$1,0))*IF(OR(C763="L",C763="S",C763="I"),-1,1)</f>
        <v>0</v>
      </c>
      <c r="AY763" s="487" t="s">
        <v>337</v>
      </c>
      <c r="AZ763" s="487" t="e">
        <f>+VLOOKUP($AJ763,Data_Validation!$A:$E,5,0)</f>
        <v>#N/A</v>
      </c>
    </row>
    <row r="764" spans="1:52" ht="15" hidden="1" customHeight="1">
      <c r="A764" s="706" t="s">
        <v>1148</v>
      </c>
      <c r="B764" s="706">
        <v>2026</v>
      </c>
      <c r="C764" s="706" t="s">
        <v>2486</v>
      </c>
      <c r="D764" s="706" t="s">
        <v>2487</v>
      </c>
      <c r="E764" s="706" t="s">
        <v>333</v>
      </c>
      <c r="F764" s="706" t="s">
        <v>1149</v>
      </c>
      <c r="G764" s="706">
        <v>2646.8</v>
      </c>
      <c r="H764" s="706">
        <v>5914.65</v>
      </c>
      <c r="I764" s="706">
        <v>9184.1</v>
      </c>
      <c r="J764" s="706">
        <v>13267.53</v>
      </c>
      <c r="K764" s="706">
        <v>17068.18</v>
      </c>
      <c r="L764" s="706">
        <v>20337.54</v>
      </c>
      <c r="M764" s="706">
        <v>22791.25</v>
      </c>
      <c r="N764" s="706">
        <v>25438.35</v>
      </c>
      <c r="O764" s="706">
        <v>28935.439999999999</v>
      </c>
      <c r="P764" s="706">
        <v>30196.34</v>
      </c>
      <c r="Q764" s="706">
        <v>0</v>
      </c>
      <c r="R764" s="706">
        <v>0</v>
      </c>
      <c r="S764" s="706">
        <v>3215.05</v>
      </c>
      <c r="T764" s="706">
        <v>3215.05</v>
      </c>
      <c r="U764" s="706">
        <v>0</v>
      </c>
      <c r="V764" s="706">
        <v>232</v>
      </c>
      <c r="W764" s="706">
        <v>521</v>
      </c>
      <c r="X764" s="706">
        <v>812</v>
      </c>
      <c r="Y764" s="706">
        <v>1191</v>
      </c>
      <c r="Z764" s="706">
        <v>1531</v>
      </c>
      <c r="AA764" s="706">
        <v>1824</v>
      </c>
      <c r="AB764" s="706">
        <v>2059</v>
      </c>
      <c r="AC764" s="706">
        <v>2267</v>
      </c>
      <c r="AD764" s="706">
        <v>2568</v>
      </c>
      <c r="AE764" s="706">
        <v>2635</v>
      </c>
      <c r="AF764" s="706">
        <v>0</v>
      </c>
      <c r="AG764" s="706">
        <v>0</v>
      </c>
      <c r="AH764" s="706">
        <v>285</v>
      </c>
      <c r="AI764" s="706">
        <v>285</v>
      </c>
      <c r="AJ764" s="905" t="str">
        <f t="shared" si="74"/>
        <v>G46900</v>
      </c>
      <c r="AK764" s="905" t="str">
        <f t="shared" si="75"/>
        <v>VTES FOURNITURE ATELIER</v>
      </c>
      <c r="AL764" s="905">
        <f>IFERROR(INDEX(G764:R764,1,MATCH(Parametres!$B$3,G$1:R$1,0)-1)*IF(OR(F764="L",F764="S",F764="I"),-1,1),"")</f>
        <v>-25438.35</v>
      </c>
      <c r="AM764" s="905">
        <f t="shared" si="76"/>
        <v>-3497.09</v>
      </c>
      <c r="AN764" s="905">
        <f>INDEX(G764:R764,1,MATCH(Parametres!$B$3,G$1:R$1,0))*IF(OR(F764="L",F764="S",F764="I"),-1,1)</f>
        <v>-28935.439999999999</v>
      </c>
      <c r="AO764" s="487" t="str">
        <f>+VLOOKUP($AJ764,Data_Validation!$A:$D,1,0)</f>
        <v>G46900</v>
      </c>
      <c r="AP764" s="487" t="str">
        <f>+VLOOKUP($AJ764,Data_Validation!$A:$D,3,0)</f>
        <v>Service</v>
      </c>
      <c r="AQ764" s="487" t="str">
        <f>+VLOOKUP($AJ764,Data_Validation!$A:$D,4,0)</f>
        <v>Sous-traitement</v>
      </c>
      <c r="AR764" s="487" t="s">
        <v>299</v>
      </c>
      <c r="AS764" s="487" t="str">
        <f>+VLOOKUP($AJ764,Data_Validation!$A:$E,5,0)</f>
        <v>Oui</v>
      </c>
      <c r="AT764" s="904" t="str">
        <f t="shared" si="77"/>
        <v>G46900</v>
      </c>
      <c r="AU764" s="488" t="str">
        <f t="shared" si="78"/>
        <v>VTES FOURNITURE ATELIER</v>
      </c>
      <c r="AV764" s="899">
        <f>IFERROR(INDEX(V764:AG764,1,MATCH(Parametres!$B$3,V$1:AG$1,0)-1)*IF(OR(C764="L",C764="S",C764="I"),-1,1),"")</f>
        <v>2267</v>
      </c>
      <c r="AW764" s="899">
        <f t="shared" si="79"/>
        <v>301</v>
      </c>
      <c r="AX764" s="899">
        <f>INDEX(V764:AG764,1,MATCH(Parametres!$B$3,V$1:AG$1,0))*IF(OR(C764="L",C764="S",C764="I"),-1,1)</f>
        <v>2568</v>
      </c>
      <c r="AY764" s="487" t="s">
        <v>337</v>
      </c>
      <c r="AZ764" s="487" t="str">
        <f>+VLOOKUP($AJ764,Data_Validation!$A:$E,5,0)</f>
        <v>Oui</v>
      </c>
    </row>
    <row r="765" spans="1:52" ht="15" hidden="1" customHeight="1">
      <c r="A765" s="706" t="s">
        <v>1148</v>
      </c>
      <c r="B765" s="706">
        <v>2026</v>
      </c>
      <c r="C765" s="706" t="s">
        <v>2488</v>
      </c>
      <c r="D765" s="706" t="s">
        <v>3363</v>
      </c>
      <c r="E765" s="706" t="s">
        <v>1151</v>
      </c>
      <c r="F765" s="706" t="s">
        <v>1149</v>
      </c>
      <c r="G765" s="706">
        <v>0</v>
      </c>
      <c r="H765" s="706">
        <v>0</v>
      </c>
      <c r="I765" s="706">
        <v>0</v>
      </c>
      <c r="J765" s="706">
        <v>0</v>
      </c>
      <c r="K765" s="706">
        <v>7647.4</v>
      </c>
      <c r="L765" s="706">
        <v>19811.75</v>
      </c>
      <c r="M765" s="706">
        <v>29506.6</v>
      </c>
      <c r="N765" s="706">
        <v>32925.629999999997</v>
      </c>
      <c r="O765" s="706">
        <v>53409.53</v>
      </c>
      <c r="P765" s="706">
        <v>54023.23</v>
      </c>
      <c r="Q765" s="706">
        <v>0</v>
      </c>
      <c r="R765" s="706">
        <v>0</v>
      </c>
      <c r="S765" s="706">
        <v>5934.39</v>
      </c>
      <c r="T765" s="706">
        <v>5934.39</v>
      </c>
      <c r="U765" s="706">
        <v>0</v>
      </c>
      <c r="V765" s="706">
        <v>0</v>
      </c>
      <c r="W765" s="706">
        <v>0</v>
      </c>
      <c r="X765" s="706">
        <v>0</v>
      </c>
      <c r="Y765" s="706">
        <v>0</v>
      </c>
      <c r="Z765" s="706">
        <v>16</v>
      </c>
      <c r="AA765" s="706">
        <v>38</v>
      </c>
      <c r="AB765" s="706">
        <v>54</v>
      </c>
      <c r="AC765" s="706">
        <v>63</v>
      </c>
      <c r="AD765" s="706">
        <v>98</v>
      </c>
      <c r="AE765" s="706">
        <v>100</v>
      </c>
      <c r="AF765" s="706">
        <v>0</v>
      </c>
      <c r="AG765" s="706">
        <v>0</v>
      </c>
      <c r="AH765" s="706">
        <v>11</v>
      </c>
      <c r="AI765" s="706">
        <v>11</v>
      </c>
      <c r="AJ765" s="905" t="str">
        <f t="shared" si="74"/>
        <v>G47000</v>
      </c>
      <c r="AK765" s="905" t="str">
        <f t="shared" si="75"/>
        <v>VTES -MO .CLIENT-PEINTURE</v>
      </c>
      <c r="AL765" s="905">
        <f>IFERROR(INDEX(G765:R765,1,MATCH(Parametres!$B$3,G$1:R$1,0)-1)*IF(OR(F765="L",F765="S",F765="I"),-1,1),"")</f>
        <v>-32925.629999999997</v>
      </c>
      <c r="AM765" s="905">
        <f t="shared" si="76"/>
        <v>-20483.900000000001</v>
      </c>
      <c r="AN765" s="905">
        <f>INDEX(G765:R765,1,MATCH(Parametres!$B$3,G$1:R$1,0))*IF(OR(F765="L",F765="S",F765="I"),-1,1)</f>
        <v>-53409.53</v>
      </c>
      <c r="AO765" s="487" t="str">
        <f>+VLOOKUP($AJ765,Data_Validation!$A:$D,1,0)</f>
        <v>G47000</v>
      </c>
      <c r="AP765" s="487" t="str">
        <f>+VLOOKUP($AJ765,Data_Validation!$A:$D,3,0)</f>
        <v>Carrosserie</v>
      </c>
      <c r="AQ765" s="487" t="str">
        <f>+VLOOKUP($AJ765,Data_Validation!$A:$D,4,0)</f>
        <v>Carrosserie Clients</v>
      </c>
      <c r="AR765" s="487" t="s">
        <v>299</v>
      </c>
      <c r="AS765" s="487" t="str">
        <f>+VLOOKUP($AJ765,Data_Validation!$A:$E,5,0)</f>
        <v>Oui</v>
      </c>
      <c r="AT765" s="904" t="str">
        <f t="shared" si="77"/>
        <v>G47000</v>
      </c>
      <c r="AU765" s="488" t="str">
        <f t="shared" si="78"/>
        <v>VTES -MO .CLIENT-PEINTURE</v>
      </c>
      <c r="AV765" s="899">
        <f>IFERROR(INDEX(V765:AG765,1,MATCH(Parametres!$B$3,V$1:AG$1,0)-1)*IF(OR(C765="L",C765="S",C765="I"),-1,1),"")</f>
        <v>63</v>
      </c>
      <c r="AW765" s="899">
        <f t="shared" si="79"/>
        <v>35</v>
      </c>
      <c r="AX765" s="899">
        <f>INDEX(V765:AG765,1,MATCH(Parametres!$B$3,V$1:AG$1,0))*IF(OR(C765="L",C765="S",C765="I"),-1,1)</f>
        <v>98</v>
      </c>
      <c r="AY765" s="487" t="s">
        <v>337</v>
      </c>
      <c r="AZ765" s="487" t="str">
        <f>+VLOOKUP($AJ765,Data_Validation!$A:$E,5,0)</f>
        <v>Oui</v>
      </c>
    </row>
    <row r="766" spans="1:52" ht="15" hidden="1" customHeight="1">
      <c r="A766" s="706" t="s">
        <v>1148</v>
      </c>
      <c r="B766" s="706">
        <v>2026</v>
      </c>
      <c r="C766" s="706" t="s">
        <v>2490</v>
      </c>
      <c r="D766" s="706" t="s">
        <v>3364</v>
      </c>
      <c r="E766" s="706" t="s">
        <v>1151</v>
      </c>
      <c r="F766" s="706" t="s">
        <v>1149</v>
      </c>
      <c r="G766" s="706">
        <v>0</v>
      </c>
      <c r="H766" s="706">
        <v>0</v>
      </c>
      <c r="I766" s="706">
        <v>0</v>
      </c>
      <c r="J766" s="706">
        <v>0</v>
      </c>
      <c r="K766" s="706">
        <v>10270.44</v>
      </c>
      <c r="L766" s="706">
        <v>23929.94</v>
      </c>
      <c r="M766" s="706">
        <v>33592.980000000003</v>
      </c>
      <c r="N766" s="706">
        <v>40487.51</v>
      </c>
      <c r="O766" s="706">
        <v>47171.64</v>
      </c>
      <c r="P766" s="706">
        <v>47331.64</v>
      </c>
      <c r="Q766" s="706">
        <v>0</v>
      </c>
      <c r="R766" s="706">
        <v>0</v>
      </c>
      <c r="S766" s="706">
        <v>5241.29</v>
      </c>
      <c r="T766" s="706">
        <v>5241.29</v>
      </c>
      <c r="U766" s="706">
        <v>0</v>
      </c>
      <c r="V766" s="706">
        <v>0</v>
      </c>
      <c r="W766" s="706">
        <v>0</v>
      </c>
      <c r="X766" s="706">
        <v>0</v>
      </c>
      <c r="Y766" s="706">
        <v>0</v>
      </c>
      <c r="Z766" s="706">
        <v>17</v>
      </c>
      <c r="AA766" s="706">
        <v>36</v>
      </c>
      <c r="AB766" s="706">
        <v>55</v>
      </c>
      <c r="AC766" s="706">
        <v>65</v>
      </c>
      <c r="AD766" s="706">
        <v>80</v>
      </c>
      <c r="AE766" s="706">
        <v>81</v>
      </c>
      <c r="AF766" s="706">
        <v>0</v>
      </c>
      <c r="AG766" s="706">
        <v>0</v>
      </c>
      <c r="AH766" s="706">
        <v>9</v>
      </c>
      <c r="AI766" s="706">
        <v>9</v>
      </c>
      <c r="AJ766" s="905" t="str">
        <f t="shared" si="74"/>
        <v>G47005</v>
      </c>
      <c r="AK766" s="905" t="str">
        <f t="shared" si="75"/>
        <v>VTES -M.O CONCES. PEINTUR</v>
      </c>
      <c r="AL766" s="905">
        <f>IFERROR(INDEX(G766:R766,1,MATCH(Parametres!$B$3,G$1:R$1,0)-1)*IF(OR(F766="L",F766="S",F766="I"),-1,1),"")</f>
        <v>-40487.51</v>
      </c>
      <c r="AM766" s="905">
        <f t="shared" si="76"/>
        <v>-6684.1299999999974</v>
      </c>
      <c r="AN766" s="905">
        <f>INDEX(G766:R766,1,MATCH(Parametres!$B$3,G$1:R$1,0))*IF(OR(F766="L",F766="S",F766="I"),-1,1)</f>
        <v>-47171.64</v>
      </c>
      <c r="AO766" s="487" t="str">
        <f>+VLOOKUP($AJ766,Data_Validation!$A:$D,1,0)</f>
        <v>G47005</v>
      </c>
      <c r="AP766" s="487" t="str">
        <f>+VLOOKUP($AJ766,Data_Validation!$A:$D,3,0)</f>
        <v>Carrosserie</v>
      </c>
      <c r="AQ766" s="487" t="str">
        <f>+VLOOKUP($AJ766,Data_Validation!$A:$D,4,0)</f>
        <v>Carrosserie Concessions</v>
      </c>
      <c r="AR766" s="487" t="s">
        <v>299</v>
      </c>
      <c r="AS766" s="487" t="str">
        <f>+VLOOKUP($AJ766,Data_Validation!$A:$E,5,0)</f>
        <v>Oui</v>
      </c>
      <c r="AT766" s="904" t="str">
        <f t="shared" si="77"/>
        <v>G47005</v>
      </c>
      <c r="AU766" s="488" t="str">
        <f t="shared" si="78"/>
        <v>VTES -M.O CONCES. PEINTUR</v>
      </c>
      <c r="AV766" s="899">
        <f>IFERROR(INDEX(V766:AG766,1,MATCH(Parametres!$B$3,V$1:AG$1,0)-1)*IF(OR(C766="L",C766="S",C766="I"),-1,1),"")</f>
        <v>65</v>
      </c>
      <c r="AW766" s="899">
        <f t="shared" si="79"/>
        <v>15</v>
      </c>
      <c r="AX766" s="899">
        <f>INDEX(V766:AG766,1,MATCH(Parametres!$B$3,V$1:AG$1,0))*IF(OR(C766="L",C766="S",C766="I"),-1,1)</f>
        <v>80</v>
      </c>
      <c r="AY766" s="487" t="s">
        <v>337</v>
      </c>
      <c r="AZ766" s="487" t="str">
        <f>+VLOOKUP($AJ766,Data_Validation!$A:$E,5,0)</f>
        <v>Oui</v>
      </c>
    </row>
    <row r="767" spans="1:52" ht="15" hidden="1" customHeight="1">
      <c r="A767" s="706" t="s">
        <v>1148</v>
      </c>
      <c r="B767" s="706">
        <v>2026</v>
      </c>
      <c r="C767" s="706" t="s">
        <v>2492</v>
      </c>
      <c r="D767" s="706" t="s">
        <v>2493</v>
      </c>
      <c r="E767" s="706" t="s">
        <v>1151</v>
      </c>
      <c r="F767" s="706" t="s">
        <v>1149</v>
      </c>
      <c r="G767" s="706">
        <v>56064.89</v>
      </c>
      <c r="H767" s="706">
        <v>121587.01</v>
      </c>
      <c r="I767" s="706">
        <v>174836.25</v>
      </c>
      <c r="J767" s="706">
        <v>279197.3</v>
      </c>
      <c r="K767" s="706">
        <v>298896.17</v>
      </c>
      <c r="L767" s="706">
        <v>317588.84999999998</v>
      </c>
      <c r="M767" s="706">
        <v>340882.88</v>
      </c>
      <c r="N767" s="706">
        <v>374868.99</v>
      </c>
      <c r="O767" s="706">
        <v>416503.1</v>
      </c>
      <c r="P767" s="706">
        <v>419022.3</v>
      </c>
      <c r="Q767" s="706">
        <v>0</v>
      </c>
      <c r="R767" s="706">
        <v>0</v>
      </c>
      <c r="S767" s="706">
        <v>46278.12</v>
      </c>
      <c r="T767" s="706">
        <v>46278.12</v>
      </c>
      <c r="U767" s="706">
        <v>0</v>
      </c>
      <c r="V767" s="706">
        <v>45</v>
      </c>
      <c r="W767" s="706">
        <v>95</v>
      </c>
      <c r="X767" s="706">
        <v>146</v>
      </c>
      <c r="Y767" s="706">
        <v>210</v>
      </c>
      <c r="Z767" s="706">
        <v>237</v>
      </c>
      <c r="AA767" s="706">
        <v>266</v>
      </c>
      <c r="AB767" s="706">
        <v>293</v>
      </c>
      <c r="AC767" s="706">
        <v>315</v>
      </c>
      <c r="AD767" s="706">
        <v>363</v>
      </c>
      <c r="AE767" s="706">
        <v>367</v>
      </c>
      <c r="AF767" s="706">
        <v>0</v>
      </c>
      <c r="AG767" s="706">
        <v>0</v>
      </c>
      <c r="AH767" s="706">
        <v>40</v>
      </c>
      <c r="AI767" s="706">
        <v>40</v>
      </c>
      <c r="AJ767" s="905" t="str">
        <f t="shared" si="74"/>
        <v>G47100</v>
      </c>
      <c r="AK767" s="905" t="str">
        <f t="shared" si="75"/>
        <v>VTES-M.D. CLIENT CARROSS.</v>
      </c>
      <c r="AL767" s="905">
        <f>IFERROR(INDEX(G767:R767,1,MATCH(Parametres!$B$3,G$1:R$1,0)-1)*IF(OR(F767="L",F767="S",F767="I"),-1,1),"")</f>
        <v>-374868.99</v>
      </c>
      <c r="AM767" s="905">
        <f t="shared" si="76"/>
        <v>-41634.109999999986</v>
      </c>
      <c r="AN767" s="905">
        <f>INDEX(G767:R767,1,MATCH(Parametres!$B$3,G$1:R$1,0))*IF(OR(F767="L",F767="S",F767="I"),-1,1)</f>
        <v>-416503.1</v>
      </c>
      <c r="AO767" s="487" t="str">
        <f>+VLOOKUP($AJ767,Data_Validation!$A:$D,1,0)</f>
        <v>G47100</v>
      </c>
      <c r="AP767" s="487" t="str">
        <f>+VLOOKUP($AJ767,Data_Validation!$A:$D,3,0)</f>
        <v>Carrosserie</v>
      </c>
      <c r="AQ767" s="487" t="str">
        <f>+VLOOKUP($AJ767,Data_Validation!$A:$D,4,0)</f>
        <v>Carrosserie Clients</v>
      </c>
      <c r="AR767" s="487" t="s">
        <v>299</v>
      </c>
      <c r="AS767" s="487" t="str">
        <f>+VLOOKUP($AJ767,Data_Validation!$A:$E,5,0)</f>
        <v>Oui</v>
      </c>
      <c r="AT767" s="904" t="str">
        <f t="shared" si="77"/>
        <v>G47100</v>
      </c>
      <c r="AU767" s="488" t="str">
        <f t="shared" si="78"/>
        <v>VTES-M.D. CLIENT CARROSS.</v>
      </c>
      <c r="AV767" s="899">
        <f>IFERROR(INDEX(V767:AG767,1,MATCH(Parametres!$B$3,V$1:AG$1,0)-1)*IF(OR(C767="L",C767="S",C767="I"),-1,1),"")</f>
        <v>315</v>
      </c>
      <c r="AW767" s="899">
        <f t="shared" si="79"/>
        <v>48</v>
      </c>
      <c r="AX767" s="899">
        <f>INDEX(V767:AG767,1,MATCH(Parametres!$B$3,V$1:AG$1,0))*IF(OR(C767="L",C767="S",C767="I"),-1,1)</f>
        <v>363</v>
      </c>
      <c r="AY767" s="487" t="s">
        <v>337</v>
      </c>
      <c r="AZ767" s="487" t="str">
        <f>+VLOOKUP($AJ767,Data_Validation!$A:$E,5,0)</f>
        <v>Oui</v>
      </c>
    </row>
    <row r="768" spans="1:52" ht="15" hidden="1" customHeight="1">
      <c r="A768" s="706" t="s">
        <v>1148</v>
      </c>
      <c r="B768" s="706">
        <v>2026</v>
      </c>
      <c r="C768" s="706" t="s">
        <v>2494</v>
      </c>
      <c r="D768" s="706" t="s">
        <v>3365</v>
      </c>
      <c r="E768" s="706" t="s">
        <v>1151</v>
      </c>
      <c r="F768" s="706" t="s">
        <v>1149</v>
      </c>
      <c r="G768" s="706">
        <v>0</v>
      </c>
      <c r="H768" s="706">
        <v>0</v>
      </c>
      <c r="I768" s="706">
        <v>0</v>
      </c>
      <c r="J768" s="706">
        <v>0</v>
      </c>
      <c r="K768" s="706">
        <v>20289.45</v>
      </c>
      <c r="L768" s="706">
        <v>50705.96</v>
      </c>
      <c r="M768" s="706">
        <v>74569.38</v>
      </c>
      <c r="N768" s="706">
        <v>92193.01</v>
      </c>
      <c r="O768" s="706">
        <v>107421.62</v>
      </c>
      <c r="P768" s="706">
        <v>107720.02</v>
      </c>
      <c r="Q768" s="706">
        <v>0</v>
      </c>
      <c r="R768" s="706">
        <v>0</v>
      </c>
      <c r="S768" s="706">
        <v>11935.74</v>
      </c>
      <c r="T768" s="706">
        <v>11935.74</v>
      </c>
      <c r="U768" s="706">
        <v>0</v>
      </c>
      <c r="V768" s="706">
        <v>0</v>
      </c>
      <c r="W768" s="706">
        <v>0</v>
      </c>
      <c r="X768" s="706">
        <v>0</v>
      </c>
      <c r="Y768" s="706">
        <v>0</v>
      </c>
      <c r="Z768" s="706">
        <v>19</v>
      </c>
      <c r="AA768" s="706">
        <v>43</v>
      </c>
      <c r="AB768" s="706">
        <v>64</v>
      </c>
      <c r="AC768" s="706">
        <v>77</v>
      </c>
      <c r="AD768" s="706">
        <v>90</v>
      </c>
      <c r="AE768" s="706">
        <v>91</v>
      </c>
      <c r="AF768" s="706">
        <v>0</v>
      </c>
      <c r="AG768" s="706">
        <v>0</v>
      </c>
      <c r="AH768" s="706">
        <v>10</v>
      </c>
      <c r="AI768" s="706">
        <v>10</v>
      </c>
      <c r="AJ768" s="905" t="str">
        <f t="shared" si="74"/>
        <v>G47105</v>
      </c>
      <c r="AK768" s="905" t="str">
        <f t="shared" si="75"/>
        <v>VTES -M.O CONCES. -BODY</v>
      </c>
      <c r="AL768" s="905">
        <f>IFERROR(INDEX(G768:R768,1,MATCH(Parametres!$B$3,G$1:R$1,0)-1)*IF(OR(F768="L",F768="S",F768="I"),-1,1),"")</f>
        <v>-92193.01</v>
      </c>
      <c r="AM768" s="905">
        <f t="shared" si="76"/>
        <v>-15228.61</v>
      </c>
      <c r="AN768" s="905">
        <f>INDEX(G768:R768,1,MATCH(Parametres!$B$3,G$1:R$1,0))*IF(OR(F768="L",F768="S",F768="I"),-1,1)</f>
        <v>-107421.62</v>
      </c>
      <c r="AO768" s="487" t="str">
        <f>+VLOOKUP($AJ768,Data_Validation!$A:$D,1,0)</f>
        <v>G47105</v>
      </c>
      <c r="AP768" s="487" t="str">
        <f>+VLOOKUP($AJ768,Data_Validation!$A:$D,3,0)</f>
        <v>Carrosserie</v>
      </c>
      <c r="AQ768" s="487" t="str">
        <f>+VLOOKUP($AJ768,Data_Validation!$A:$D,4,0)</f>
        <v>Carrosserie Concessions</v>
      </c>
      <c r="AR768" s="487" t="s">
        <v>299</v>
      </c>
      <c r="AS768" s="487" t="str">
        <f>+VLOOKUP($AJ768,Data_Validation!$A:$E,5,0)</f>
        <v>Oui</v>
      </c>
      <c r="AT768" s="904" t="str">
        <f t="shared" si="77"/>
        <v>G47105</v>
      </c>
      <c r="AU768" s="488" t="str">
        <f t="shared" si="78"/>
        <v>VTES -M.O CONCES. -BODY</v>
      </c>
      <c r="AV768" s="899">
        <f>IFERROR(INDEX(V768:AG768,1,MATCH(Parametres!$B$3,V$1:AG$1,0)-1)*IF(OR(C768="L",C768="S",C768="I"),-1,1),"")</f>
        <v>77</v>
      </c>
      <c r="AW768" s="899">
        <f t="shared" si="79"/>
        <v>13</v>
      </c>
      <c r="AX768" s="899">
        <f>INDEX(V768:AG768,1,MATCH(Parametres!$B$3,V$1:AG$1,0))*IF(OR(C768="L",C768="S",C768="I"),-1,1)</f>
        <v>90</v>
      </c>
      <c r="AY768" s="487" t="s">
        <v>337</v>
      </c>
      <c r="AZ768" s="487" t="str">
        <f>+VLOOKUP($AJ768,Data_Validation!$A:$E,5,0)</f>
        <v>Oui</v>
      </c>
    </row>
    <row r="769" spans="1:52" ht="15" hidden="1" customHeight="1">
      <c r="A769" s="706" t="s">
        <v>1148</v>
      </c>
      <c r="B769" s="706">
        <v>2026</v>
      </c>
      <c r="C769" s="706" t="s">
        <v>2496</v>
      </c>
      <c r="D769" s="706" t="s">
        <v>3366</v>
      </c>
      <c r="E769" s="706" t="s">
        <v>1151</v>
      </c>
      <c r="F769" s="706" t="s">
        <v>1149</v>
      </c>
      <c r="G769" s="706">
        <v>0</v>
      </c>
      <c r="H769" s="706">
        <v>0</v>
      </c>
      <c r="I769" s="706">
        <v>0</v>
      </c>
      <c r="J769" s="706">
        <v>0</v>
      </c>
      <c r="K769" s="706">
        <v>845.5</v>
      </c>
      <c r="L769" s="706">
        <v>4409.1000000000004</v>
      </c>
      <c r="M769" s="706">
        <v>7096.43</v>
      </c>
      <c r="N769" s="706">
        <v>7224.43</v>
      </c>
      <c r="O769" s="706">
        <v>8473.49</v>
      </c>
      <c r="P769" s="706">
        <v>8601.49</v>
      </c>
      <c r="Q769" s="706">
        <v>0</v>
      </c>
      <c r="R769" s="706">
        <v>0</v>
      </c>
      <c r="S769" s="706">
        <v>941.5</v>
      </c>
      <c r="T769" s="706">
        <v>941.5</v>
      </c>
      <c r="U769" s="706">
        <v>0</v>
      </c>
      <c r="V769" s="706">
        <v>0</v>
      </c>
      <c r="W769" s="706">
        <v>0</v>
      </c>
      <c r="X769" s="706">
        <v>0</v>
      </c>
      <c r="Y769" s="706">
        <v>0</v>
      </c>
      <c r="Z769" s="706">
        <v>5</v>
      </c>
      <c r="AA769" s="706">
        <v>24</v>
      </c>
      <c r="AB769" s="706">
        <v>42</v>
      </c>
      <c r="AC769" s="706">
        <v>43</v>
      </c>
      <c r="AD769" s="706">
        <v>51</v>
      </c>
      <c r="AE769" s="706">
        <v>52</v>
      </c>
      <c r="AF769" s="706">
        <v>0</v>
      </c>
      <c r="AG769" s="706">
        <v>0</v>
      </c>
      <c r="AH769" s="706">
        <v>6</v>
      </c>
      <c r="AI769" s="706">
        <v>6</v>
      </c>
      <c r="AJ769" s="905" t="str">
        <f t="shared" si="74"/>
        <v>G47110</v>
      </c>
      <c r="AK769" s="905" t="str">
        <f t="shared" si="75"/>
        <v>VTES - M.O MEC CLT BODY</v>
      </c>
      <c r="AL769" s="905">
        <f>IFERROR(INDEX(G769:R769,1,MATCH(Parametres!$B$3,G$1:R$1,0)-1)*IF(OR(F769="L",F769="S",F769="I"),-1,1),"")</f>
        <v>-7224.43</v>
      </c>
      <c r="AM769" s="905">
        <f t="shared" si="76"/>
        <v>-1249.0599999999995</v>
      </c>
      <c r="AN769" s="905">
        <f>INDEX(G769:R769,1,MATCH(Parametres!$B$3,G$1:R$1,0))*IF(OR(F769="L",F769="S",F769="I"),-1,1)</f>
        <v>-8473.49</v>
      </c>
      <c r="AO769" s="487" t="str">
        <f>+VLOOKUP($AJ769,Data_Validation!$A:$D,1,0)</f>
        <v>G47110</v>
      </c>
      <c r="AP769" s="487" t="str">
        <f>+VLOOKUP($AJ769,Data_Validation!$A:$D,3,0)</f>
        <v>Carrosserie</v>
      </c>
      <c r="AQ769" s="487" t="str">
        <f>+VLOOKUP($AJ769,Data_Validation!$A:$D,4,0)</f>
        <v>Carrosserie Clients</v>
      </c>
      <c r="AR769" s="487" t="s">
        <v>299</v>
      </c>
      <c r="AS769" s="487" t="str">
        <f>+VLOOKUP($AJ769,Data_Validation!$A:$E,5,0)</f>
        <v>Oui</v>
      </c>
      <c r="AT769" s="904" t="str">
        <f t="shared" si="77"/>
        <v>G47110</v>
      </c>
      <c r="AU769" s="488" t="str">
        <f t="shared" si="78"/>
        <v>VTES - M.O MEC CLT BODY</v>
      </c>
      <c r="AV769" s="899">
        <f>IFERROR(INDEX(V769:AG769,1,MATCH(Parametres!$B$3,V$1:AG$1,0)-1)*IF(OR(C769="L",C769="S",C769="I"),-1,1),"")</f>
        <v>43</v>
      </c>
      <c r="AW769" s="899">
        <f t="shared" si="79"/>
        <v>8</v>
      </c>
      <c r="AX769" s="899">
        <f>INDEX(V769:AG769,1,MATCH(Parametres!$B$3,V$1:AG$1,0))*IF(OR(C769="L",C769="S",C769="I"),-1,1)</f>
        <v>51</v>
      </c>
      <c r="AY769" s="487" t="s">
        <v>337</v>
      </c>
      <c r="AZ769" s="487" t="str">
        <f>+VLOOKUP($AJ769,Data_Validation!$A:$E,5,0)</f>
        <v>Oui</v>
      </c>
    </row>
    <row r="770" spans="1:52" ht="15" hidden="1" customHeight="1">
      <c r="A770" s="706" t="s">
        <v>1148</v>
      </c>
      <c r="B770" s="706">
        <v>2026</v>
      </c>
      <c r="C770" s="706" t="s">
        <v>2498</v>
      </c>
      <c r="D770" s="706" t="s">
        <v>3367</v>
      </c>
      <c r="E770" s="706" t="s">
        <v>1151</v>
      </c>
      <c r="F770" s="706" t="s">
        <v>1149</v>
      </c>
      <c r="G770" s="706">
        <v>0</v>
      </c>
      <c r="H770" s="706">
        <v>0</v>
      </c>
      <c r="I770" s="706">
        <v>0</v>
      </c>
      <c r="J770" s="706">
        <v>0</v>
      </c>
      <c r="K770" s="706">
        <v>386</v>
      </c>
      <c r="L770" s="706">
        <v>386</v>
      </c>
      <c r="M770" s="706">
        <v>386</v>
      </c>
      <c r="N770" s="706">
        <v>386</v>
      </c>
      <c r="O770" s="706">
        <v>386</v>
      </c>
      <c r="P770" s="706">
        <v>386</v>
      </c>
      <c r="Q770" s="706">
        <v>0</v>
      </c>
      <c r="R770" s="706">
        <v>0</v>
      </c>
      <c r="S770" s="706">
        <v>42.89</v>
      </c>
      <c r="T770" s="706">
        <v>42.89</v>
      </c>
      <c r="U770" s="706">
        <v>0</v>
      </c>
      <c r="V770" s="706">
        <v>0</v>
      </c>
      <c r="W770" s="706">
        <v>0</v>
      </c>
      <c r="X770" s="706">
        <v>0</v>
      </c>
      <c r="Y770" s="706">
        <v>0</v>
      </c>
      <c r="Z770" s="706">
        <v>1</v>
      </c>
      <c r="AA770" s="706">
        <v>1</v>
      </c>
      <c r="AB770" s="706">
        <v>1</v>
      </c>
      <c r="AC770" s="706">
        <v>1</v>
      </c>
      <c r="AD770" s="706">
        <v>1</v>
      </c>
      <c r="AE770" s="706">
        <v>1</v>
      </c>
      <c r="AF770" s="706">
        <v>0</v>
      </c>
      <c r="AG770" s="706">
        <v>0</v>
      </c>
      <c r="AH770" s="706">
        <v>0</v>
      </c>
      <c r="AI770" s="706">
        <v>0</v>
      </c>
      <c r="AJ770" s="905" t="str">
        <f t="shared" si="74"/>
        <v>G47115</v>
      </c>
      <c r="AK770" s="905" t="str">
        <f t="shared" si="75"/>
        <v>VTES -M.O CONCES MEC-BODY</v>
      </c>
      <c r="AL770" s="905">
        <f>IFERROR(INDEX(G770:R770,1,MATCH(Parametres!$B$3,G$1:R$1,0)-1)*IF(OR(F770="L",F770="S",F770="I"),-1,1),"")</f>
        <v>-386</v>
      </c>
      <c r="AM770" s="905">
        <f t="shared" si="76"/>
        <v>0</v>
      </c>
      <c r="AN770" s="905">
        <f>INDEX(G770:R770,1,MATCH(Parametres!$B$3,G$1:R$1,0))*IF(OR(F770="L",F770="S",F770="I"),-1,1)</f>
        <v>-386</v>
      </c>
      <c r="AO770" s="487" t="str">
        <f>+VLOOKUP($AJ770,Data_Validation!$A:$D,1,0)</f>
        <v>G47115</v>
      </c>
      <c r="AP770" s="487" t="str">
        <f>+VLOOKUP($AJ770,Data_Validation!$A:$D,3,0)</f>
        <v>Carrosserie</v>
      </c>
      <c r="AQ770" s="487" t="str">
        <f>+VLOOKUP($AJ770,Data_Validation!$A:$D,4,0)</f>
        <v>Carrosserie Concessions</v>
      </c>
      <c r="AR770" s="487" t="s">
        <v>299</v>
      </c>
      <c r="AS770" s="487" t="str">
        <f>+VLOOKUP($AJ770,Data_Validation!$A:$E,5,0)</f>
        <v>Oui</v>
      </c>
      <c r="AT770" s="904" t="str">
        <f t="shared" si="77"/>
        <v>G47115</v>
      </c>
      <c r="AU770" s="488" t="str">
        <f t="shared" si="78"/>
        <v>VTES -M.O CONCES MEC-BODY</v>
      </c>
      <c r="AV770" s="899">
        <f>IFERROR(INDEX(V770:AG770,1,MATCH(Parametres!$B$3,V$1:AG$1,0)-1)*IF(OR(C770="L",C770="S",C770="I"),-1,1),"")</f>
        <v>1</v>
      </c>
      <c r="AW770" s="899">
        <f t="shared" si="79"/>
        <v>0</v>
      </c>
      <c r="AX770" s="899">
        <f>INDEX(V770:AG770,1,MATCH(Parametres!$B$3,V$1:AG$1,0))*IF(OR(C770="L",C770="S",C770="I"),-1,1)</f>
        <v>1</v>
      </c>
      <c r="AY770" s="487" t="s">
        <v>337</v>
      </c>
      <c r="AZ770" s="487" t="str">
        <f>+VLOOKUP($AJ770,Data_Validation!$A:$E,5,0)</f>
        <v>Oui</v>
      </c>
    </row>
    <row r="771" spans="1:52" ht="15" hidden="1" customHeight="1">
      <c r="A771" s="706" t="s">
        <v>1148</v>
      </c>
      <c r="B771" s="706">
        <v>2026</v>
      </c>
      <c r="C771" s="706" t="s">
        <v>2500</v>
      </c>
      <c r="D771" s="706" t="s">
        <v>2501</v>
      </c>
      <c r="E771" s="706" t="s">
        <v>333</v>
      </c>
      <c r="F771" s="706" t="s">
        <v>1149</v>
      </c>
      <c r="G771" s="706">
        <v>0</v>
      </c>
      <c r="H771" s="706">
        <v>0</v>
      </c>
      <c r="I771" s="706">
        <v>0</v>
      </c>
      <c r="J771" s="706">
        <v>0</v>
      </c>
      <c r="K771" s="706">
        <v>0</v>
      </c>
      <c r="L771" s="706">
        <v>-4238.93</v>
      </c>
      <c r="M771" s="706">
        <v>-9167.43</v>
      </c>
      <c r="N771" s="706">
        <v>-13864.6</v>
      </c>
      <c r="O771" s="706">
        <v>-15846.2</v>
      </c>
      <c r="P771" s="706">
        <v>-15846.2</v>
      </c>
      <c r="Q771" s="706">
        <v>0</v>
      </c>
      <c r="R771" s="706">
        <v>0</v>
      </c>
      <c r="S771" s="706">
        <v>-1760.69</v>
      </c>
      <c r="T771" s="706">
        <v>-1760.69</v>
      </c>
      <c r="U771" s="706">
        <v>0</v>
      </c>
      <c r="V771" s="706">
        <v>0</v>
      </c>
      <c r="W771" s="706">
        <v>0</v>
      </c>
      <c r="X771" s="706">
        <v>0</v>
      </c>
      <c r="Y771" s="706">
        <v>0</v>
      </c>
      <c r="Z771" s="706">
        <v>0</v>
      </c>
      <c r="AA771" s="706">
        <v>-1</v>
      </c>
      <c r="AB771" s="706">
        <v>-2</v>
      </c>
      <c r="AC771" s="706">
        <v>-3</v>
      </c>
      <c r="AD771" s="706">
        <v>-4</v>
      </c>
      <c r="AE771" s="706">
        <v>-4</v>
      </c>
      <c r="AF771" s="706">
        <v>0</v>
      </c>
      <c r="AG771" s="706">
        <v>0</v>
      </c>
      <c r="AH771" s="706">
        <v>0</v>
      </c>
      <c r="AI771" s="706">
        <v>0</v>
      </c>
      <c r="AJ771" s="905" t="str">
        <f t="shared" si="74"/>
        <v>G47125</v>
      </c>
      <c r="AK771" s="905" t="str">
        <f t="shared" si="75"/>
        <v>RISTOURNE M.O CONC.BODY</v>
      </c>
      <c r="AL771" s="905">
        <f>IFERROR(INDEX(G771:R771,1,MATCH(Parametres!$B$3,G$1:R$1,0)-1)*IF(OR(F771="L",F771="S",F771="I"),-1,1),"")</f>
        <v>13864.6</v>
      </c>
      <c r="AM771" s="905">
        <f t="shared" si="76"/>
        <v>1981.6000000000004</v>
      </c>
      <c r="AN771" s="905">
        <f>INDEX(G771:R771,1,MATCH(Parametres!$B$3,G$1:R$1,0))*IF(OR(F771="L",F771="S",F771="I"),-1,1)</f>
        <v>15846.2</v>
      </c>
      <c r="AO771" s="487" t="str">
        <f>+VLOOKUP($AJ771,Data_Validation!$A:$D,1,0)</f>
        <v>G47125</v>
      </c>
      <c r="AP771" s="487" t="str">
        <f>+VLOOKUP($AJ771,Data_Validation!$A:$D,3,0)</f>
        <v>Carrosserie</v>
      </c>
      <c r="AQ771" s="487" t="str">
        <f>+VLOOKUP($AJ771,Data_Validation!$A:$D,4,0)</f>
        <v>Carrosserie Concessions</v>
      </c>
      <c r="AR771" s="487" t="s">
        <v>299</v>
      </c>
      <c r="AS771" s="487" t="str">
        <f>+VLOOKUP($AJ771,Data_Validation!$A:$E,5,0)</f>
        <v>Oui</v>
      </c>
      <c r="AT771" s="904" t="str">
        <f t="shared" si="77"/>
        <v>G47125</v>
      </c>
      <c r="AU771" s="488" t="str">
        <f t="shared" si="78"/>
        <v>RISTOURNE M.O CONC.BODY</v>
      </c>
      <c r="AV771" s="899">
        <f>IFERROR(INDEX(V771:AG771,1,MATCH(Parametres!$B$3,V$1:AG$1,0)-1)*IF(OR(C771="L",C771="S",C771="I"),-1,1),"")</f>
        <v>-3</v>
      </c>
      <c r="AW771" s="899">
        <f t="shared" si="79"/>
        <v>-1</v>
      </c>
      <c r="AX771" s="899">
        <f>INDEX(V771:AG771,1,MATCH(Parametres!$B$3,V$1:AG$1,0))*IF(OR(C771="L",C771="S",C771="I"),-1,1)</f>
        <v>-4</v>
      </c>
      <c r="AY771" s="487" t="s">
        <v>337</v>
      </c>
      <c r="AZ771" s="487" t="str">
        <f>+VLOOKUP($AJ771,Data_Validation!$A:$E,5,0)</f>
        <v>Oui</v>
      </c>
    </row>
    <row r="772" spans="1:52" ht="15" hidden="1" customHeight="1">
      <c r="A772" s="706" t="s">
        <v>1148</v>
      </c>
      <c r="B772" s="706">
        <v>2026</v>
      </c>
      <c r="C772" s="706" t="s">
        <v>2502</v>
      </c>
      <c r="D772" s="706" t="s">
        <v>2503</v>
      </c>
      <c r="E772" s="706" t="s">
        <v>1151</v>
      </c>
      <c r="F772" s="706" t="s">
        <v>1149</v>
      </c>
      <c r="G772" s="706">
        <v>176.85</v>
      </c>
      <c r="H772" s="706">
        <v>176.85</v>
      </c>
      <c r="I772" s="706">
        <v>176.85</v>
      </c>
      <c r="J772" s="706">
        <v>559.39</v>
      </c>
      <c r="K772" s="706">
        <v>559.39</v>
      </c>
      <c r="L772" s="706">
        <v>559.39</v>
      </c>
      <c r="M772" s="706">
        <v>559.39</v>
      </c>
      <c r="N772" s="706">
        <v>1598.72</v>
      </c>
      <c r="O772" s="706">
        <v>1598.72</v>
      </c>
      <c r="P772" s="706">
        <v>1941.92</v>
      </c>
      <c r="Q772" s="706">
        <v>0</v>
      </c>
      <c r="R772" s="706">
        <v>0</v>
      </c>
      <c r="S772" s="706">
        <v>177.64</v>
      </c>
      <c r="T772" s="706">
        <v>177.64</v>
      </c>
      <c r="U772" s="706">
        <v>0</v>
      </c>
      <c r="V772" s="706">
        <v>1</v>
      </c>
      <c r="W772" s="706">
        <v>1</v>
      </c>
      <c r="X772" s="706">
        <v>1</v>
      </c>
      <c r="Y772" s="706">
        <v>2</v>
      </c>
      <c r="Z772" s="706">
        <v>2</v>
      </c>
      <c r="AA772" s="706">
        <v>2</v>
      </c>
      <c r="AB772" s="706">
        <v>2</v>
      </c>
      <c r="AC772" s="706">
        <v>3</v>
      </c>
      <c r="AD772" s="706">
        <v>3</v>
      </c>
      <c r="AE772" s="706">
        <v>4</v>
      </c>
      <c r="AF772" s="706">
        <v>0</v>
      </c>
      <c r="AG772" s="706">
        <v>0</v>
      </c>
      <c r="AH772" s="706">
        <v>0</v>
      </c>
      <c r="AI772" s="706">
        <v>0</v>
      </c>
      <c r="AJ772" s="905" t="str">
        <f t="shared" si="74"/>
        <v>G47200</v>
      </c>
      <c r="AK772" s="905" t="str">
        <f t="shared" si="75"/>
        <v>VTES-M.D. CARROS.GARANTIE</v>
      </c>
      <c r="AL772" s="905">
        <f>IFERROR(INDEX(G772:R772,1,MATCH(Parametres!$B$3,G$1:R$1,0)-1)*IF(OR(F772="L",F772="S",F772="I"),-1,1),"")</f>
        <v>-1598.72</v>
      </c>
      <c r="AM772" s="905">
        <f t="shared" si="76"/>
        <v>0</v>
      </c>
      <c r="AN772" s="905">
        <f>INDEX(G772:R772,1,MATCH(Parametres!$B$3,G$1:R$1,0))*IF(OR(F772="L",F772="S",F772="I"),-1,1)</f>
        <v>-1598.72</v>
      </c>
      <c r="AO772" s="487" t="str">
        <f>+VLOOKUP($AJ772,Data_Validation!$A:$D,1,0)</f>
        <v>G47200</v>
      </c>
      <c r="AP772" s="487" t="str">
        <f>+VLOOKUP($AJ772,Data_Validation!$A:$D,3,0)</f>
        <v>Carrosserie</v>
      </c>
      <c r="AQ772" s="487" t="str">
        <f>+VLOOKUP($AJ772,Data_Validation!$A:$D,4,0)</f>
        <v>Carrosserie Interne</v>
      </c>
      <c r="AR772" s="487" t="s">
        <v>299</v>
      </c>
      <c r="AS772" s="487" t="str">
        <f>+VLOOKUP($AJ772,Data_Validation!$A:$E,5,0)</f>
        <v>Oui</v>
      </c>
      <c r="AT772" s="904" t="str">
        <f t="shared" si="77"/>
        <v>G47200</v>
      </c>
      <c r="AU772" s="488" t="str">
        <f t="shared" si="78"/>
        <v>VTES-M.D. CARROS.GARANTIE</v>
      </c>
      <c r="AV772" s="899">
        <f>IFERROR(INDEX(V772:AG772,1,MATCH(Parametres!$B$3,V$1:AG$1,0)-1)*IF(OR(C772="L",C772="S",C772="I"),-1,1),"")</f>
        <v>3</v>
      </c>
      <c r="AW772" s="899">
        <f t="shared" si="79"/>
        <v>0</v>
      </c>
      <c r="AX772" s="899">
        <f>INDEX(V772:AG772,1,MATCH(Parametres!$B$3,V$1:AG$1,0))*IF(OR(C772="L",C772="S",C772="I"),-1,1)</f>
        <v>3</v>
      </c>
      <c r="AY772" s="487" t="s">
        <v>337</v>
      </c>
      <c r="AZ772" s="487" t="str">
        <f>+VLOOKUP($AJ772,Data_Validation!$A:$E,5,0)</f>
        <v>Oui</v>
      </c>
    </row>
    <row r="773" spans="1:52" ht="15" hidden="1" customHeight="1">
      <c r="A773" s="706" t="s">
        <v>1148</v>
      </c>
      <c r="B773" s="706">
        <v>2026</v>
      </c>
      <c r="C773" s="706" t="s">
        <v>2504</v>
      </c>
      <c r="D773" s="706" t="s">
        <v>3368</v>
      </c>
      <c r="E773" s="706" t="s">
        <v>1151</v>
      </c>
      <c r="F773" s="706" t="s">
        <v>1149</v>
      </c>
      <c r="G773" s="706">
        <v>3884</v>
      </c>
      <c r="H773" s="706">
        <v>11349.2</v>
      </c>
      <c r="I773" s="706">
        <v>15516.7</v>
      </c>
      <c r="J773" s="706">
        <v>19788.2</v>
      </c>
      <c r="K773" s="706">
        <v>23844.5</v>
      </c>
      <c r="L773" s="706">
        <v>27952.25</v>
      </c>
      <c r="M773" s="706">
        <v>32587.84</v>
      </c>
      <c r="N773" s="706">
        <v>36754.839999999997</v>
      </c>
      <c r="O773" s="706">
        <v>39247.839999999997</v>
      </c>
      <c r="P773" s="706">
        <v>39472.839999999997</v>
      </c>
      <c r="Q773" s="706">
        <v>0</v>
      </c>
      <c r="R773" s="706">
        <v>0</v>
      </c>
      <c r="S773" s="706">
        <v>4360.87</v>
      </c>
      <c r="T773" s="706">
        <v>4360.87</v>
      </c>
      <c r="U773" s="706">
        <v>0</v>
      </c>
      <c r="V773" s="706">
        <v>4</v>
      </c>
      <c r="W773" s="706">
        <v>15</v>
      </c>
      <c r="X773" s="706">
        <v>27</v>
      </c>
      <c r="Y773" s="706">
        <v>33</v>
      </c>
      <c r="Z773" s="706">
        <v>40</v>
      </c>
      <c r="AA773" s="706">
        <v>48</v>
      </c>
      <c r="AB773" s="706">
        <v>56</v>
      </c>
      <c r="AC773" s="706">
        <v>63</v>
      </c>
      <c r="AD773" s="706">
        <v>76</v>
      </c>
      <c r="AE773" s="706">
        <v>77</v>
      </c>
      <c r="AF773" s="706">
        <v>0</v>
      </c>
      <c r="AG773" s="706">
        <v>0</v>
      </c>
      <c r="AH773" s="706">
        <v>8</v>
      </c>
      <c r="AI773" s="706">
        <v>8</v>
      </c>
      <c r="AJ773" s="905" t="str">
        <f t="shared" si="74"/>
        <v>G47300</v>
      </c>
      <c r="AK773" s="905" t="str">
        <f t="shared" si="75"/>
        <v>VTES -M.D. CARROS.INTERNE</v>
      </c>
      <c r="AL773" s="905">
        <f>IFERROR(INDEX(G773:R773,1,MATCH(Parametres!$B$3,G$1:R$1,0)-1)*IF(OR(F773="L",F773="S",F773="I"),-1,1),"")</f>
        <v>-36754.839999999997</v>
      </c>
      <c r="AM773" s="905">
        <f t="shared" si="76"/>
        <v>-2493</v>
      </c>
      <c r="AN773" s="905">
        <f>INDEX(G773:R773,1,MATCH(Parametres!$B$3,G$1:R$1,0))*IF(OR(F773="L",F773="S",F773="I"),-1,1)</f>
        <v>-39247.839999999997</v>
      </c>
      <c r="AO773" s="487" t="str">
        <f>+VLOOKUP($AJ773,Data_Validation!$A:$D,1,0)</f>
        <v>G47300</v>
      </c>
      <c r="AP773" s="487" t="str">
        <f>+VLOOKUP($AJ773,Data_Validation!$A:$D,3,0)</f>
        <v>Carrosserie</v>
      </c>
      <c r="AQ773" s="487" t="str">
        <f>+VLOOKUP($AJ773,Data_Validation!$A:$D,4,0)</f>
        <v>Carrosserie Interne</v>
      </c>
      <c r="AR773" s="487" t="s">
        <v>299</v>
      </c>
      <c r="AS773" s="487" t="str">
        <f>+VLOOKUP($AJ773,Data_Validation!$A:$E,5,0)</f>
        <v>Oui</v>
      </c>
      <c r="AT773" s="904" t="str">
        <f t="shared" si="77"/>
        <v>G47300</v>
      </c>
      <c r="AU773" s="488" t="str">
        <f t="shared" si="78"/>
        <v>VTES -M.D. CARROS.INTERNE</v>
      </c>
      <c r="AV773" s="899">
        <f>IFERROR(INDEX(V773:AG773,1,MATCH(Parametres!$B$3,V$1:AG$1,0)-1)*IF(OR(C773="L",C773="S",C773="I"),-1,1),"")</f>
        <v>63</v>
      </c>
      <c r="AW773" s="899">
        <f t="shared" si="79"/>
        <v>13</v>
      </c>
      <c r="AX773" s="899">
        <f>INDEX(V773:AG773,1,MATCH(Parametres!$B$3,V$1:AG$1,0))*IF(OR(C773="L",C773="S",C773="I"),-1,1)</f>
        <v>76</v>
      </c>
      <c r="AY773" s="487" t="s">
        <v>337</v>
      </c>
      <c r="AZ773" s="487" t="str">
        <f>+VLOOKUP($AJ773,Data_Validation!$A:$E,5,0)</f>
        <v>Oui</v>
      </c>
    </row>
    <row r="774" spans="1:52" ht="15" hidden="1" customHeight="1">
      <c r="A774" s="706" t="s">
        <v>1148</v>
      </c>
      <c r="B774" s="706">
        <v>2026</v>
      </c>
      <c r="C774" s="706" t="s">
        <v>2506</v>
      </c>
      <c r="D774" s="706" t="s">
        <v>3369</v>
      </c>
      <c r="E774" s="706" t="s">
        <v>1151</v>
      </c>
      <c r="F774" s="706" t="s">
        <v>1149</v>
      </c>
      <c r="G774" s="706">
        <v>0</v>
      </c>
      <c r="H774" s="706">
        <v>0</v>
      </c>
      <c r="I774" s="706">
        <v>0</v>
      </c>
      <c r="J774" s="706">
        <v>0</v>
      </c>
      <c r="K774" s="706">
        <v>817.5</v>
      </c>
      <c r="L774" s="706">
        <v>1843.5</v>
      </c>
      <c r="M774" s="706">
        <v>2793</v>
      </c>
      <c r="N774" s="706">
        <v>3523.5</v>
      </c>
      <c r="O774" s="706">
        <v>4775.5</v>
      </c>
      <c r="P774" s="706">
        <v>4948</v>
      </c>
      <c r="Q774" s="706">
        <v>0</v>
      </c>
      <c r="R774" s="706">
        <v>0</v>
      </c>
      <c r="S774" s="706">
        <v>530.61</v>
      </c>
      <c r="T774" s="706">
        <v>530.61</v>
      </c>
      <c r="U774" s="706">
        <v>0</v>
      </c>
      <c r="V774" s="706">
        <v>0</v>
      </c>
      <c r="W774" s="706">
        <v>0</v>
      </c>
      <c r="X774" s="706">
        <v>0</v>
      </c>
      <c r="Y774" s="706">
        <v>0</v>
      </c>
      <c r="Z774" s="706">
        <v>4</v>
      </c>
      <c r="AA774" s="706">
        <v>10</v>
      </c>
      <c r="AB774" s="706">
        <v>14</v>
      </c>
      <c r="AC774" s="706">
        <v>17</v>
      </c>
      <c r="AD774" s="706">
        <v>23</v>
      </c>
      <c r="AE774" s="706">
        <v>24</v>
      </c>
      <c r="AF774" s="706">
        <v>0</v>
      </c>
      <c r="AG774" s="706">
        <v>0</v>
      </c>
      <c r="AH774" s="706">
        <v>3</v>
      </c>
      <c r="AI774" s="706">
        <v>3</v>
      </c>
      <c r="AJ774" s="905" t="str">
        <f t="shared" si="74"/>
        <v>G47303</v>
      </c>
      <c r="AK774" s="905" t="str">
        <f t="shared" si="75"/>
        <v>VTES -M.D. PEINTURE INT</v>
      </c>
      <c r="AL774" s="905">
        <f>IFERROR(INDEX(G774:R774,1,MATCH(Parametres!$B$3,G$1:R$1,0)-1)*IF(OR(F774="L",F774="S",F774="I"),-1,1),"")</f>
        <v>-3523.5</v>
      </c>
      <c r="AM774" s="905">
        <f t="shared" si="76"/>
        <v>-1252</v>
      </c>
      <c r="AN774" s="905">
        <f>INDEX(G774:R774,1,MATCH(Parametres!$B$3,G$1:R$1,0))*IF(OR(F774="L",F774="S",F774="I"),-1,1)</f>
        <v>-4775.5</v>
      </c>
      <c r="AO774" s="487" t="str">
        <f>+VLOOKUP($AJ774,Data_Validation!$A:$D,1,0)</f>
        <v>G47303</v>
      </c>
      <c r="AP774" s="487" t="str">
        <f>+VLOOKUP($AJ774,Data_Validation!$A:$D,3,0)</f>
        <v>Carrosserie</v>
      </c>
      <c r="AQ774" s="487" t="str">
        <f>+VLOOKUP($AJ774,Data_Validation!$A:$D,4,0)</f>
        <v>Carrosserie Interne</v>
      </c>
      <c r="AR774" s="487" t="s">
        <v>299</v>
      </c>
      <c r="AS774" s="487" t="str">
        <f>+VLOOKUP($AJ774,Data_Validation!$A:$E,5,0)</f>
        <v>Oui</v>
      </c>
      <c r="AT774" s="904" t="str">
        <f t="shared" si="77"/>
        <v>G47303</v>
      </c>
      <c r="AU774" s="488" t="str">
        <f t="shared" si="78"/>
        <v>VTES -M.D. PEINTURE INT</v>
      </c>
      <c r="AV774" s="899">
        <f>IFERROR(INDEX(V774:AG774,1,MATCH(Parametres!$B$3,V$1:AG$1,0)-1)*IF(OR(C774="L",C774="S",C774="I"),-1,1),"")</f>
        <v>17</v>
      </c>
      <c r="AW774" s="899">
        <f t="shared" si="79"/>
        <v>6</v>
      </c>
      <c r="AX774" s="899">
        <f>INDEX(V774:AG774,1,MATCH(Parametres!$B$3,V$1:AG$1,0))*IF(OR(C774="L",C774="S",C774="I"),-1,1)</f>
        <v>23</v>
      </c>
      <c r="AY774" s="487" t="s">
        <v>337</v>
      </c>
      <c r="AZ774" s="487" t="str">
        <f>+VLOOKUP($AJ774,Data_Validation!$A:$E,5,0)</f>
        <v>Oui</v>
      </c>
    </row>
    <row r="775" spans="1:52" ht="15" hidden="1" customHeight="1">
      <c r="A775" s="706" t="s">
        <v>1148</v>
      </c>
      <c r="B775" s="706">
        <v>2026</v>
      </c>
      <c r="C775" s="706" t="s">
        <v>2508</v>
      </c>
      <c r="D775" s="706" t="s">
        <v>2509</v>
      </c>
      <c r="E775" s="706" t="s">
        <v>1151</v>
      </c>
      <c r="F775" s="706" t="s">
        <v>1149</v>
      </c>
      <c r="G775" s="706">
        <v>0</v>
      </c>
      <c r="H775" s="706">
        <v>0</v>
      </c>
      <c r="I775" s="706">
        <v>0</v>
      </c>
      <c r="J775" s="706">
        <v>0</v>
      </c>
      <c r="K775" s="706">
        <v>0</v>
      </c>
      <c r="L775" s="706">
        <v>0</v>
      </c>
      <c r="M775" s="706">
        <v>0</v>
      </c>
      <c r="N775" s="706">
        <v>0</v>
      </c>
      <c r="O775" s="706">
        <v>792</v>
      </c>
      <c r="P775" s="706">
        <v>792</v>
      </c>
      <c r="Q775" s="706">
        <v>0</v>
      </c>
      <c r="R775" s="706">
        <v>0</v>
      </c>
      <c r="S775" s="706">
        <v>88</v>
      </c>
      <c r="T775" s="706">
        <v>88</v>
      </c>
      <c r="U775" s="706">
        <v>0</v>
      </c>
      <c r="V775" s="706">
        <v>0</v>
      </c>
      <c r="W775" s="706">
        <v>0</v>
      </c>
      <c r="X775" s="706">
        <v>0</v>
      </c>
      <c r="Y775" s="706">
        <v>0</v>
      </c>
      <c r="Z775" s="706">
        <v>0</v>
      </c>
      <c r="AA775" s="706">
        <v>0</v>
      </c>
      <c r="AB775" s="706">
        <v>0</v>
      </c>
      <c r="AC775" s="706">
        <v>0</v>
      </c>
      <c r="AD775" s="706">
        <v>1</v>
      </c>
      <c r="AE775" s="706">
        <v>1</v>
      </c>
      <c r="AF775" s="706">
        <v>0</v>
      </c>
      <c r="AG775" s="706">
        <v>0</v>
      </c>
      <c r="AH775" s="706">
        <v>0</v>
      </c>
      <c r="AI775" s="706">
        <v>0</v>
      </c>
      <c r="AJ775" s="905" t="str">
        <f t="shared" si="74"/>
        <v>G47313</v>
      </c>
      <c r="AK775" s="905" t="str">
        <f t="shared" si="75"/>
        <v>VTE -M.O MEC INTERN-BODY</v>
      </c>
      <c r="AL775" s="905">
        <f>IFERROR(INDEX(G775:R775,1,MATCH(Parametres!$B$3,G$1:R$1,0)-1)*IF(OR(F775="L",F775="S",F775="I"),-1,1),"")</f>
        <v>0</v>
      </c>
      <c r="AM775" s="905">
        <f t="shared" si="76"/>
        <v>-792</v>
      </c>
      <c r="AN775" s="905">
        <f>INDEX(G775:R775,1,MATCH(Parametres!$B$3,G$1:R$1,0))*IF(OR(F775="L",F775="S",F775="I"),-1,1)</f>
        <v>-792</v>
      </c>
      <c r="AO775" s="487" t="str">
        <f>+VLOOKUP($AJ775,Data_Validation!$A:$D,1,0)</f>
        <v>G47313</v>
      </c>
      <c r="AP775" s="487" t="str">
        <f>+VLOOKUP($AJ775,Data_Validation!$A:$D,3,0)</f>
        <v>Carrosserie</v>
      </c>
      <c r="AQ775" s="487" t="str">
        <f>+VLOOKUP($AJ775,Data_Validation!$A:$D,4,0)</f>
        <v>Carrosserie Interne</v>
      </c>
      <c r="AR775" s="487" t="s">
        <v>299</v>
      </c>
      <c r="AS775" s="487" t="str">
        <f>+VLOOKUP($AJ775,Data_Validation!$A:$E,5,0)</f>
        <v>Oui</v>
      </c>
      <c r="AT775" s="904" t="str">
        <f t="shared" si="77"/>
        <v>G47313</v>
      </c>
      <c r="AU775" s="488" t="str">
        <f t="shared" si="78"/>
        <v>VTE -M.O MEC INTERN-BODY</v>
      </c>
      <c r="AV775" s="899">
        <f>IFERROR(INDEX(V775:AG775,1,MATCH(Parametres!$B$3,V$1:AG$1,0)-1)*IF(OR(C775="L",C775="S",C775="I"),-1,1),"")</f>
        <v>0</v>
      </c>
      <c r="AW775" s="899">
        <f t="shared" si="79"/>
        <v>1</v>
      </c>
      <c r="AX775" s="899">
        <f>INDEX(V775:AG775,1,MATCH(Parametres!$B$3,V$1:AG$1,0))*IF(OR(C775="L",C775="S",C775="I"),-1,1)</f>
        <v>1</v>
      </c>
      <c r="AY775" s="487" t="s">
        <v>337</v>
      </c>
      <c r="AZ775" s="487" t="str">
        <f>+VLOOKUP($AJ775,Data_Validation!$A:$E,5,0)</f>
        <v>Oui</v>
      </c>
    </row>
    <row r="776" spans="1:52" ht="15" hidden="1" customHeight="1">
      <c r="A776" s="706" t="s">
        <v>1148</v>
      </c>
      <c r="B776" s="706">
        <v>2026</v>
      </c>
      <c r="C776" s="706" t="s">
        <v>2510</v>
      </c>
      <c r="D776" s="706" t="s">
        <v>2511</v>
      </c>
      <c r="E776" s="706" t="s">
        <v>333</v>
      </c>
      <c r="F776" s="706" t="s">
        <v>1149</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G47500</v>
      </c>
      <c r="AK776" s="905" t="str">
        <f t="shared" si="75"/>
        <v>*TEMPS PERDU CARROSSERIE</v>
      </c>
      <c r="AL776" s="905">
        <f>IFERROR(INDEX(G776:R776,1,MATCH(Parametres!$B$3,G$1:R$1,0)-1)*IF(OR(F776="L",F776="S",F776="I"),-1,1),"")</f>
        <v>0</v>
      </c>
      <c r="AM776" s="905">
        <f t="shared" si="76"/>
        <v>0</v>
      </c>
      <c r="AN776" s="905">
        <f>INDEX(G776:R776,1,MATCH(Parametres!$B$3,G$1:R$1,0))*IF(OR(F776="L",F776="S",F776="I"),-1,1)</f>
        <v>0</v>
      </c>
      <c r="AO776" s="487" t="str">
        <f>+VLOOKUP($AJ776,Data_Validation!$A:$D,1,0)</f>
        <v>G47500</v>
      </c>
      <c r="AP776" s="487" t="str">
        <f>+VLOOKUP($AJ776,Data_Validation!$A:$D,3,0)</f>
        <v>Carrosserie</v>
      </c>
      <c r="AQ776" s="487" t="str">
        <f>+VLOOKUP($AJ776,Data_Validation!$A:$D,4,0)</f>
        <v>Ajustement M/O Carrosserie</v>
      </c>
      <c r="AR776" s="487" t="s">
        <v>299</v>
      </c>
      <c r="AS776" s="487" t="str">
        <f>+VLOOKUP($AJ776,Data_Validation!$A:$E,5,0)</f>
        <v>Oui</v>
      </c>
      <c r="AT776" s="904" t="str">
        <f t="shared" si="77"/>
        <v>G47500</v>
      </c>
      <c r="AU776" s="488" t="str">
        <f t="shared" si="78"/>
        <v>*TEMPS PERDU CARROSSERIE</v>
      </c>
      <c r="AV776" s="899">
        <f>IFERROR(INDEX(V776:AG776,1,MATCH(Parametres!$B$3,V$1:AG$1,0)-1)*IF(OR(C776="L",C776="S",C776="I"),-1,1),"")</f>
        <v>0</v>
      </c>
      <c r="AW776" s="899">
        <f t="shared" si="79"/>
        <v>0</v>
      </c>
      <c r="AX776" s="899">
        <f>INDEX(V776:AG776,1,MATCH(Parametres!$B$3,V$1:AG$1,0))*IF(OR(C776="L",C776="S",C776="I"),-1,1)</f>
        <v>0</v>
      </c>
      <c r="AY776" s="487" t="s">
        <v>337</v>
      </c>
      <c r="AZ776" s="487" t="str">
        <f>+VLOOKUP($AJ776,Data_Validation!$A:$E,5,0)</f>
        <v>Oui</v>
      </c>
    </row>
    <row r="777" spans="1:52" ht="15" hidden="1" customHeight="1">
      <c r="A777" s="706" t="s">
        <v>1148</v>
      </c>
      <c r="B777" s="706">
        <v>2026</v>
      </c>
      <c r="C777" s="706" t="s">
        <v>2512</v>
      </c>
      <c r="D777" s="706" t="s">
        <v>2513</v>
      </c>
      <c r="E777" s="706" t="s">
        <v>1151</v>
      </c>
      <c r="F777" s="706" t="s">
        <v>1149</v>
      </c>
      <c r="G777" s="706">
        <v>95129.18</v>
      </c>
      <c r="H777" s="706">
        <v>187039.21</v>
      </c>
      <c r="I777" s="706">
        <v>259663.73</v>
      </c>
      <c r="J777" s="706">
        <v>303769.32</v>
      </c>
      <c r="K777" s="706">
        <v>337800.91</v>
      </c>
      <c r="L777" s="706">
        <v>389901.01</v>
      </c>
      <c r="M777" s="706">
        <v>433867.16</v>
      </c>
      <c r="N777" s="706">
        <v>475247.57</v>
      </c>
      <c r="O777" s="706">
        <v>536059.18000000005</v>
      </c>
      <c r="P777" s="706">
        <v>544363.53</v>
      </c>
      <c r="Q777" s="706">
        <v>0</v>
      </c>
      <c r="R777" s="706">
        <v>0</v>
      </c>
      <c r="S777" s="706">
        <v>59562.13</v>
      </c>
      <c r="T777" s="706">
        <v>59562.13</v>
      </c>
      <c r="U777" s="706">
        <v>0</v>
      </c>
      <c r="V777" s="706">
        <v>30</v>
      </c>
      <c r="W777" s="706">
        <v>70</v>
      </c>
      <c r="X777" s="706">
        <v>108</v>
      </c>
      <c r="Y777" s="706">
        <v>135</v>
      </c>
      <c r="Z777" s="706">
        <v>157</v>
      </c>
      <c r="AA777" s="706">
        <v>188</v>
      </c>
      <c r="AB777" s="706">
        <v>213</v>
      </c>
      <c r="AC777" s="706">
        <v>235</v>
      </c>
      <c r="AD777" s="706">
        <v>273</v>
      </c>
      <c r="AE777" s="706">
        <v>276</v>
      </c>
      <c r="AF777" s="706">
        <v>0</v>
      </c>
      <c r="AG777" s="706">
        <v>0</v>
      </c>
      <c r="AH777" s="706">
        <v>30</v>
      </c>
      <c r="AI777" s="706">
        <v>30</v>
      </c>
      <c r="AJ777" s="905" t="str">
        <f t="shared" si="74"/>
        <v>G47600</v>
      </c>
      <c r="AK777" s="905" t="str">
        <f t="shared" si="75"/>
        <v>VTES-REP.SOUS-TRAITE BODY</v>
      </c>
      <c r="AL777" s="905">
        <f>IFERROR(INDEX(G777:R777,1,MATCH(Parametres!$B$3,G$1:R$1,0)-1)*IF(OR(F777="L",F777="S",F777="I"),-1,1),"")</f>
        <v>-475247.57</v>
      </c>
      <c r="AM777" s="905">
        <f t="shared" si="76"/>
        <v>-60811.610000000044</v>
      </c>
      <c r="AN777" s="905">
        <f>INDEX(G777:R777,1,MATCH(Parametres!$B$3,G$1:R$1,0))*IF(OR(F777="L",F777="S",F777="I"),-1,1)</f>
        <v>-536059.18000000005</v>
      </c>
      <c r="AO777" s="487" t="str">
        <f>+VLOOKUP($AJ777,Data_Validation!$A:$D,1,0)</f>
        <v>G47600</v>
      </c>
      <c r="AP777" s="487" t="str">
        <f>+VLOOKUP($AJ777,Data_Validation!$A:$D,3,0)</f>
        <v>Carrosserie</v>
      </c>
      <c r="AQ777" s="487" t="str">
        <f>+VLOOKUP($AJ777,Data_Validation!$A:$D,4,0)</f>
        <v>Carrosserie Clients</v>
      </c>
      <c r="AR777" s="487" t="s">
        <v>299</v>
      </c>
      <c r="AS777" s="487" t="str">
        <f>+VLOOKUP($AJ777,Data_Validation!$A:$E,5,0)</f>
        <v>Oui</v>
      </c>
      <c r="AT777" s="904" t="str">
        <f t="shared" si="77"/>
        <v>G47600</v>
      </c>
      <c r="AU777" s="488" t="str">
        <f t="shared" si="78"/>
        <v>VTES-REP.SOUS-TRAITE BODY</v>
      </c>
      <c r="AV777" s="899">
        <f>IFERROR(INDEX(V777:AG777,1,MATCH(Parametres!$B$3,V$1:AG$1,0)-1)*IF(OR(C777="L",C777="S",C777="I"),-1,1),"")</f>
        <v>235</v>
      </c>
      <c r="AW777" s="899">
        <f t="shared" si="79"/>
        <v>38</v>
      </c>
      <c r="AX777" s="899">
        <f>INDEX(V777:AG777,1,MATCH(Parametres!$B$3,V$1:AG$1,0))*IF(OR(C777="L",C777="S",C777="I"),-1,1)</f>
        <v>273</v>
      </c>
      <c r="AY777" s="487" t="s">
        <v>337</v>
      </c>
      <c r="AZ777" s="487" t="str">
        <f>+VLOOKUP($AJ777,Data_Validation!$A:$E,5,0)</f>
        <v>Oui</v>
      </c>
    </row>
    <row r="778" spans="1:52" ht="15" hidden="1" customHeight="1">
      <c r="A778" s="706" t="s">
        <v>1148</v>
      </c>
      <c r="B778" s="706">
        <v>2026</v>
      </c>
      <c r="C778" s="706" t="s">
        <v>2514</v>
      </c>
      <c r="D778" s="706" t="s">
        <v>3370</v>
      </c>
      <c r="E778" s="706" t="s">
        <v>1151</v>
      </c>
      <c r="F778" s="706" t="s">
        <v>1149</v>
      </c>
      <c r="G778" s="706">
        <v>0</v>
      </c>
      <c r="H778" s="706">
        <v>0</v>
      </c>
      <c r="I778" s="706">
        <v>0</v>
      </c>
      <c r="J778" s="706">
        <v>0</v>
      </c>
      <c r="K778" s="706">
        <v>0</v>
      </c>
      <c r="L778" s="706">
        <v>331.62</v>
      </c>
      <c r="M778" s="706">
        <v>1036.33</v>
      </c>
      <c r="N778" s="706">
        <v>1451.84</v>
      </c>
      <c r="O778" s="706">
        <v>5838.45</v>
      </c>
      <c r="P778" s="706">
        <v>5838.45</v>
      </c>
      <c r="Q778" s="706">
        <v>0</v>
      </c>
      <c r="R778" s="706">
        <v>0</v>
      </c>
      <c r="S778" s="706">
        <v>648.72</v>
      </c>
      <c r="T778" s="706">
        <v>648.72</v>
      </c>
      <c r="U778" s="706">
        <v>0</v>
      </c>
      <c r="V778" s="706">
        <v>0</v>
      </c>
      <c r="W778" s="706">
        <v>0</v>
      </c>
      <c r="X778" s="706">
        <v>0</v>
      </c>
      <c r="Y778" s="706">
        <v>0</v>
      </c>
      <c r="Z778" s="706">
        <v>0</v>
      </c>
      <c r="AA778" s="706">
        <v>3</v>
      </c>
      <c r="AB778" s="706">
        <v>8</v>
      </c>
      <c r="AC778" s="706">
        <v>10</v>
      </c>
      <c r="AD778" s="706">
        <v>15</v>
      </c>
      <c r="AE778" s="706">
        <v>15</v>
      </c>
      <c r="AF778" s="706">
        <v>0</v>
      </c>
      <c r="AG778" s="706">
        <v>0</v>
      </c>
      <c r="AH778" s="706">
        <v>2</v>
      </c>
      <c r="AI778" s="706">
        <v>2</v>
      </c>
      <c r="AJ778" s="905" t="str">
        <f t="shared" si="74"/>
        <v>G47603</v>
      </c>
      <c r="AK778" s="905" t="str">
        <f t="shared" si="75"/>
        <v>VTES - S.T. INTERN-BODY</v>
      </c>
      <c r="AL778" s="905">
        <f>IFERROR(INDEX(G778:R778,1,MATCH(Parametres!$B$3,G$1:R$1,0)-1)*IF(OR(F778="L",F778="S",F778="I"),-1,1),"")</f>
        <v>-1451.84</v>
      </c>
      <c r="AM778" s="905">
        <f t="shared" si="76"/>
        <v>-4386.6099999999997</v>
      </c>
      <c r="AN778" s="905">
        <f>INDEX(G778:R778,1,MATCH(Parametres!$B$3,G$1:R$1,0))*IF(OR(F778="L",F778="S",F778="I"),-1,1)</f>
        <v>-5838.45</v>
      </c>
      <c r="AO778" s="487" t="str">
        <f>+VLOOKUP($AJ778,Data_Validation!$A:$D,1,0)</f>
        <v>G47603</v>
      </c>
      <c r="AP778" s="487" t="str">
        <f>+VLOOKUP($AJ778,Data_Validation!$A:$D,3,0)</f>
        <v>Carrosserie</v>
      </c>
      <c r="AQ778" s="487" t="str">
        <f>+VLOOKUP($AJ778,Data_Validation!$A:$D,4,0)</f>
        <v>Carrosserie Interne</v>
      </c>
      <c r="AR778" s="487" t="s">
        <v>299</v>
      </c>
      <c r="AS778" s="487" t="str">
        <f>+VLOOKUP($AJ778,Data_Validation!$A:$E,5,0)</f>
        <v>Oui</v>
      </c>
      <c r="AT778" s="904" t="str">
        <f t="shared" si="77"/>
        <v>G47603</v>
      </c>
      <c r="AU778" s="488" t="str">
        <f t="shared" si="78"/>
        <v>VTES - S.T. INTERN-BODY</v>
      </c>
      <c r="AV778" s="899">
        <f>IFERROR(INDEX(V778:AG778,1,MATCH(Parametres!$B$3,V$1:AG$1,0)-1)*IF(OR(C778="L",C778="S",C778="I"),-1,1),"")</f>
        <v>10</v>
      </c>
      <c r="AW778" s="899">
        <f t="shared" si="79"/>
        <v>5</v>
      </c>
      <c r="AX778" s="899">
        <f>INDEX(V778:AG778,1,MATCH(Parametres!$B$3,V$1:AG$1,0))*IF(OR(C778="L",C778="S",C778="I"),-1,1)</f>
        <v>15</v>
      </c>
      <c r="AY778" s="487" t="s">
        <v>337</v>
      </c>
      <c r="AZ778" s="487" t="str">
        <f>+VLOOKUP($AJ778,Data_Validation!$A:$E,5,0)</f>
        <v>Oui</v>
      </c>
    </row>
    <row r="779" spans="1:52" ht="15" hidden="1" customHeight="1">
      <c r="A779" s="706" t="s">
        <v>1148</v>
      </c>
      <c r="B779" s="706">
        <v>2026</v>
      </c>
      <c r="C779" s="706" t="s">
        <v>2516</v>
      </c>
      <c r="D779" s="706" t="s">
        <v>3371</v>
      </c>
      <c r="E779" s="706" t="s">
        <v>1151</v>
      </c>
      <c r="F779" s="706" t="s">
        <v>1149</v>
      </c>
      <c r="G779" s="706">
        <v>0</v>
      </c>
      <c r="H779" s="706">
        <v>0</v>
      </c>
      <c r="I779" s="706">
        <v>0</v>
      </c>
      <c r="J779" s="706">
        <v>0</v>
      </c>
      <c r="K779" s="706">
        <v>7087.7</v>
      </c>
      <c r="L779" s="706">
        <v>7357.7</v>
      </c>
      <c r="M779" s="706">
        <v>8017.7</v>
      </c>
      <c r="N779" s="706">
        <v>8182.7</v>
      </c>
      <c r="O779" s="706">
        <v>9005.7000000000007</v>
      </c>
      <c r="P779" s="706">
        <v>9005.7000000000007</v>
      </c>
      <c r="Q779" s="706">
        <v>0</v>
      </c>
      <c r="R779" s="706">
        <v>0</v>
      </c>
      <c r="S779" s="706">
        <v>1000.63</v>
      </c>
      <c r="T779" s="706">
        <v>1000.63</v>
      </c>
      <c r="U779" s="706">
        <v>0</v>
      </c>
      <c r="V779" s="706">
        <v>0</v>
      </c>
      <c r="W779" s="706">
        <v>0</v>
      </c>
      <c r="X779" s="706">
        <v>0</v>
      </c>
      <c r="Y779" s="706">
        <v>0</v>
      </c>
      <c r="Z779" s="706">
        <v>2</v>
      </c>
      <c r="AA779" s="706">
        <v>4</v>
      </c>
      <c r="AB779" s="706">
        <v>6</v>
      </c>
      <c r="AC779" s="706">
        <v>7</v>
      </c>
      <c r="AD779" s="706">
        <v>10</v>
      </c>
      <c r="AE779" s="706">
        <v>10</v>
      </c>
      <c r="AF779" s="706">
        <v>0</v>
      </c>
      <c r="AG779" s="706">
        <v>0</v>
      </c>
      <c r="AH779" s="706">
        <v>1</v>
      </c>
      <c r="AI779" s="706">
        <v>1</v>
      </c>
      <c r="AJ779" s="905" t="str">
        <f t="shared" si="74"/>
        <v>G47605</v>
      </c>
      <c r="AK779" s="905" t="str">
        <f t="shared" si="75"/>
        <v>VTES -S.T CONCES. BODY</v>
      </c>
      <c r="AL779" s="905">
        <f>IFERROR(INDEX(G779:R779,1,MATCH(Parametres!$B$3,G$1:R$1,0)-1)*IF(OR(F779="L",F779="S",F779="I"),-1,1),"")</f>
        <v>-8182.7</v>
      </c>
      <c r="AM779" s="905">
        <f t="shared" si="76"/>
        <v>-823.00000000000091</v>
      </c>
      <c r="AN779" s="905">
        <f>INDEX(G779:R779,1,MATCH(Parametres!$B$3,G$1:R$1,0))*IF(OR(F779="L",F779="S",F779="I"),-1,1)</f>
        <v>-9005.7000000000007</v>
      </c>
      <c r="AO779" s="487" t="str">
        <f>+VLOOKUP($AJ779,Data_Validation!$A:$D,1,0)</f>
        <v>G47605</v>
      </c>
      <c r="AP779" s="487" t="str">
        <f>+VLOOKUP($AJ779,Data_Validation!$A:$D,3,0)</f>
        <v>Carrosserie</v>
      </c>
      <c r="AQ779" s="487" t="str">
        <f>+VLOOKUP($AJ779,Data_Validation!$A:$D,4,0)</f>
        <v>Carrosserie Concessions</v>
      </c>
      <c r="AR779" s="487" t="s">
        <v>299</v>
      </c>
      <c r="AS779" s="487" t="str">
        <f>+VLOOKUP($AJ779,Data_Validation!$A:$E,5,0)</f>
        <v>Oui</v>
      </c>
      <c r="AT779" s="904" t="str">
        <f t="shared" si="77"/>
        <v>G47605</v>
      </c>
      <c r="AU779" s="488" t="str">
        <f t="shared" si="78"/>
        <v>VTES -S.T CONCES. BODY</v>
      </c>
      <c r="AV779" s="899">
        <f>IFERROR(INDEX(V779:AG779,1,MATCH(Parametres!$B$3,V$1:AG$1,0)-1)*IF(OR(C779="L",C779="S",C779="I"),-1,1),"")</f>
        <v>7</v>
      </c>
      <c r="AW779" s="899">
        <f t="shared" si="79"/>
        <v>3</v>
      </c>
      <c r="AX779" s="899">
        <f>INDEX(V779:AG779,1,MATCH(Parametres!$B$3,V$1:AG$1,0))*IF(OR(C779="L",C779="S",C779="I"),-1,1)</f>
        <v>10</v>
      </c>
      <c r="AY779" s="487" t="s">
        <v>337</v>
      </c>
      <c r="AZ779" s="487" t="str">
        <f>+VLOOKUP($AJ779,Data_Validation!$A:$E,5,0)</f>
        <v>Oui</v>
      </c>
    </row>
    <row r="780" spans="1:52" ht="15" hidden="1" customHeight="1">
      <c r="A780" s="706" t="s">
        <v>1148</v>
      </c>
      <c r="B780" s="706">
        <v>2026</v>
      </c>
      <c r="C780" s="706" t="s">
        <v>2518</v>
      </c>
      <c r="D780" s="706" t="s">
        <v>2519</v>
      </c>
      <c r="E780" s="706" t="s">
        <v>1151</v>
      </c>
      <c r="F780" s="706" t="s">
        <v>1149</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G47610</v>
      </c>
      <c r="AK780" s="905" t="str">
        <f t="shared" si="75"/>
        <v>VTE -PCS.S-T BODY -CLIENT</v>
      </c>
      <c r="AL780" s="905">
        <f>IFERROR(INDEX(G780:R780,1,MATCH(Parametres!$B$3,G$1:R$1,0)-1)*IF(OR(F780="L",F780="S",F780="I"),-1,1),"")</f>
        <v>0</v>
      </c>
      <c r="AM780" s="905">
        <f t="shared" si="76"/>
        <v>0</v>
      </c>
      <c r="AN780" s="905">
        <f>INDEX(G780:R780,1,MATCH(Parametres!$B$3,G$1:R$1,0))*IF(OR(F780="L",F780="S",F780="I"),-1,1)</f>
        <v>0</v>
      </c>
      <c r="AO780" s="487" t="str">
        <f>+VLOOKUP($AJ780,Data_Validation!$A:$D,1,0)</f>
        <v>G47610</v>
      </c>
      <c r="AP780" s="487" t="str">
        <f>+VLOOKUP($AJ780,Data_Validation!$A:$D,3,0)</f>
        <v>Carrosserie</v>
      </c>
      <c r="AQ780" s="487" t="str">
        <f>+VLOOKUP($AJ780,Data_Validation!$A:$D,4,0)</f>
        <v>Carrosserie Clients</v>
      </c>
      <c r="AR780" s="487" t="s">
        <v>299</v>
      </c>
      <c r="AS780" s="487" t="str">
        <f>+VLOOKUP($AJ780,Data_Validation!$A:$E,5,0)</f>
        <v>Oui</v>
      </c>
      <c r="AT780" s="904" t="str">
        <f t="shared" si="77"/>
        <v>G47610</v>
      </c>
      <c r="AU780" s="488" t="str">
        <f t="shared" si="78"/>
        <v>VTE -PCS.S-T BODY -CLIENT</v>
      </c>
      <c r="AV780" s="899">
        <f>IFERROR(INDEX(V780:AG780,1,MATCH(Parametres!$B$3,V$1:AG$1,0)-1)*IF(OR(C780="L",C780="S",C780="I"),-1,1),"")</f>
        <v>0</v>
      </c>
      <c r="AW780" s="899">
        <f t="shared" si="79"/>
        <v>0</v>
      </c>
      <c r="AX780" s="899">
        <f>INDEX(V780:AG780,1,MATCH(Parametres!$B$3,V$1:AG$1,0))*IF(OR(C780="L",C780="S",C780="I"),-1,1)</f>
        <v>0</v>
      </c>
      <c r="AY780" s="487" t="s">
        <v>337</v>
      </c>
      <c r="AZ780" s="487" t="str">
        <f>+VLOOKUP($AJ780,Data_Validation!$A:$E,5,0)</f>
        <v>Oui</v>
      </c>
    </row>
    <row r="781" spans="1:52" ht="15" hidden="1" customHeight="1">
      <c r="A781" s="706" t="s">
        <v>1148</v>
      </c>
      <c r="B781" s="706">
        <v>2026</v>
      </c>
      <c r="C781" s="706" t="s">
        <v>2520</v>
      </c>
      <c r="D781" s="706" t="s">
        <v>2521</v>
      </c>
      <c r="E781" s="706" t="s">
        <v>1151</v>
      </c>
      <c r="F781" s="706" t="s">
        <v>1149</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G47613</v>
      </c>
      <c r="AK781" s="905" t="str">
        <f t="shared" si="75"/>
        <v>VTE -PIECES INTERN -BODY</v>
      </c>
      <c r="AL781" s="905">
        <f>IFERROR(INDEX(G781:R781,1,MATCH(Parametres!$B$3,G$1:R$1,0)-1)*IF(OR(F781="L",F781="S",F781="I"),-1,1),"")</f>
        <v>0</v>
      </c>
      <c r="AM781" s="905">
        <f t="shared" si="76"/>
        <v>0</v>
      </c>
      <c r="AN781" s="905">
        <f>INDEX(G781:R781,1,MATCH(Parametres!$B$3,G$1:R$1,0))*IF(OR(F781="L",F781="S",F781="I"),-1,1)</f>
        <v>0</v>
      </c>
      <c r="AO781" s="487" t="str">
        <f>+VLOOKUP($AJ781,Data_Validation!$A:$D,1,0)</f>
        <v>G47613</v>
      </c>
      <c r="AP781" s="487" t="str">
        <f>+VLOOKUP($AJ781,Data_Validation!$A:$D,3,0)</f>
        <v>Carrosserie</v>
      </c>
      <c r="AQ781" s="487" t="str">
        <f>+VLOOKUP($AJ781,Data_Validation!$A:$D,4,0)</f>
        <v>Carrosserie Interne</v>
      </c>
      <c r="AR781" s="487" t="s">
        <v>299</v>
      </c>
      <c r="AS781" s="487" t="str">
        <f>+VLOOKUP($AJ781,Data_Validation!$A:$E,5,0)</f>
        <v>Oui</v>
      </c>
      <c r="AT781" s="904" t="str">
        <f t="shared" si="77"/>
        <v>G47613</v>
      </c>
      <c r="AU781" s="488" t="str">
        <f t="shared" si="78"/>
        <v>VTE -PIECES INTERN -BODY</v>
      </c>
      <c r="AV781" s="899">
        <f>IFERROR(INDEX(V781:AG781,1,MATCH(Parametres!$B$3,V$1:AG$1,0)-1)*IF(OR(C781="L",C781="S",C781="I"),-1,1),"")</f>
        <v>0</v>
      </c>
      <c r="AW781" s="899">
        <f t="shared" si="79"/>
        <v>0</v>
      </c>
      <c r="AX781" s="899">
        <f>INDEX(V781:AG781,1,MATCH(Parametres!$B$3,V$1:AG$1,0))*IF(OR(C781="L",C781="S",C781="I"),-1,1)</f>
        <v>0</v>
      </c>
      <c r="AY781" s="487" t="s">
        <v>337</v>
      </c>
      <c r="AZ781" s="487" t="str">
        <f>+VLOOKUP($AJ781,Data_Validation!$A:$E,5,0)</f>
        <v>Oui</v>
      </c>
    </row>
    <row r="782" spans="1:52" ht="15" hidden="1" customHeight="1">
      <c r="A782" s="706" t="s">
        <v>1148</v>
      </c>
      <c r="B782" s="706">
        <v>2026</v>
      </c>
      <c r="C782" s="706" t="s">
        <v>2522</v>
      </c>
      <c r="D782" s="706" t="s">
        <v>2523</v>
      </c>
      <c r="E782" s="706" t="s">
        <v>1151</v>
      </c>
      <c r="F782" s="706" t="s">
        <v>1149</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G47615</v>
      </c>
      <c r="AK782" s="905" t="str">
        <f t="shared" si="75"/>
        <v>VTE - S-T PCS CONCES-BOD</v>
      </c>
      <c r="AL782" s="905">
        <f>IFERROR(INDEX(G782:R782,1,MATCH(Parametres!$B$3,G$1:R$1,0)-1)*IF(OR(F782="L",F782="S",F782="I"),-1,1),"")</f>
        <v>0</v>
      </c>
      <c r="AM782" s="905">
        <f t="shared" si="76"/>
        <v>0</v>
      </c>
      <c r="AN782" s="905">
        <f>INDEX(G782:R782,1,MATCH(Parametres!$B$3,G$1:R$1,0))*IF(OR(F782="L",F782="S",F782="I"),-1,1)</f>
        <v>0</v>
      </c>
      <c r="AO782" s="487" t="str">
        <f>+VLOOKUP($AJ782,Data_Validation!$A:$D,1,0)</f>
        <v>G47615</v>
      </c>
      <c r="AP782" s="487" t="str">
        <f>+VLOOKUP($AJ782,Data_Validation!$A:$D,3,0)</f>
        <v>Carrosserie</v>
      </c>
      <c r="AQ782" s="487" t="str">
        <f>+VLOOKUP($AJ782,Data_Validation!$A:$D,4,0)</f>
        <v>Carrosserie Concessions</v>
      </c>
      <c r="AR782" s="487" t="s">
        <v>299</v>
      </c>
      <c r="AS782" s="487" t="str">
        <f>+VLOOKUP($AJ782,Data_Validation!$A:$E,5,0)</f>
        <v>Oui</v>
      </c>
      <c r="AT782" s="904" t="str">
        <f t="shared" si="77"/>
        <v>G47615</v>
      </c>
      <c r="AU782" s="488" t="str">
        <f t="shared" si="78"/>
        <v>VTE - S-T PCS CONCES-BOD</v>
      </c>
      <c r="AV782" s="899">
        <f>IFERROR(INDEX(V782:AG782,1,MATCH(Parametres!$B$3,V$1:AG$1,0)-1)*IF(OR(C782="L",C782="S",C782="I"),-1,1),"")</f>
        <v>0</v>
      </c>
      <c r="AW782" s="899">
        <f t="shared" si="79"/>
        <v>0</v>
      </c>
      <c r="AX782" s="899">
        <f>INDEX(V782:AG782,1,MATCH(Parametres!$B$3,V$1:AG$1,0))*IF(OR(C782="L",C782="S",C782="I"),-1,1)</f>
        <v>0</v>
      </c>
      <c r="AY782" s="487" t="s">
        <v>337</v>
      </c>
      <c r="AZ782" s="487" t="str">
        <f>+VLOOKUP($AJ782,Data_Validation!$A:$E,5,0)</f>
        <v>Oui</v>
      </c>
    </row>
    <row r="783" spans="1:52" ht="15" hidden="1" customHeight="1">
      <c r="A783" s="706" t="s">
        <v>1148</v>
      </c>
      <c r="B783" s="706">
        <v>2026</v>
      </c>
      <c r="C783" s="706" t="s">
        <v>2524</v>
      </c>
      <c r="D783" s="706" t="s">
        <v>3372</v>
      </c>
      <c r="E783" s="706" t="s">
        <v>1151</v>
      </c>
      <c r="F783" s="706" t="s">
        <v>1149</v>
      </c>
      <c r="G783" s="706">
        <v>0</v>
      </c>
      <c r="H783" s="706">
        <v>0</v>
      </c>
      <c r="I783" s="706">
        <v>0</v>
      </c>
      <c r="J783" s="706">
        <v>0</v>
      </c>
      <c r="K783" s="706">
        <v>0</v>
      </c>
      <c r="L783" s="706">
        <v>1486.33</v>
      </c>
      <c r="M783" s="706">
        <v>1486.33</v>
      </c>
      <c r="N783" s="706">
        <v>1486.33</v>
      </c>
      <c r="O783" s="706">
        <v>1486.33</v>
      </c>
      <c r="P783" s="706">
        <v>1486.33</v>
      </c>
      <c r="Q783" s="706">
        <v>0</v>
      </c>
      <c r="R783" s="706">
        <v>0</v>
      </c>
      <c r="S783" s="706">
        <v>165.15</v>
      </c>
      <c r="T783" s="706">
        <v>165.15</v>
      </c>
      <c r="U783" s="706">
        <v>0</v>
      </c>
      <c r="V783" s="706">
        <v>0</v>
      </c>
      <c r="W783" s="706">
        <v>0</v>
      </c>
      <c r="X783" s="706">
        <v>0</v>
      </c>
      <c r="Y783" s="706">
        <v>0</v>
      </c>
      <c r="Z783" s="706">
        <v>12</v>
      </c>
      <c r="AA783" s="706">
        <v>18</v>
      </c>
      <c r="AB783" s="706">
        <v>18</v>
      </c>
      <c r="AC783" s="706">
        <v>18</v>
      </c>
      <c r="AD783" s="706">
        <v>18</v>
      </c>
      <c r="AE783" s="706">
        <v>18</v>
      </c>
      <c r="AF783" s="706">
        <v>0</v>
      </c>
      <c r="AG783" s="706">
        <v>0</v>
      </c>
      <c r="AH783" s="706">
        <v>2</v>
      </c>
      <c r="AI783" s="706">
        <v>2</v>
      </c>
      <c r="AJ783" s="905" t="str">
        <f t="shared" si="74"/>
        <v>G47620</v>
      </c>
      <c r="AK783" s="905" t="str">
        <f t="shared" si="75"/>
        <v>VTES -LOC.COURTOIS - BODY</v>
      </c>
      <c r="AL783" s="905">
        <f>IFERROR(INDEX(G783:R783,1,MATCH(Parametres!$B$3,G$1:R$1,0)-1)*IF(OR(F783="L",F783="S",F783="I"),-1,1),"")</f>
        <v>-1486.33</v>
      </c>
      <c r="AM783" s="905">
        <f t="shared" si="76"/>
        <v>0</v>
      </c>
      <c r="AN783" s="905">
        <f>INDEX(G783:R783,1,MATCH(Parametres!$B$3,G$1:R$1,0))*IF(OR(F783="L",F783="S",F783="I"),-1,1)</f>
        <v>-1486.33</v>
      </c>
      <c r="AO783" s="487" t="str">
        <f>+VLOOKUP($AJ783,Data_Validation!$A:$D,1,0)</f>
        <v>G47620</v>
      </c>
      <c r="AP783" s="487" t="str">
        <f>+VLOOKUP($AJ783,Data_Validation!$A:$D,3,0)</f>
        <v>Carrosserie</v>
      </c>
      <c r="AQ783" s="487" t="str">
        <f>+VLOOKUP($AJ783,Data_Validation!$A:$D,4,0)</f>
        <v>Carrosserie Clients</v>
      </c>
      <c r="AR783" s="487" t="s">
        <v>299</v>
      </c>
      <c r="AS783" s="487" t="str">
        <f>+VLOOKUP($AJ783,Data_Validation!$A:$E,5,0)</f>
        <v>Oui</v>
      </c>
      <c r="AT783" s="904" t="str">
        <f t="shared" si="77"/>
        <v>G47620</v>
      </c>
      <c r="AU783" s="488" t="str">
        <f t="shared" si="78"/>
        <v>VTES -LOC.COURTOIS - BODY</v>
      </c>
      <c r="AV783" s="899">
        <f>IFERROR(INDEX(V783:AG783,1,MATCH(Parametres!$B$3,V$1:AG$1,0)-1)*IF(OR(C783="L",C783="S",C783="I"),-1,1),"")</f>
        <v>18</v>
      </c>
      <c r="AW783" s="899">
        <f t="shared" si="79"/>
        <v>0</v>
      </c>
      <c r="AX783" s="899">
        <f>INDEX(V783:AG783,1,MATCH(Parametres!$B$3,V$1:AG$1,0))*IF(OR(C783="L",C783="S",C783="I"),-1,1)</f>
        <v>18</v>
      </c>
      <c r="AY783" s="487" t="s">
        <v>337</v>
      </c>
      <c r="AZ783" s="487" t="str">
        <f>+VLOOKUP($AJ783,Data_Validation!$A:$E,5,0)</f>
        <v>Oui</v>
      </c>
    </row>
    <row r="784" spans="1:52" ht="15" hidden="1" customHeight="1">
      <c r="A784" s="706" t="s">
        <v>1148</v>
      </c>
      <c r="B784" s="706">
        <v>2026</v>
      </c>
      <c r="C784" s="706" t="s">
        <v>2526</v>
      </c>
      <c r="D784" s="706" t="s">
        <v>2527</v>
      </c>
      <c r="E784" s="706" t="s">
        <v>1151</v>
      </c>
      <c r="F784" s="706" t="s">
        <v>1149</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G47623</v>
      </c>
      <c r="AK784" s="905" t="str">
        <f t="shared" si="75"/>
        <v>VTE -LOC COURT INT-BODY</v>
      </c>
      <c r="AL784" s="905">
        <f>IFERROR(INDEX(G784:R784,1,MATCH(Parametres!$B$3,G$1:R$1,0)-1)*IF(OR(F784="L",F784="S",F784="I"),-1,1),"")</f>
        <v>0</v>
      </c>
      <c r="AM784" s="905">
        <f t="shared" si="76"/>
        <v>0</v>
      </c>
      <c r="AN784" s="905">
        <f>INDEX(G784:R784,1,MATCH(Parametres!$B$3,G$1:R$1,0))*IF(OR(F784="L",F784="S",F784="I"),-1,1)</f>
        <v>0</v>
      </c>
      <c r="AO784" s="487" t="str">
        <f>+VLOOKUP($AJ784,Data_Validation!$A:$D,1,0)</f>
        <v>G47623</v>
      </c>
      <c r="AP784" s="487">
        <f>+VLOOKUP($AJ784,Data_Validation!$A:$D,3,0)</f>
        <v>0</v>
      </c>
      <c r="AQ784" s="487">
        <f>+VLOOKUP($AJ784,Data_Validation!$A:$D,4,0)</f>
        <v>0</v>
      </c>
      <c r="AR784" s="487" t="s">
        <v>299</v>
      </c>
      <c r="AS784" s="487">
        <f>+VLOOKUP($AJ784,Data_Validation!$A:$E,5,0)</f>
        <v>0</v>
      </c>
      <c r="AT784" s="904" t="str">
        <f t="shared" si="77"/>
        <v>G47623</v>
      </c>
      <c r="AU784" s="488" t="str">
        <f t="shared" si="78"/>
        <v>VTE -LOC COURT INT-BODY</v>
      </c>
      <c r="AV784" s="899">
        <f>IFERROR(INDEX(V784:AG784,1,MATCH(Parametres!$B$3,V$1:AG$1,0)-1)*IF(OR(C784="L",C784="S",C784="I"),-1,1),"")</f>
        <v>0</v>
      </c>
      <c r="AW784" s="899">
        <f t="shared" si="79"/>
        <v>0</v>
      </c>
      <c r="AX784" s="899">
        <f>INDEX(V784:AG784,1,MATCH(Parametres!$B$3,V$1:AG$1,0))*IF(OR(C784="L",C784="S",C784="I"),-1,1)</f>
        <v>0</v>
      </c>
      <c r="AY784" s="487" t="s">
        <v>337</v>
      </c>
      <c r="AZ784" s="487">
        <f>+VLOOKUP($AJ784,Data_Validation!$A:$E,5,0)</f>
        <v>0</v>
      </c>
    </row>
    <row r="785" spans="1:52" ht="15" hidden="1" customHeight="1">
      <c r="A785" s="706" t="s">
        <v>1148</v>
      </c>
      <c r="B785" s="706">
        <v>2026</v>
      </c>
      <c r="C785" s="706" t="s">
        <v>2528</v>
      </c>
      <c r="D785" s="706" t="s">
        <v>2529</v>
      </c>
      <c r="E785" s="706" t="s">
        <v>1151</v>
      </c>
      <c r="F785" s="706" t="s">
        <v>1149</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G47625</v>
      </c>
      <c r="AK785" s="905" t="str">
        <f t="shared" si="75"/>
        <v>VTE - LOC COURT CONCES B</v>
      </c>
      <c r="AL785" s="905">
        <f>IFERROR(INDEX(G785:R785,1,MATCH(Parametres!$B$3,G$1:R$1,0)-1)*IF(OR(F785="L",F785="S",F785="I"),-1,1),"")</f>
        <v>0</v>
      </c>
      <c r="AM785" s="905">
        <f t="shared" si="76"/>
        <v>0</v>
      </c>
      <c r="AN785" s="905">
        <f>INDEX(G785:R785,1,MATCH(Parametres!$B$3,G$1:R$1,0))*IF(OR(F785="L",F785="S",F785="I"),-1,1)</f>
        <v>0</v>
      </c>
      <c r="AO785" s="487" t="str">
        <f>+VLOOKUP($AJ785,Data_Validation!$A:$D,1,0)</f>
        <v>G47625</v>
      </c>
      <c r="AP785" s="487">
        <f>+VLOOKUP($AJ785,Data_Validation!$A:$D,3,0)</f>
        <v>0</v>
      </c>
      <c r="AQ785" s="487">
        <f>+VLOOKUP($AJ785,Data_Validation!$A:$D,4,0)</f>
        <v>0</v>
      </c>
      <c r="AR785" s="487" t="s">
        <v>299</v>
      </c>
      <c r="AS785" s="487">
        <f>+VLOOKUP($AJ785,Data_Validation!$A:$E,5,0)</f>
        <v>0</v>
      </c>
      <c r="AT785" s="904" t="str">
        <f t="shared" si="77"/>
        <v>G47625</v>
      </c>
      <c r="AU785" s="488" t="str">
        <f t="shared" si="78"/>
        <v>VTE - LOC COURT CONCES B</v>
      </c>
      <c r="AV785" s="899">
        <f>IFERROR(INDEX(V785:AG785,1,MATCH(Parametres!$B$3,V$1:AG$1,0)-1)*IF(OR(C785="L",C785="S",C785="I"),-1,1),"")</f>
        <v>0</v>
      </c>
      <c r="AW785" s="899">
        <f t="shared" si="79"/>
        <v>0</v>
      </c>
      <c r="AX785" s="899">
        <f>INDEX(V785:AG785,1,MATCH(Parametres!$B$3,V$1:AG$1,0))*IF(OR(C785="L",C785="S",C785="I"),-1,1)</f>
        <v>0</v>
      </c>
      <c r="AY785" s="487" t="s">
        <v>337</v>
      </c>
      <c r="AZ785" s="487">
        <f>+VLOOKUP($AJ785,Data_Validation!$A:$E,5,0)</f>
        <v>0</v>
      </c>
    </row>
    <row r="786" spans="1:52" ht="15" hidden="1" customHeight="1">
      <c r="A786" s="706" t="s">
        <v>1148</v>
      </c>
      <c r="B786" s="706">
        <v>2026</v>
      </c>
      <c r="C786" s="706" t="s">
        <v>2530</v>
      </c>
      <c r="D786" s="706" t="s">
        <v>2531</v>
      </c>
      <c r="E786" s="706" t="s">
        <v>1151</v>
      </c>
      <c r="F786" s="706" t="s">
        <v>1149</v>
      </c>
      <c r="G786" s="706">
        <v>0</v>
      </c>
      <c r="H786" s="706">
        <v>0</v>
      </c>
      <c r="I786" s="706">
        <v>0</v>
      </c>
      <c r="J786" s="706">
        <v>0</v>
      </c>
      <c r="K786" s="706">
        <v>100.64</v>
      </c>
      <c r="L786" s="706">
        <v>100.64</v>
      </c>
      <c r="M786" s="706">
        <v>100.64</v>
      </c>
      <c r="N786" s="706">
        <v>100.64</v>
      </c>
      <c r="O786" s="706">
        <v>100.64</v>
      </c>
      <c r="P786" s="706">
        <v>100.64</v>
      </c>
      <c r="Q786" s="706">
        <v>0</v>
      </c>
      <c r="R786" s="706">
        <v>0</v>
      </c>
      <c r="S786" s="706">
        <v>11.18</v>
      </c>
      <c r="T786" s="706">
        <v>11.18</v>
      </c>
      <c r="U786" s="706">
        <v>0</v>
      </c>
      <c r="V786" s="706">
        <v>0</v>
      </c>
      <c r="W786" s="706">
        <v>0</v>
      </c>
      <c r="X786" s="706">
        <v>0</v>
      </c>
      <c r="Y786" s="706">
        <v>0</v>
      </c>
      <c r="Z786" s="706">
        <v>1</v>
      </c>
      <c r="AA786" s="706">
        <v>1</v>
      </c>
      <c r="AB786" s="706">
        <v>1</v>
      </c>
      <c r="AC786" s="706">
        <v>1</v>
      </c>
      <c r="AD786" s="706">
        <v>1</v>
      </c>
      <c r="AE786" s="706">
        <v>1</v>
      </c>
      <c r="AF786" s="706">
        <v>0</v>
      </c>
      <c r="AG786" s="706">
        <v>0</v>
      </c>
      <c r="AH786" s="706">
        <v>0</v>
      </c>
      <c r="AI786" s="706">
        <v>0</v>
      </c>
      <c r="AJ786" s="905" t="str">
        <f t="shared" si="74"/>
        <v>G47700</v>
      </c>
      <c r="AK786" s="905" t="str">
        <f t="shared" si="75"/>
        <v>VENTE P&amp;A CLIENTS CAROSSE</v>
      </c>
      <c r="AL786" s="905">
        <f>IFERROR(INDEX(G786:R786,1,MATCH(Parametres!$B$3,G$1:R$1,0)-1)*IF(OR(F786="L",F786="S",F786="I"),-1,1),"")</f>
        <v>-100.64</v>
      </c>
      <c r="AM786" s="905">
        <f t="shared" si="76"/>
        <v>0</v>
      </c>
      <c r="AN786" s="905">
        <f>INDEX(G786:R786,1,MATCH(Parametres!$B$3,G$1:R$1,0))*IF(OR(F786="L",F786="S",F786="I"),-1,1)</f>
        <v>-100.64</v>
      </c>
      <c r="AO786" s="487" t="str">
        <f>+VLOOKUP($AJ786,Data_Validation!$A:$D,1,0)</f>
        <v>G47700</v>
      </c>
      <c r="AP786" s="487" t="str">
        <f>+VLOOKUP($AJ786,Data_Validation!$A:$D,3,0)</f>
        <v>Pièces</v>
      </c>
      <c r="AQ786" s="487" t="str">
        <f>+VLOOKUP($AJ786,Data_Validation!$A:$D,4,0)</f>
        <v>Pièces Ro Carrosserie</v>
      </c>
      <c r="AR786" s="487" t="s">
        <v>299</v>
      </c>
      <c r="AS786" s="487" t="str">
        <f>+VLOOKUP($AJ786,Data_Validation!$A:$E,5,0)</f>
        <v>Oui</v>
      </c>
      <c r="AT786" s="904" t="str">
        <f t="shared" si="77"/>
        <v>G47700</v>
      </c>
      <c r="AU786" s="488" t="str">
        <f t="shared" si="78"/>
        <v>VENTE P&amp;A CLIENTS CAROSSE</v>
      </c>
      <c r="AV786" s="899">
        <f>IFERROR(INDEX(V786:AG786,1,MATCH(Parametres!$B$3,V$1:AG$1,0)-1)*IF(OR(C786="L",C786="S",C786="I"),-1,1),"")</f>
        <v>1</v>
      </c>
      <c r="AW786" s="899">
        <f t="shared" si="79"/>
        <v>0</v>
      </c>
      <c r="AX786" s="899">
        <f>INDEX(V786:AG786,1,MATCH(Parametres!$B$3,V$1:AG$1,0))*IF(OR(C786="L",C786="S",C786="I"),-1,1)</f>
        <v>1</v>
      </c>
      <c r="AY786" s="487" t="s">
        <v>337</v>
      </c>
      <c r="AZ786" s="487" t="str">
        <f>+VLOOKUP($AJ786,Data_Validation!$A:$E,5,0)</f>
        <v>Oui</v>
      </c>
    </row>
    <row r="787" spans="1:52" ht="15" hidden="1" customHeight="1">
      <c r="A787" s="706" t="s">
        <v>1148</v>
      </c>
      <c r="B787" s="706">
        <v>2026</v>
      </c>
      <c r="C787" s="706" t="s">
        <v>2532</v>
      </c>
      <c r="D787" s="706" t="s">
        <v>3373</v>
      </c>
      <c r="E787" s="706" t="s">
        <v>1151</v>
      </c>
      <c r="F787" s="706" t="s">
        <v>1149</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G47800</v>
      </c>
      <c r="AK787" s="905" t="str">
        <f t="shared" si="75"/>
        <v>VTE -PCE CARR.CLIENT.CAM.</v>
      </c>
      <c r="AL787" s="905">
        <f>IFERROR(INDEX(G787:R787,1,MATCH(Parametres!$B$3,G$1:R$1,0)-1)*IF(OR(F787="L",F787="S",F787="I"),-1,1),"")</f>
        <v>0</v>
      </c>
      <c r="AM787" s="905">
        <f t="shared" si="76"/>
        <v>0</v>
      </c>
      <c r="AN787" s="905">
        <f>INDEX(G787:R787,1,MATCH(Parametres!$B$3,G$1:R$1,0))*IF(OR(F787="L",F787="S",F787="I"),-1,1)</f>
        <v>0</v>
      </c>
      <c r="AO787" s="487" t="str">
        <f>+VLOOKUP($AJ787,Data_Validation!$A:$D,1,0)</f>
        <v>G47800</v>
      </c>
      <c r="AP787" s="487">
        <f>+VLOOKUP($AJ787,Data_Validation!$A:$D,3,0)</f>
        <v>0</v>
      </c>
      <c r="AQ787" s="487">
        <f>+VLOOKUP($AJ787,Data_Validation!$A:$D,4,0)</f>
        <v>0</v>
      </c>
      <c r="AR787" s="487" t="s">
        <v>299</v>
      </c>
      <c r="AS787" s="487">
        <f>+VLOOKUP($AJ787,Data_Validation!$A:$E,5,0)</f>
        <v>0</v>
      </c>
      <c r="AT787" s="904" t="str">
        <f t="shared" si="77"/>
        <v>G47800</v>
      </c>
      <c r="AU787" s="488" t="str">
        <f t="shared" si="78"/>
        <v>VTE -PCE CARR.CLIENT.CAM.</v>
      </c>
      <c r="AV787" s="899">
        <f>IFERROR(INDEX(V787:AG787,1,MATCH(Parametres!$B$3,V$1:AG$1,0)-1)*IF(OR(C787="L",C787="S",C787="I"),-1,1),"")</f>
        <v>0</v>
      </c>
      <c r="AW787" s="899">
        <f t="shared" si="79"/>
        <v>0</v>
      </c>
      <c r="AX787" s="899">
        <f>INDEX(V787:AG787,1,MATCH(Parametres!$B$3,V$1:AG$1,0))*IF(OR(C787="L",C787="S",C787="I"),-1,1)</f>
        <v>0</v>
      </c>
      <c r="AY787" s="487" t="s">
        <v>337</v>
      </c>
      <c r="AZ787" s="487">
        <f>+VLOOKUP($AJ787,Data_Validation!$A:$E,5,0)</f>
        <v>0</v>
      </c>
    </row>
    <row r="788" spans="1:52" ht="15" hidden="1" customHeight="1">
      <c r="A788" s="706" t="s">
        <v>1148</v>
      </c>
      <c r="B788" s="706">
        <v>2026</v>
      </c>
      <c r="C788" s="706" t="s">
        <v>2534</v>
      </c>
      <c r="D788" s="706" t="s">
        <v>2535</v>
      </c>
      <c r="E788" s="706" t="s">
        <v>1151</v>
      </c>
      <c r="F788" s="706" t="s">
        <v>1149</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G47840</v>
      </c>
      <c r="AK788" s="905" t="str">
        <f t="shared" si="75"/>
        <v>VTES-PCE GOODW.CAM MOYEN</v>
      </c>
      <c r="AL788" s="905">
        <f>IFERROR(INDEX(G788:R788,1,MATCH(Parametres!$B$3,G$1:R$1,0)-1)*IF(OR(F788="L",F788="S",F788="I"),-1,1),"")</f>
        <v>0</v>
      </c>
      <c r="AM788" s="905">
        <f t="shared" si="76"/>
        <v>0</v>
      </c>
      <c r="AN788" s="905">
        <f>INDEX(G788:R788,1,MATCH(Parametres!$B$3,G$1:R$1,0))*IF(OR(F788="L",F788="S",F788="I"),-1,1)</f>
        <v>0</v>
      </c>
      <c r="AO788" s="487" t="str">
        <f>+VLOOKUP($AJ788,Data_Validation!$A:$D,1,0)</f>
        <v>G47840</v>
      </c>
      <c r="AP788" s="487">
        <f>+VLOOKUP($AJ788,Data_Validation!$A:$D,3,0)</f>
        <v>0</v>
      </c>
      <c r="AQ788" s="487">
        <f>+VLOOKUP($AJ788,Data_Validation!$A:$D,4,0)</f>
        <v>0</v>
      </c>
      <c r="AR788" s="487" t="s">
        <v>299</v>
      </c>
      <c r="AS788" s="487">
        <f>+VLOOKUP($AJ788,Data_Validation!$A:$E,5,0)</f>
        <v>0</v>
      </c>
      <c r="AT788" s="904" t="str">
        <f t="shared" si="77"/>
        <v>G47840</v>
      </c>
      <c r="AU788" s="488" t="str">
        <f t="shared" si="78"/>
        <v>VTES-PCE GOODW.CAM MOYEN</v>
      </c>
      <c r="AV788" s="899">
        <f>IFERROR(INDEX(V788:AG788,1,MATCH(Parametres!$B$3,V$1:AG$1,0)-1)*IF(OR(C788="L",C788="S",C788="I"),-1,1),"")</f>
        <v>0</v>
      </c>
      <c r="AW788" s="899">
        <f t="shared" si="79"/>
        <v>0</v>
      </c>
      <c r="AX788" s="899">
        <f>INDEX(V788:AG788,1,MATCH(Parametres!$B$3,V$1:AG$1,0))*IF(OR(C788="L",C788="S",C788="I"),-1,1)</f>
        <v>0</v>
      </c>
      <c r="AY788" s="487" t="s">
        <v>337</v>
      </c>
      <c r="AZ788" s="487">
        <f>+VLOOKUP($AJ788,Data_Validation!$A:$E,5,0)</f>
        <v>0</v>
      </c>
    </row>
    <row r="789" spans="1:52" ht="15" hidden="1" customHeight="1">
      <c r="A789" s="706" t="s">
        <v>1148</v>
      </c>
      <c r="B789" s="706">
        <v>2026</v>
      </c>
      <c r="C789" s="706" t="s">
        <v>2536</v>
      </c>
      <c r="D789" s="706" t="s">
        <v>3374</v>
      </c>
      <c r="E789" s="706" t="s">
        <v>1151</v>
      </c>
      <c r="F789" s="706" t="s">
        <v>1149</v>
      </c>
      <c r="G789" s="706">
        <v>22035.39</v>
      </c>
      <c r="H789" s="706">
        <v>51692.06</v>
      </c>
      <c r="I789" s="706">
        <v>74713.48</v>
      </c>
      <c r="J789" s="706">
        <v>118736.54</v>
      </c>
      <c r="K789" s="706">
        <v>128979.54</v>
      </c>
      <c r="L789" s="706">
        <v>139535.45000000001</v>
      </c>
      <c r="M789" s="706">
        <v>149579.29</v>
      </c>
      <c r="N789" s="706">
        <v>159325.34</v>
      </c>
      <c r="O789" s="706">
        <v>177630.72</v>
      </c>
      <c r="P789" s="706">
        <v>178539.03</v>
      </c>
      <c r="Q789" s="706">
        <v>0</v>
      </c>
      <c r="R789" s="706">
        <v>0</v>
      </c>
      <c r="S789" s="706">
        <v>19736.75</v>
      </c>
      <c r="T789" s="706">
        <v>19736.75</v>
      </c>
      <c r="U789" s="706">
        <v>0</v>
      </c>
      <c r="V789" s="706">
        <v>48</v>
      </c>
      <c r="W789" s="706">
        <v>106</v>
      </c>
      <c r="X789" s="706">
        <v>170</v>
      </c>
      <c r="Y789" s="706">
        <v>245</v>
      </c>
      <c r="Z789" s="706">
        <v>272</v>
      </c>
      <c r="AA789" s="706">
        <v>297</v>
      </c>
      <c r="AB789" s="706">
        <v>314</v>
      </c>
      <c r="AC789" s="706">
        <v>333</v>
      </c>
      <c r="AD789" s="706">
        <v>372</v>
      </c>
      <c r="AE789" s="706">
        <v>376</v>
      </c>
      <c r="AF789" s="706">
        <v>0</v>
      </c>
      <c r="AG789" s="706">
        <v>0</v>
      </c>
      <c r="AH789" s="706">
        <v>41</v>
      </c>
      <c r="AI789" s="706">
        <v>41</v>
      </c>
      <c r="AJ789" s="905" t="str">
        <f t="shared" si="74"/>
        <v>G47900</v>
      </c>
      <c r="AK789" s="905" t="str">
        <f t="shared" si="75"/>
        <v>VTES -PEINTURE CARROSS.</v>
      </c>
      <c r="AL789" s="905">
        <f>IFERROR(INDEX(G789:R789,1,MATCH(Parametres!$B$3,G$1:R$1,0)-1)*IF(OR(F789="L",F789="S",F789="I"),-1,1),"")</f>
        <v>-159325.34</v>
      </c>
      <c r="AM789" s="905">
        <f t="shared" si="76"/>
        <v>-18305.380000000005</v>
      </c>
      <c r="AN789" s="905">
        <f>INDEX(G789:R789,1,MATCH(Parametres!$B$3,G$1:R$1,0))*IF(OR(F789="L",F789="S",F789="I"),-1,1)</f>
        <v>-177630.72</v>
      </c>
      <c r="AO789" s="487" t="str">
        <f>+VLOOKUP($AJ789,Data_Validation!$A:$D,1,0)</f>
        <v>G47900</v>
      </c>
      <c r="AP789" s="487" t="str">
        <f>+VLOOKUP($AJ789,Data_Validation!$A:$D,3,0)</f>
        <v>Carrosserie</v>
      </c>
      <c r="AQ789" s="487" t="str">
        <f>+VLOOKUP($AJ789,Data_Validation!$A:$D,4,0)</f>
        <v>Carrosserie Clients</v>
      </c>
      <c r="AR789" s="487" t="s">
        <v>299</v>
      </c>
      <c r="AS789" s="487" t="str">
        <f>+VLOOKUP($AJ789,Data_Validation!$A:$E,5,0)</f>
        <v>Oui</v>
      </c>
      <c r="AT789" s="904" t="str">
        <f t="shared" si="77"/>
        <v>G47900</v>
      </c>
      <c r="AU789" s="488" t="str">
        <f t="shared" si="78"/>
        <v>VTES -PEINTURE CARROSS.</v>
      </c>
      <c r="AV789" s="899">
        <f>IFERROR(INDEX(V789:AG789,1,MATCH(Parametres!$B$3,V$1:AG$1,0)-1)*IF(OR(C789="L",C789="S",C789="I"),-1,1),"")</f>
        <v>333</v>
      </c>
      <c r="AW789" s="899">
        <f t="shared" si="79"/>
        <v>39</v>
      </c>
      <c r="AX789" s="899">
        <f>INDEX(V789:AG789,1,MATCH(Parametres!$B$3,V$1:AG$1,0))*IF(OR(C789="L",C789="S",C789="I"),-1,1)</f>
        <v>372</v>
      </c>
      <c r="AY789" s="487" t="s">
        <v>337</v>
      </c>
      <c r="AZ789" s="487" t="str">
        <f>+VLOOKUP($AJ789,Data_Validation!$A:$E,5,0)</f>
        <v>Oui</v>
      </c>
    </row>
    <row r="790" spans="1:52" ht="15" hidden="1" customHeight="1">
      <c r="A790" s="706" t="s">
        <v>1148</v>
      </c>
      <c r="B790" s="706">
        <v>2026</v>
      </c>
      <c r="C790" s="706" t="s">
        <v>2538</v>
      </c>
      <c r="D790" s="706" t="s">
        <v>3375</v>
      </c>
      <c r="E790" s="706" t="s">
        <v>1151</v>
      </c>
      <c r="F790" s="706" t="s">
        <v>1149</v>
      </c>
      <c r="G790" s="706">
        <v>0</v>
      </c>
      <c r="H790" s="706">
        <v>0</v>
      </c>
      <c r="I790" s="706">
        <v>0</v>
      </c>
      <c r="J790" s="706">
        <v>0</v>
      </c>
      <c r="K790" s="706">
        <v>337.04</v>
      </c>
      <c r="L790" s="706">
        <v>1138.58</v>
      </c>
      <c r="M790" s="706">
        <v>1857.02</v>
      </c>
      <c r="N790" s="706">
        <v>3592.59</v>
      </c>
      <c r="O790" s="706">
        <v>4744.55</v>
      </c>
      <c r="P790" s="706">
        <v>4891.47</v>
      </c>
      <c r="Q790" s="706">
        <v>0</v>
      </c>
      <c r="R790" s="706">
        <v>0</v>
      </c>
      <c r="S790" s="706">
        <v>527.16999999999996</v>
      </c>
      <c r="T790" s="706">
        <v>527.16999999999996</v>
      </c>
      <c r="U790" s="706">
        <v>0</v>
      </c>
      <c r="V790" s="706">
        <v>0</v>
      </c>
      <c r="W790" s="706">
        <v>0</v>
      </c>
      <c r="X790" s="706">
        <v>0</v>
      </c>
      <c r="Y790" s="706">
        <v>0</v>
      </c>
      <c r="Z790" s="706">
        <v>2</v>
      </c>
      <c r="AA790" s="706">
        <v>7</v>
      </c>
      <c r="AB790" s="706">
        <v>11</v>
      </c>
      <c r="AC790" s="706">
        <v>17</v>
      </c>
      <c r="AD790" s="706">
        <v>26</v>
      </c>
      <c r="AE790" s="706">
        <v>27</v>
      </c>
      <c r="AF790" s="706">
        <v>0</v>
      </c>
      <c r="AG790" s="706">
        <v>0</v>
      </c>
      <c r="AH790" s="706">
        <v>3</v>
      </c>
      <c r="AI790" s="706">
        <v>3</v>
      </c>
      <c r="AJ790" s="905" t="str">
        <f t="shared" si="74"/>
        <v>G47903</v>
      </c>
      <c r="AK790" s="905" t="str">
        <f t="shared" si="75"/>
        <v>VTES -PEINT. INTERN-BODY</v>
      </c>
      <c r="AL790" s="905">
        <f>IFERROR(INDEX(G790:R790,1,MATCH(Parametres!$B$3,G$1:R$1,0)-1)*IF(OR(F790="L",F790="S",F790="I"),-1,1),"")</f>
        <v>-3592.59</v>
      </c>
      <c r="AM790" s="905">
        <f t="shared" si="76"/>
        <v>-1151.96</v>
      </c>
      <c r="AN790" s="905">
        <f>INDEX(G790:R790,1,MATCH(Parametres!$B$3,G$1:R$1,0))*IF(OR(F790="L",F790="S",F790="I"),-1,1)</f>
        <v>-4744.55</v>
      </c>
      <c r="AO790" s="487" t="str">
        <f>+VLOOKUP($AJ790,Data_Validation!$A:$D,1,0)</f>
        <v>G47903</v>
      </c>
      <c r="AP790" s="487" t="str">
        <f>+VLOOKUP($AJ790,Data_Validation!$A:$D,3,0)</f>
        <v>Carrosserie</v>
      </c>
      <c r="AQ790" s="487" t="str">
        <f>+VLOOKUP($AJ790,Data_Validation!$A:$D,4,0)</f>
        <v>Carrosserie Interne</v>
      </c>
      <c r="AR790" s="487" t="s">
        <v>299</v>
      </c>
      <c r="AS790" s="487" t="str">
        <f>+VLOOKUP($AJ790,Data_Validation!$A:$E,5,0)</f>
        <v>Oui</v>
      </c>
      <c r="AT790" s="904" t="str">
        <f t="shared" si="77"/>
        <v>G47903</v>
      </c>
      <c r="AU790" s="488" t="str">
        <f t="shared" si="78"/>
        <v>VTES -PEINT. INTERN-BODY</v>
      </c>
      <c r="AV790" s="899">
        <f>IFERROR(INDEX(V790:AG790,1,MATCH(Parametres!$B$3,V$1:AG$1,0)-1)*IF(OR(C790="L",C790="S",C790="I"),-1,1),"")</f>
        <v>17</v>
      </c>
      <c r="AW790" s="899">
        <f t="shared" si="79"/>
        <v>9</v>
      </c>
      <c r="AX790" s="899">
        <f>INDEX(V790:AG790,1,MATCH(Parametres!$B$3,V$1:AG$1,0))*IF(OR(C790="L",C790="S",C790="I"),-1,1)</f>
        <v>26</v>
      </c>
      <c r="AY790" s="487" t="s">
        <v>337</v>
      </c>
      <c r="AZ790" s="487" t="str">
        <f>+VLOOKUP($AJ790,Data_Validation!$A:$E,5,0)</f>
        <v>Oui</v>
      </c>
    </row>
    <row r="791" spans="1:52" ht="15" hidden="1" customHeight="1">
      <c r="A791" s="706" t="s">
        <v>1148</v>
      </c>
      <c r="B791" s="706">
        <v>2026</v>
      </c>
      <c r="C791" s="706" t="s">
        <v>2540</v>
      </c>
      <c r="D791" s="706" t="s">
        <v>3376</v>
      </c>
      <c r="E791" s="706" t="s">
        <v>1151</v>
      </c>
      <c r="F791" s="706" t="s">
        <v>1149</v>
      </c>
      <c r="G791" s="706">
        <v>0</v>
      </c>
      <c r="H791" s="706">
        <v>0</v>
      </c>
      <c r="I791" s="706">
        <v>0</v>
      </c>
      <c r="J791" s="706">
        <v>0</v>
      </c>
      <c r="K791" s="706">
        <v>8325.6200000000008</v>
      </c>
      <c r="L791" s="706">
        <v>18909.43</v>
      </c>
      <c r="M791" s="706">
        <v>25496.63</v>
      </c>
      <c r="N791" s="706">
        <v>31833.25</v>
      </c>
      <c r="O791" s="706">
        <v>36382.33</v>
      </c>
      <c r="P791" s="706">
        <v>36615.129999999997</v>
      </c>
      <c r="Q791" s="706">
        <v>0</v>
      </c>
      <c r="R791" s="706">
        <v>0</v>
      </c>
      <c r="S791" s="706">
        <v>4042.48</v>
      </c>
      <c r="T791" s="706">
        <v>4042.48</v>
      </c>
      <c r="U791" s="706">
        <v>0</v>
      </c>
      <c r="V791" s="706">
        <v>0</v>
      </c>
      <c r="W791" s="706">
        <v>0</v>
      </c>
      <c r="X791" s="706">
        <v>0</v>
      </c>
      <c r="Y791" s="706">
        <v>0</v>
      </c>
      <c r="Z791" s="706">
        <v>18</v>
      </c>
      <c r="AA791" s="706">
        <v>40</v>
      </c>
      <c r="AB791" s="706">
        <v>57</v>
      </c>
      <c r="AC791" s="706">
        <v>71</v>
      </c>
      <c r="AD791" s="706">
        <v>88</v>
      </c>
      <c r="AE791" s="706">
        <v>90</v>
      </c>
      <c r="AF791" s="706">
        <v>0</v>
      </c>
      <c r="AG791" s="706">
        <v>0</v>
      </c>
      <c r="AH791" s="706">
        <v>10</v>
      </c>
      <c r="AI791" s="706">
        <v>10</v>
      </c>
      <c r="AJ791" s="905" t="str">
        <f t="shared" si="74"/>
        <v>G47905</v>
      </c>
      <c r="AK791" s="905" t="str">
        <f t="shared" si="75"/>
        <v>VTES -PEINT CONC-BODY</v>
      </c>
      <c r="AL791" s="905">
        <f>IFERROR(INDEX(G791:R791,1,MATCH(Parametres!$B$3,G$1:R$1,0)-1)*IF(OR(F791="L",F791="S",F791="I"),-1,1),"")</f>
        <v>-31833.25</v>
      </c>
      <c r="AM791" s="905">
        <f t="shared" si="76"/>
        <v>-4549.0800000000017</v>
      </c>
      <c r="AN791" s="905">
        <f>INDEX(G791:R791,1,MATCH(Parametres!$B$3,G$1:R$1,0))*IF(OR(F791="L",F791="S",F791="I"),-1,1)</f>
        <v>-36382.33</v>
      </c>
      <c r="AO791" s="487" t="str">
        <f>+VLOOKUP($AJ791,Data_Validation!$A:$D,1,0)</f>
        <v>G47905</v>
      </c>
      <c r="AP791" s="487" t="str">
        <f>+VLOOKUP($AJ791,Data_Validation!$A:$D,3,0)</f>
        <v>Carrosserie</v>
      </c>
      <c r="AQ791" s="487" t="str">
        <f>+VLOOKUP($AJ791,Data_Validation!$A:$D,4,0)</f>
        <v>Carrosserie Concessions</v>
      </c>
      <c r="AR791" s="487" t="s">
        <v>299</v>
      </c>
      <c r="AS791" s="487" t="str">
        <f>+VLOOKUP($AJ791,Data_Validation!$A:$E,5,0)</f>
        <v>Oui</v>
      </c>
      <c r="AT791" s="904" t="str">
        <f t="shared" si="77"/>
        <v>G47905</v>
      </c>
      <c r="AU791" s="488" t="str">
        <f t="shared" si="78"/>
        <v>VTES -PEINT CONC-BODY</v>
      </c>
      <c r="AV791" s="899">
        <f>IFERROR(INDEX(V791:AG791,1,MATCH(Parametres!$B$3,V$1:AG$1,0)-1)*IF(OR(C791="L",C791="S",C791="I"),-1,1),"")</f>
        <v>71</v>
      </c>
      <c r="AW791" s="899">
        <f t="shared" si="79"/>
        <v>17</v>
      </c>
      <c r="AX791" s="899">
        <f>INDEX(V791:AG791,1,MATCH(Parametres!$B$3,V$1:AG$1,0))*IF(OR(C791="L",C791="S",C791="I"),-1,1)</f>
        <v>88</v>
      </c>
      <c r="AY791" s="487" t="s">
        <v>337</v>
      </c>
      <c r="AZ791" s="487" t="str">
        <f>+VLOOKUP($AJ791,Data_Validation!$A:$E,5,0)</f>
        <v>Oui</v>
      </c>
    </row>
    <row r="792" spans="1:52" ht="15" hidden="1" customHeight="1">
      <c r="A792" s="706" t="s">
        <v>1148</v>
      </c>
      <c r="B792" s="706">
        <v>2026</v>
      </c>
      <c r="C792" s="706" t="s">
        <v>2542</v>
      </c>
      <c r="D792" s="706" t="s">
        <v>3377</v>
      </c>
      <c r="E792" s="706" t="s">
        <v>1151</v>
      </c>
      <c r="F792" s="706" t="s">
        <v>1149</v>
      </c>
      <c r="G792" s="706">
        <v>0</v>
      </c>
      <c r="H792" s="706">
        <v>0</v>
      </c>
      <c r="I792" s="706">
        <v>0</v>
      </c>
      <c r="J792" s="706">
        <v>0</v>
      </c>
      <c r="K792" s="706">
        <v>2666.08</v>
      </c>
      <c r="L792" s="706">
        <v>9429.58</v>
      </c>
      <c r="M792" s="706">
        <v>13724.29</v>
      </c>
      <c r="N792" s="706">
        <v>17889.93</v>
      </c>
      <c r="O792" s="706">
        <v>27999.54</v>
      </c>
      <c r="P792" s="706">
        <v>29839.41</v>
      </c>
      <c r="Q792" s="706">
        <v>0</v>
      </c>
      <c r="R792" s="706">
        <v>0</v>
      </c>
      <c r="S792" s="706">
        <v>3111.06</v>
      </c>
      <c r="T792" s="706">
        <v>3111.06</v>
      </c>
      <c r="U792" s="706">
        <v>0</v>
      </c>
      <c r="V792" s="706">
        <v>0</v>
      </c>
      <c r="W792" s="706">
        <v>0</v>
      </c>
      <c r="X792" s="706">
        <v>0</v>
      </c>
      <c r="Y792" s="706">
        <v>0</v>
      </c>
      <c r="Z792" s="706">
        <v>12</v>
      </c>
      <c r="AA792" s="706">
        <v>42</v>
      </c>
      <c r="AB792" s="706">
        <v>67</v>
      </c>
      <c r="AC792" s="706">
        <v>88</v>
      </c>
      <c r="AD792" s="706">
        <v>136</v>
      </c>
      <c r="AE792" s="706">
        <v>141</v>
      </c>
      <c r="AF792" s="706">
        <v>0</v>
      </c>
      <c r="AG792" s="706">
        <v>0</v>
      </c>
      <c r="AH792" s="706">
        <v>15</v>
      </c>
      <c r="AI792" s="706">
        <v>15</v>
      </c>
      <c r="AJ792" s="905" t="str">
        <f t="shared" ref="AJ792:AJ855" si="80">C792</f>
        <v>G47910</v>
      </c>
      <c r="AK792" s="905" t="str">
        <f t="shared" ref="AK792:AK855" si="81">D792</f>
        <v>VTES -M-ATELIER CLT-BODY</v>
      </c>
      <c r="AL792" s="905">
        <f>IFERROR(INDEX(G792:R792,1,MATCH(Parametres!$B$3,G$1:R$1,0)-1)*IF(OR(F792="L",F792="S",F792="I"),-1,1),"")</f>
        <v>-17889.93</v>
      </c>
      <c r="AM792" s="905">
        <f t="shared" ref="AM792:AM855" si="82">AN792-AL792</f>
        <v>-10109.61</v>
      </c>
      <c r="AN792" s="905">
        <f>INDEX(G792:R792,1,MATCH(Parametres!$B$3,G$1:R$1,0))*IF(OR(F792="L",F792="S",F792="I"),-1,1)</f>
        <v>-27999.54</v>
      </c>
      <c r="AO792" s="487" t="str">
        <f>+VLOOKUP($AJ792,Data_Validation!$A:$D,1,0)</f>
        <v>G47910</v>
      </c>
      <c r="AP792" s="487" t="str">
        <f>+VLOOKUP($AJ792,Data_Validation!$A:$D,3,0)</f>
        <v>Carrosserie</v>
      </c>
      <c r="AQ792" s="487" t="str">
        <f>+VLOOKUP($AJ792,Data_Validation!$A:$D,4,0)</f>
        <v>Carrosserie Clients</v>
      </c>
      <c r="AR792" s="487" t="s">
        <v>299</v>
      </c>
      <c r="AS792" s="487" t="str">
        <f>+VLOOKUP($AJ792,Data_Validation!$A:$E,5,0)</f>
        <v>Oui</v>
      </c>
      <c r="AT792" s="904" t="str">
        <f t="shared" ref="AT792:AT855" si="83">C792</f>
        <v>G47910</v>
      </c>
      <c r="AU792" s="488" t="str">
        <f t="shared" ref="AU792:AU855" si="84">D792</f>
        <v>VTES -M-ATELIER CLT-BODY</v>
      </c>
      <c r="AV792" s="899">
        <f>IFERROR(INDEX(V792:AG792,1,MATCH(Parametres!$B$3,V$1:AG$1,0)-1)*IF(OR(C792="L",C792="S",C792="I"),-1,1),"")</f>
        <v>88</v>
      </c>
      <c r="AW792" s="899">
        <f t="shared" ref="AW792:AW855" si="85">AX792-AV792</f>
        <v>48</v>
      </c>
      <c r="AX792" s="899">
        <f>INDEX(V792:AG792,1,MATCH(Parametres!$B$3,V$1:AG$1,0))*IF(OR(C792="L",C792="S",C792="I"),-1,1)</f>
        <v>136</v>
      </c>
      <c r="AY792" s="487" t="s">
        <v>337</v>
      </c>
      <c r="AZ792" s="487" t="str">
        <f>+VLOOKUP($AJ792,Data_Validation!$A:$E,5,0)</f>
        <v>Oui</v>
      </c>
    </row>
    <row r="793" spans="1:52" ht="15" hidden="1" customHeight="1">
      <c r="A793" s="706" t="s">
        <v>1148</v>
      </c>
      <c r="B793" s="706">
        <v>2026</v>
      </c>
      <c r="C793" s="706" t="s">
        <v>2544</v>
      </c>
      <c r="D793" s="706" t="s">
        <v>3378</v>
      </c>
      <c r="E793" s="706" t="s">
        <v>1151</v>
      </c>
      <c r="F793" s="706" t="s">
        <v>1149</v>
      </c>
      <c r="G793" s="706">
        <v>0</v>
      </c>
      <c r="H793" s="706">
        <v>0</v>
      </c>
      <c r="I793" s="706">
        <v>0</v>
      </c>
      <c r="J793" s="706">
        <v>0</v>
      </c>
      <c r="K793" s="706">
        <v>180.84</v>
      </c>
      <c r="L793" s="706">
        <v>510.43</v>
      </c>
      <c r="M793" s="706">
        <v>744.91</v>
      </c>
      <c r="N793" s="706">
        <v>1529.1</v>
      </c>
      <c r="O793" s="706">
        <v>2105.98</v>
      </c>
      <c r="P793" s="706">
        <v>2152.7800000000002</v>
      </c>
      <c r="Q793" s="706">
        <v>0</v>
      </c>
      <c r="R793" s="706">
        <v>0</v>
      </c>
      <c r="S793" s="706">
        <v>234</v>
      </c>
      <c r="T793" s="706">
        <v>234</v>
      </c>
      <c r="U793" s="706">
        <v>0</v>
      </c>
      <c r="V793" s="706">
        <v>0</v>
      </c>
      <c r="W793" s="706">
        <v>0</v>
      </c>
      <c r="X793" s="706">
        <v>0</v>
      </c>
      <c r="Y793" s="706">
        <v>0</v>
      </c>
      <c r="Z793" s="706">
        <v>2</v>
      </c>
      <c r="AA793" s="706">
        <v>6</v>
      </c>
      <c r="AB793" s="706">
        <v>9</v>
      </c>
      <c r="AC793" s="706">
        <v>14</v>
      </c>
      <c r="AD793" s="706">
        <v>23</v>
      </c>
      <c r="AE793" s="706">
        <v>24</v>
      </c>
      <c r="AF793" s="706">
        <v>0</v>
      </c>
      <c r="AG793" s="706">
        <v>0</v>
      </c>
      <c r="AH793" s="706">
        <v>3</v>
      </c>
      <c r="AI793" s="706">
        <v>3</v>
      </c>
      <c r="AJ793" s="905" t="str">
        <f t="shared" si="80"/>
        <v>G47913</v>
      </c>
      <c r="AK793" s="905" t="str">
        <f t="shared" si="81"/>
        <v>VTES -M. ATEL.INTERN-BODY</v>
      </c>
      <c r="AL793" s="905">
        <f>IFERROR(INDEX(G793:R793,1,MATCH(Parametres!$B$3,G$1:R$1,0)-1)*IF(OR(F793="L",F793="S",F793="I"),-1,1),"")</f>
        <v>-1529.1</v>
      </c>
      <c r="AM793" s="905">
        <f t="shared" si="82"/>
        <v>-576.88000000000011</v>
      </c>
      <c r="AN793" s="905">
        <f>INDEX(G793:R793,1,MATCH(Parametres!$B$3,G$1:R$1,0))*IF(OR(F793="L",F793="S",F793="I"),-1,1)</f>
        <v>-2105.98</v>
      </c>
      <c r="AO793" s="487" t="str">
        <f>+VLOOKUP($AJ793,Data_Validation!$A:$D,1,0)</f>
        <v>G47913</v>
      </c>
      <c r="AP793" s="487" t="str">
        <f>+VLOOKUP($AJ793,Data_Validation!$A:$D,3,0)</f>
        <v>Carrosserie</v>
      </c>
      <c r="AQ793" s="487" t="str">
        <f>+VLOOKUP($AJ793,Data_Validation!$A:$D,4,0)</f>
        <v>Carrosserie Interne</v>
      </c>
      <c r="AR793" s="487" t="s">
        <v>299</v>
      </c>
      <c r="AS793" s="487" t="str">
        <f>+VLOOKUP($AJ793,Data_Validation!$A:$E,5,0)</f>
        <v>Oui</v>
      </c>
      <c r="AT793" s="904" t="str">
        <f t="shared" si="83"/>
        <v>G47913</v>
      </c>
      <c r="AU793" s="488" t="str">
        <f t="shared" si="84"/>
        <v>VTES -M. ATEL.INTERN-BODY</v>
      </c>
      <c r="AV793" s="899">
        <f>IFERROR(INDEX(V793:AG793,1,MATCH(Parametres!$B$3,V$1:AG$1,0)-1)*IF(OR(C793="L",C793="S",C793="I"),-1,1),"")</f>
        <v>14</v>
      </c>
      <c r="AW793" s="899">
        <f t="shared" si="85"/>
        <v>9</v>
      </c>
      <c r="AX793" s="899">
        <f>INDEX(V793:AG793,1,MATCH(Parametres!$B$3,V$1:AG$1,0))*IF(OR(C793="L",C793="S",C793="I"),-1,1)</f>
        <v>23</v>
      </c>
      <c r="AY793" s="487" t="s">
        <v>337</v>
      </c>
      <c r="AZ793" s="487" t="str">
        <f>+VLOOKUP($AJ793,Data_Validation!$A:$E,5,0)</f>
        <v>Oui</v>
      </c>
    </row>
    <row r="794" spans="1:52" ht="15" hidden="1" customHeight="1">
      <c r="A794" s="706" t="s">
        <v>1148</v>
      </c>
      <c r="B794" s="706">
        <v>2026</v>
      </c>
      <c r="C794" s="706" t="s">
        <v>2546</v>
      </c>
      <c r="D794" s="706" t="s">
        <v>3379</v>
      </c>
      <c r="E794" s="706" t="s">
        <v>1151</v>
      </c>
      <c r="F794" s="706" t="s">
        <v>1149</v>
      </c>
      <c r="G794" s="706">
        <v>0</v>
      </c>
      <c r="H794" s="706">
        <v>0</v>
      </c>
      <c r="I794" s="706">
        <v>0</v>
      </c>
      <c r="J794" s="706">
        <v>0</v>
      </c>
      <c r="K794" s="706">
        <v>1133.0999999999999</v>
      </c>
      <c r="L794" s="706">
        <v>5151.83</v>
      </c>
      <c r="M794" s="706">
        <v>7518.17</v>
      </c>
      <c r="N794" s="706">
        <v>10303.77</v>
      </c>
      <c r="O794" s="706">
        <v>12284.28</v>
      </c>
      <c r="P794" s="706">
        <v>12426.7</v>
      </c>
      <c r="Q794" s="706">
        <v>0</v>
      </c>
      <c r="R794" s="706">
        <v>0</v>
      </c>
      <c r="S794" s="706">
        <v>1364.92</v>
      </c>
      <c r="T794" s="706">
        <v>1364.92</v>
      </c>
      <c r="U794" s="706">
        <v>0</v>
      </c>
      <c r="V794" s="706">
        <v>0</v>
      </c>
      <c r="W794" s="706">
        <v>0</v>
      </c>
      <c r="X794" s="706">
        <v>0</v>
      </c>
      <c r="Y794" s="706">
        <v>0</v>
      </c>
      <c r="Z794" s="706">
        <v>12</v>
      </c>
      <c r="AA794" s="706">
        <v>32</v>
      </c>
      <c r="AB794" s="706">
        <v>49</v>
      </c>
      <c r="AC794" s="706">
        <v>62</v>
      </c>
      <c r="AD794" s="706">
        <v>76</v>
      </c>
      <c r="AE794" s="706">
        <v>78</v>
      </c>
      <c r="AF794" s="706">
        <v>0</v>
      </c>
      <c r="AG794" s="706">
        <v>0</v>
      </c>
      <c r="AH794" s="706">
        <v>8</v>
      </c>
      <c r="AI794" s="706">
        <v>8</v>
      </c>
      <c r="AJ794" s="905" t="str">
        <f t="shared" si="80"/>
        <v>G47915</v>
      </c>
      <c r="AK794" s="905" t="str">
        <f t="shared" si="81"/>
        <v>VTES -M.A CONCES. BODY</v>
      </c>
      <c r="AL794" s="905">
        <f>IFERROR(INDEX(G794:R794,1,MATCH(Parametres!$B$3,G$1:R$1,0)-1)*IF(OR(F794="L",F794="S",F794="I"),-1,1),"")</f>
        <v>-10303.77</v>
      </c>
      <c r="AM794" s="905">
        <f t="shared" si="82"/>
        <v>-1980.5100000000002</v>
      </c>
      <c r="AN794" s="905">
        <f>INDEX(G794:R794,1,MATCH(Parametres!$B$3,G$1:R$1,0))*IF(OR(F794="L",F794="S",F794="I"),-1,1)</f>
        <v>-12284.28</v>
      </c>
      <c r="AO794" s="487" t="str">
        <f>+VLOOKUP($AJ794,Data_Validation!$A:$D,1,0)</f>
        <v>G47915</v>
      </c>
      <c r="AP794" s="487" t="str">
        <f>+VLOOKUP($AJ794,Data_Validation!$A:$D,3,0)</f>
        <v>Carrosserie</v>
      </c>
      <c r="AQ794" s="487" t="str">
        <f>+VLOOKUP($AJ794,Data_Validation!$A:$D,4,0)</f>
        <v>Carrosserie Concessions</v>
      </c>
      <c r="AR794" s="487" t="s">
        <v>299</v>
      </c>
      <c r="AS794" s="487" t="str">
        <f>+VLOOKUP($AJ794,Data_Validation!$A:$E,5,0)</f>
        <v>Oui</v>
      </c>
      <c r="AT794" s="904" t="str">
        <f t="shared" si="83"/>
        <v>G47915</v>
      </c>
      <c r="AU794" s="488" t="str">
        <f t="shared" si="84"/>
        <v>VTES -M.A CONCES. BODY</v>
      </c>
      <c r="AV794" s="899">
        <f>IFERROR(INDEX(V794:AG794,1,MATCH(Parametres!$B$3,V$1:AG$1,0)-1)*IF(OR(C794="L",C794="S",C794="I"),-1,1),"")</f>
        <v>62</v>
      </c>
      <c r="AW794" s="899">
        <f t="shared" si="85"/>
        <v>14</v>
      </c>
      <c r="AX794" s="899">
        <f>INDEX(V794:AG794,1,MATCH(Parametres!$B$3,V$1:AG$1,0))*IF(OR(C794="L",C794="S",C794="I"),-1,1)</f>
        <v>76</v>
      </c>
      <c r="AY794" s="487" t="s">
        <v>337</v>
      </c>
      <c r="AZ794" s="487" t="str">
        <f>+VLOOKUP($AJ794,Data_Validation!$A:$E,5,0)</f>
        <v>Oui</v>
      </c>
    </row>
    <row r="795" spans="1:52" ht="15" hidden="1" customHeight="1">
      <c r="A795" s="706" t="s">
        <v>1148</v>
      </c>
      <c r="B795" s="706">
        <v>2026</v>
      </c>
      <c r="C795" s="706" t="s">
        <v>2548</v>
      </c>
      <c r="D795" s="706" t="s">
        <v>2549</v>
      </c>
      <c r="E795" s="706" t="s">
        <v>1151</v>
      </c>
      <c r="F795" s="706" t="s">
        <v>1149</v>
      </c>
      <c r="G795" s="706">
        <v>55197.67</v>
      </c>
      <c r="H795" s="706">
        <v>107368.4</v>
      </c>
      <c r="I795" s="706">
        <v>183959.93</v>
      </c>
      <c r="J795" s="706">
        <v>242239.2</v>
      </c>
      <c r="K795" s="706">
        <v>269829.43</v>
      </c>
      <c r="L795" s="706">
        <v>360086.9</v>
      </c>
      <c r="M795" s="706">
        <v>413980.82</v>
      </c>
      <c r="N795" s="706">
        <v>500886.21</v>
      </c>
      <c r="O795" s="706">
        <v>542749.89</v>
      </c>
      <c r="P795" s="706">
        <v>549775.39</v>
      </c>
      <c r="Q795" s="706">
        <v>0</v>
      </c>
      <c r="R795" s="706">
        <v>0</v>
      </c>
      <c r="S795" s="706">
        <v>60305.54</v>
      </c>
      <c r="T795" s="706">
        <v>60305.54</v>
      </c>
      <c r="U795" s="706">
        <v>0</v>
      </c>
      <c r="V795" s="706">
        <v>202</v>
      </c>
      <c r="W795" s="706">
        <v>387</v>
      </c>
      <c r="X795" s="706">
        <v>642</v>
      </c>
      <c r="Y795" s="706">
        <v>833</v>
      </c>
      <c r="Z795" s="706">
        <v>992</v>
      </c>
      <c r="AA795" s="706">
        <v>1258</v>
      </c>
      <c r="AB795" s="706">
        <v>1410</v>
      </c>
      <c r="AC795" s="706">
        <v>1611</v>
      </c>
      <c r="AD795" s="706">
        <v>1738</v>
      </c>
      <c r="AE795" s="706">
        <v>1767</v>
      </c>
      <c r="AF795" s="706">
        <v>0</v>
      </c>
      <c r="AG795" s="706">
        <v>0</v>
      </c>
      <c r="AH795" s="706">
        <v>193</v>
      </c>
      <c r="AI795" s="706">
        <v>193</v>
      </c>
      <c r="AJ795" s="905" t="str">
        <f t="shared" si="80"/>
        <v>G48000</v>
      </c>
      <c r="AK795" s="905" t="str">
        <f t="shared" si="81"/>
        <v>VTES-PIECES GARANTIES</v>
      </c>
      <c r="AL795" s="905">
        <f>IFERROR(INDEX(G795:R795,1,MATCH(Parametres!$B$3,G$1:R$1,0)-1)*IF(OR(F795="L",F795="S",F795="I"),-1,1),"")</f>
        <v>-500886.21</v>
      </c>
      <c r="AM795" s="905">
        <f t="shared" si="82"/>
        <v>-41863.679999999993</v>
      </c>
      <c r="AN795" s="905">
        <f>INDEX(G795:R795,1,MATCH(Parametres!$B$3,G$1:R$1,0))*IF(OR(F795="L",F795="S",F795="I"),-1,1)</f>
        <v>-542749.89</v>
      </c>
      <c r="AO795" s="487" t="str">
        <f>+VLOOKUP($AJ795,Data_Validation!$A:$D,1,0)</f>
        <v>G48000</v>
      </c>
      <c r="AP795" s="487" t="str">
        <f>+VLOOKUP($AJ795,Data_Validation!$A:$D,3,0)</f>
        <v>Pièces</v>
      </c>
      <c r="AQ795" s="487" t="str">
        <f>+VLOOKUP($AJ795,Data_Validation!$A:$D,4,0)</f>
        <v>P/A Garantie</v>
      </c>
      <c r="AR795" s="487" t="s">
        <v>299</v>
      </c>
      <c r="AS795" s="487" t="str">
        <f>+VLOOKUP($AJ795,Data_Validation!$A:$E,5,0)</f>
        <v>Oui</v>
      </c>
      <c r="AT795" s="904" t="str">
        <f t="shared" si="83"/>
        <v>G48000</v>
      </c>
      <c r="AU795" s="488" t="str">
        <f t="shared" si="84"/>
        <v>VTES-PIECES GARANTIES</v>
      </c>
      <c r="AV795" s="899">
        <f>IFERROR(INDEX(V795:AG795,1,MATCH(Parametres!$B$3,V$1:AG$1,0)-1)*IF(OR(C795="L",C795="S",C795="I"),-1,1),"")</f>
        <v>1611</v>
      </c>
      <c r="AW795" s="899">
        <f t="shared" si="85"/>
        <v>127</v>
      </c>
      <c r="AX795" s="899">
        <f>INDEX(V795:AG795,1,MATCH(Parametres!$B$3,V$1:AG$1,0))*IF(OR(C795="L",C795="S",C795="I"),-1,1)</f>
        <v>1738</v>
      </c>
      <c r="AY795" s="487" t="s">
        <v>337</v>
      </c>
      <c r="AZ795" s="487" t="str">
        <f>+VLOOKUP($AJ795,Data_Validation!$A:$E,5,0)</f>
        <v>Oui</v>
      </c>
    </row>
    <row r="796" spans="1:52" ht="15" hidden="1" customHeight="1">
      <c r="A796" s="706" t="s">
        <v>1148</v>
      </c>
      <c r="B796" s="706">
        <v>2026</v>
      </c>
      <c r="C796" s="706" t="s">
        <v>2550</v>
      </c>
      <c r="D796" s="706" t="s">
        <v>2551</v>
      </c>
      <c r="E796" s="706" t="s">
        <v>1151</v>
      </c>
      <c r="F796" s="706" t="s">
        <v>1149</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G48020</v>
      </c>
      <c r="AK796" s="905" t="str">
        <f t="shared" si="81"/>
        <v>VTES-PCE RECLAM.CAM MOYEN</v>
      </c>
      <c r="AL796" s="905">
        <f>IFERROR(INDEX(G796:R796,1,MATCH(Parametres!$B$3,G$1:R$1,0)-1)*IF(OR(F796="L",F796="S",F796="I"),-1,1),"")</f>
        <v>0</v>
      </c>
      <c r="AM796" s="905">
        <f t="shared" si="82"/>
        <v>0</v>
      </c>
      <c r="AN796" s="905">
        <f>INDEX(G796:R796,1,MATCH(Parametres!$B$3,G$1:R$1,0))*IF(OR(F796="L",F796="S",F796="I"),-1,1)</f>
        <v>0</v>
      </c>
      <c r="AO796" s="487" t="str">
        <f>+VLOOKUP($AJ796,Data_Validation!$A:$D,1,0)</f>
        <v>G48020</v>
      </c>
      <c r="AP796" s="487" t="str">
        <f>+VLOOKUP($AJ796,Data_Validation!$A:$D,3,0)</f>
        <v>Pièces</v>
      </c>
      <c r="AQ796" s="487" t="str">
        <f>+VLOOKUP($AJ796,Data_Validation!$A:$D,4,0)</f>
        <v>P/A Garantie</v>
      </c>
      <c r="AR796" s="487" t="s">
        <v>299</v>
      </c>
      <c r="AS796" s="487" t="str">
        <f>+VLOOKUP($AJ796,Data_Validation!$A:$E,5,0)</f>
        <v>Oui</v>
      </c>
      <c r="AT796" s="904" t="str">
        <f t="shared" si="83"/>
        <v>G48020</v>
      </c>
      <c r="AU796" s="488" t="str">
        <f t="shared" si="84"/>
        <v>VTES-PCE RECLAM.CAM MOYEN</v>
      </c>
      <c r="AV796" s="899">
        <f>IFERROR(INDEX(V796:AG796,1,MATCH(Parametres!$B$3,V$1:AG$1,0)-1)*IF(OR(C796="L",C796="S",C796="I"),-1,1),"")</f>
        <v>0</v>
      </c>
      <c r="AW796" s="899">
        <f t="shared" si="85"/>
        <v>0</v>
      </c>
      <c r="AX796" s="899">
        <f>INDEX(V796:AG796,1,MATCH(Parametres!$B$3,V$1:AG$1,0))*IF(OR(C796="L",C796="S",C796="I"),-1,1)</f>
        <v>0</v>
      </c>
      <c r="AY796" s="487" t="s">
        <v>337</v>
      </c>
      <c r="AZ796" s="487" t="str">
        <f>+VLOOKUP($AJ796,Data_Validation!$A:$E,5,0)</f>
        <v>Oui</v>
      </c>
    </row>
    <row r="797" spans="1:52" ht="15" hidden="1" customHeight="1">
      <c r="A797" s="706" t="s">
        <v>1148</v>
      </c>
      <c r="B797" s="706">
        <v>2026</v>
      </c>
      <c r="C797" s="706" t="s">
        <v>2552</v>
      </c>
      <c r="D797" s="706" t="s">
        <v>2553</v>
      </c>
      <c r="E797" s="706" t="s">
        <v>1151</v>
      </c>
      <c r="F797" s="706" t="s">
        <v>1149</v>
      </c>
      <c r="G797" s="706">
        <v>45959.51</v>
      </c>
      <c r="H797" s="706">
        <v>105251.2</v>
      </c>
      <c r="I797" s="706">
        <v>165218.51999999999</v>
      </c>
      <c r="J797" s="706">
        <v>233121.15</v>
      </c>
      <c r="K797" s="706">
        <v>275045.87</v>
      </c>
      <c r="L797" s="706">
        <v>322913.62</v>
      </c>
      <c r="M797" s="706">
        <v>365310.89</v>
      </c>
      <c r="N797" s="706">
        <v>402264.33</v>
      </c>
      <c r="O797" s="706">
        <v>442767.28</v>
      </c>
      <c r="P797" s="706">
        <v>451474.45</v>
      </c>
      <c r="Q797" s="706">
        <v>0</v>
      </c>
      <c r="R797" s="706">
        <v>0</v>
      </c>
      <c r="S797" s="706">
        <v>49196.36</v>
      </c>
      <c r="T797" s="706">
        <v>49196.36</v>
      </c>
      <c r="U797" s="706">
        <v>0</v>
      </c>
      <c r="V797" s="706">
        <v>170</v>
      </c>
      <c r="W797" s="706">
        <v>328</v>
      </c>
      <c r="X797" s="706">
        <v>544</v>
      </c>
      <c r="Y797" s="706">
        <v>750</v>
      </c>
      <c r="Z797" s="706">
        <v>898</v>
      </c>
      <c r="AA797" s="706">
        <v>1083</v>
      </c>
      <c r="AB797" s="706">
        <v>1239</v>
      </c>
      <c r="AC797" s="706">
        <v>1398</v>
      </c>
      <c r="AD797" s="706">
        <v>1554</v>
      </c>
      <c r="AE797" s="706">
        <v>1575</v>
      </c>
      <c r="AF797" s="706">
        <v>0</v>
      </c>
      <c r="AG797" s="706">
        <v>0</v>
      </c>
      <c r="AH797" s="706">
        <v>173</v>
      </c>
      <c r="AI797" s="706">
        <v>173</v>
      </c>
      <c r="AJ797" s="905" t="str">
        <f t="shared" si="80"/>
        <v>G48100</v>
      </c>
      <c r="AK797" s="905" t="str">
        <f t="shared" si="81"/>
        <v>VTES-PIECES INTERNE</v>
      </c>
      <c r="AL797" s="905">
        <f>IFERROR(INDEX(G797:R797,1,MATCH(Parametres!$B$3,G$1:R$1,0)-1)*IF(OR(F797="L",F797="S",F797="I"),-1,1),"")</f>
        <v>-402264.33</v>
      </c>
      <c r="AM797" s="905">
        <f t="shared" si="82"/>
        <v>-40502.950000000012</v>
      </c>
      <c r="AN797" s="905">
        <f>INDEX(G797:R797,1,MATCH(Parametres!$B$3,G$1:R$1,0))*IF(OR(F797="L",F797="S",F797="I"),-1,1)</f>
        <v>-442767.28</v>
      </c>
      <c r="AO797" s="487" t="str">
        <f>+VLOOKUP($AJ797,Data_Validation!$A:$D,1,0)</f>
        <v>G48100</v>
      </c>
      <c r="AP797" s="487" t="str">
        <f>+VLOOKUP($AJ797,Data_Validation!$A:$D,3,0)</f>
        <v>Pièces</v>
      </c>
      <c r="AQ797" s="487" t="str">
        <f>+VLOOKUP($AJ797,Data_Validation!$A:$D,4,0)</f>
        <v>Ventes Internes</v>
      </c>
      <c r="AR797" s="487" t="s">
        <v>299</v>
      </c>
      <c r="AS797" s="487" t="str">
        <f>+VLOOKUP($AJ797,Data_Validation!$A:$E,5,0)</f>
        <v>Oui</v>
      </c>
      <c r="AT797" s="904" t="str">
        <f t="shared" si="83"/>
        <v>G48100</v>
      </c>
      <c r="AU797" s="488" t="str">
        <f t="shared" si="84"/>
        <v>VTES-PIECES INTERNE</v>
      </c>
      <c r="AV797" s="899">
        <f>IFERROR(INDEX(V797:AG797,1,MATCH(Parametres!$B$3,V$1:AG$1,0)-1)*IF(OR(C797="L",C797="S",C797="I"),-1,1),"")</f>
        <v>1398</v>
      </c>
      <c r="AW797" s="899">
        <f t="shared" si="85"/>
        <v>156</v>
      </c>
      <c r="AX797" s="899">
        <f>INDEX(V797:AG797,1,MATCH(Parametres!$B$3,V$1:AG$1,0))*IF(OR(C797="L",C797="S",C797="I"),-1,1)</f>
        <v>1554</v>
      </c>
      <c r="AY797" s="487" t="s">
        <v>337</v>
      </c>
      <c r="AZ797" s="487" t="str">
        <f>+VLOOKUP($AJ797,Data_Validation!$A:$E,5,0)</f>
        <v>Oui</v>
      </c>
    </row>
    <row r="798" spans="1:52" ht="15" hidden="1" customHeight="1">
      <c r="A798" s="706" t="s">
        <v>1148</v>
      </c>
      <c r="B798" s="706">
        <v>2026</v>
      </c>
      <c r="C798" s="706" t="s">
        <v>2554</v>
      </c>
      <c r="D798" s="706" t="s">
        <v>2555</v>
      </c>
      <c r="E798" s="706" t="s">
        <v>1151</v>
      </c>
      <c r="F798" s="706" t="s">
        <v>1149</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G48120</v>
      </c>
      <c r="AK798" s="905" t="str">
        <f t="shared" si="81"/>
        <v>VTES-PCE INTERN CAM MOYEN</v>
      </c>
      <c r="AL798" s="905">
        <f>IFERROR(INDEX(G798:R798,1,MATCH(Parametres!$B$3,G$1:R$1,0)-1)*IF(OR(F798="L",F798="S",F798="I"),-1,1),"")</f>
        <v>0</v>
      </c>
      <c r="AM798" s="1047">
        <f t="shared" si="82"/>
        <v>0</v>
      </c>
      <c r="AN798" s="905">
        <f>INDEX(G798:R798,1,MATCH(Parametres!$B$3,G$1:R$1,0))*IF(OR(F798="L",F798="S",F798="I"),-1,1)</f>
        <v>0</v>
      </c>
      <c r="AO798" s="487" t="str">
        <f>+VLOOKUP($AJ798,Data_Validation!$A:$D,1,0)</f>
        <v>G48120</v>
      </c>
      <c r="AP798" s="487" t="str">
        <f>+VLOOKUP($AJ798,Data_Validation!$A:$D,3,0)</f>
        <v>Pièces</v>
      </c>
      <c r="AQ798" s="487" t="str">
        <f>+VLOOKUP($AJ798,Data_Validation!$A:$D,4,0)</f>
        <v>Ventes Internes</v>
      </c>
      <c r="AR798" s="487" t="s">
        <v>299</v>
      </c>
      <c r="AS798" s="487" t="str">
        <f>+VLOOKUP($AJ798,Data_Validation!$A:$E,5,0)</f>
        <v>Oui</v>
      </c>
      <c r="AT798" s="904" t="str">
        <f t="shared" si="83"/>
        <v>G48120</v>
      </c>
      <c r="AU798" s="488" t="str">
        <f t="shared" si="84"/>
        <v>VTES-PCE INTERN CAM MOYEN</v>
      </c>
      <c r="AV798" s="899">
        <f>IFERROR(INDEX(V798:AG798,1,MATCH(Parametres!$B$3,V$1:AG$1,0)-1)*IF(OR(C798="L",C798="S",C798="I"),-1,1),"")</f>
        <v>0</v>
      </c>
      <c r="AW798" s="899">
        <f t="shared" si="85"/>
        <v>0</v>
      </c>
      <c r="AX798" s="899">
        <f>INDEX(V798:AG798,1,MATCH(Parametres!$B$3,V$1:AG$1,0))*IF(OR(C798="L",C798="S",C798="I"),-1,1)</f>
        <v>0</v>
      </c>
      <c r="AY798" s="487" t="s">
        <v>337</v>
      </c>
      <c r="AZ798" s="487" t="str">
        <f>+VLOOKUP($AJ798,Data_Validation!$A:$E,5,0)</f>
        <v>Oui</v>
      </c>
    </row>
    <row r="799" spans="1:52" ht="15" hidden="1" customHeight="1">
      <c r="A799" s="706" t="s">
        <v>1148</v>
      </c>
      <c r="B799" s="706">
        <v>2026</v>
      </c>
      <c r="C799" s="706" t="s">
        <v>2556</v>
      </c>
      <c r="D799" s="706" t="s">
        <v>2557</v>
      </c>
      <c r="E799" s="706" t="s">
        <v>1151</v>
      </c>
      <c r="F799" s="706" t="s">
        <v>1149</v>
      </c>
      <c r="G799" s="706">
        <v>28409.34</v>
      </c>
      <c r="H799" s="706">
        <v>49297.1</v>
      </c>
      <c r="I799" s="706">
        <v>91732.95</v>
      </c>
      <c r="J799" s="706">
        <v>130796.36</v>
      </c>
      <c r="K799" s="706">
        <v>168162.88</v>
      </c>
      <c r="L799" s="706">
        <v>218773.9</v>
      </c>
      <c r="M799" s="706">
        <v>272745.53999999998</v>
      </c>
      <c r="N799" s="706">
        <v>304187.03000000003</v>
      </c>
      <c r="O799" s="706">
        <v>336117.52</v>
      </c>
      <c r="P799" s="706">
        <v>341513.36</v>
      </c>
      <c r="Q799" s="706">
        <v>0</v>
      </c>
      <c r="R799" s="706">
        <v>0</v>
      </c>
      <c r="S799" s="706">
        <v>37346.39</v>
      </c>
      <c r="T799" s="706">
        <v>37346.39</v>
      </c>
      <c r="U799" s="706">
        <v>0</v>
      </c>
      <c r="V799" s="706">
        <v>134</v>
      </c>
      <c r="W799" s="706">
        <v>265</v>
      </c>
      <c r="X799" s="706">
        <v>477</v>
      </c>
      <c r="Y799" s="706">
        <v>673</v>
      </c>
      <c r="Z799" s="706">
        <v>858</v>
      </c>
      <c r="AA799" s="706">
        <v>1080</v>
      </c>
      <c r="AB799" s="706">
        <v>1291</v>
      </c>
      <c r="AC799" s="706">
        <v>1485</v>
      </c>
      <c r="AD799" s="706">
        <v>1664</v>
      </c>
      <c r="AE799" s="706">
        <v>1711</v>
      </c>
      <c r="AF799" s="706">
        <v>0</v>
      </c>
      <c r="AG799" s="706">
        <v>0</v>
      </c>
      <c r="AH799" s="706">
        <v>185</v>
      </c>
      <c r="AI799" s="706">
        <v>185</v>
      </c>
      <c r="AJ799" s="905" t="str">
        <f t="shared" si="80"/>
        <v>G48200</v>
      </c>
      <c r="AK799" s="905" t="str">
        <f t="shared" si="81"/>
        <v>VTES-PIECES AU DETAIL</v>
      </c>
      <c r="AL799" s="905">
        <f>IFERROR(INDEX(G799:R799,1,MATCH(Parametres!$B$3,G$1:R$1,0)-1)*IF(OR(F799="L",F799="S",F799="I"),-1,1),"")</f>
        <v>-304187.03000000003</v>
      </c>
      <c r="AM799" s="905">
        <f t="shared" si="82"/>
        <v>-31930.489999999991</v>
      </c>
      <c r="AN799" s="905">
        <f>INDEX(G799:R799,1,MATCH(Parametres!$B$3,G$1:R$1,0))*IF(OR(F799="L",F799="S",F799="I"),-1,1)</f>
        <v>-336117.52</v>
      </c>
      <c r="AO799" s="487" t="str">
        <f>+VLOOKUP($AJ799,Data_Validation!$A:$D,1,0)</f>
        <v>G48200</v>
      </c>
      <c r="AP799" s="487" t="str">
        <f>+VLOOKUP($AJ799,Data_Validation!$A:$D,3,0)</f>
        <v>Pièces</v>
      </c>
      <c r="AQ799" s="487" t="str">
        <f>+VLOOKUP($AJ799,Data_Validation!$A:$D,4,0)</f>
        <v>Ventes Détails</v>
      </c>
      <c r="AR799" s="487" t="s">
        <v>299</v>
      </c>
      <c r="AS799" s="487" t="str">
        <f>+VLOOKUP($AJ799,Data_Validation!$A:$E,5,0)</f>
        <v>Oui</v>
      </c>
      <c r="AT799" s="904" t="str">
        <f t="shared" si="83"/>
        <v>G48200</v>
      </c>
      <c r="AU799" s="488" t="str">
        <f t="shared" si="84"/>
        <v>VTES-PIECES AU DETAIL</v>
      </c>
      <c r="AV799" s="899">
        <f>IFERROR(INDEX(V799:AG799,1,MATCH(Parametres!$B$3,V$1:AG$1,0)-1)*IF(OR(C799="L",C799="S",C799="I"),-1,1),"")</f>
        <v>1485</v>
      </c>
      <c r="AW799" s="899">
        <f t="shared" si="85"/>
        <v>179</v>
      </c>
      <c r="AX799" s="899">
        <f>INDEX(V799:AG799,1,MATCH(Parametres!$B$3,V$1:AG$1,0))*IF(OR(C799="L",C799="S",C799="I"),-1,1)</f>
        <v>1664</v>
      </c>
      <c r="AY799" s="487" t="s">
        <v>337</v>
      </c>
      <c r="AZ799" s="487" t="str">
        <f>+VLOOKUP($AJ799,Data_Validation!$A:$E,5,0)</f>
        <v>Oui</v>
      </c>
    </row>
    <row r="800" spans="1:52" ht="15" hidden="1" customHeight="1">
      <c r="A800" s="706" t="s">
        <v>1148</v>
      </c>
      <c r="B800" s="706">
        <v>2026</v>
      </c>
      <c r="C800" s="706" t="s">
        <v>2558</v>
      </c>
      <c r="D800" s="706" t="s">
        <v>2559</v>
      </c>
      <c r="E800" s="706" t="s">
        <v>1151</v>
      </c>
      <c r="F800" s="706" t="s">
        <v>1149</v>
      </c>
      <c r="G800" s="706">
        <v>177580.69</v>
      </c>
      <c r="H800" s="706">
        <v>320434.94</v>
      </c>
      <c r="I800" s="706">
        <v>444997.62</v>
      </c>
      <c r="J800" s="706">
        <v>542722.81000000006</v>
      </c>
      <c r="K800" s="706">
        <v>669745.9</v>
      </c>
      <c r="L800" s="706">
        <v>794379.49</v>
      </c>
      <c r="M800" s="706">
        <v>932468.11</v>
      </c>
      <c r="N800" s="706">
        <v>1048595.52</v>
      </c>
      <c r="O800" s="706">
        <v>1196434.3</v>
      </c>
      <c r="P800" s="706">
        <v>1216884.28</v>
      </c>
      <c r="Q800" s="706">
        <v>0</v>
      </c>
      <c r="R800" s="706">
        <v>0</v>
      </c>
      <c r="S800" s="706">
        <v>132937.14000000001</v>
      </c>
      <c r="T800" s="706">
        <v>132937.14000000001</v>
      </c>
      <c r="U800" s="706">
        <v>0</v>
      </c>
      <c r="V800" s="706">
        <v>410</v>
      </c>
      <c r="W800" s="706">
        <v>772</v>
      </c>
      <c r="X800" s="706">
        <v>1157</v>
      </c>
      <c r="Y800" s="706">
        <v>1447</v>
      </c>
      <c r="Z800" s="706">
        <v>1762</v>
      </c>
      <c r="AA800" s="706">
        <v>2090</v>
      </c>
      <c r="AB800" s="706">
        <v>2411</v>
      </c>
      <c r="AC800" s="706">
        <v>2709</v>
      </c>
      <c r="AD800" s="706">
        <v>3075</v>
      </c>
      <c r="AE800" s="706">
        <v>3121</v>
      </c>
      <c r="AF800" s="706">
        <v>0</v>
      </c>
      <c r="AG800" s="706">
        <v>0</v>
      </c>
      <c r="AH800" s="706">
        <v>342</v>
      </c>
      <c r="AI800" s="706">
        <v>342</v>
      </c>
      <c r="AJ800" s="905" t="str">
        <f t="shared" si="80"/>
        <v>G48300</v>
      </c>
      <c r="AK800" s="905" t="str">
        <f t="shared" si="81"/>
        <v>VTES-PIECES EN GROS</v>
      </c>
      <c r="AL800" s="905">
        <f>IFERROR(INDEX(G800:R800,1,MATCH(Parametres!$B$3,G$1:R$1,0)-1)*IF(OR(F800="L",F800="S",F800="I"),-1,1),"")</f>
        <v>-1048595.52</v>
      </c>
      <c r="AM800" s="905">
        <f t="shared" si="82"/>
        <v>-147838.78000000003</v>
      </c>
      <c r="AN800" s="905">
        <f>INDEX(G800:R800,1,MATCH(Parametres!$B$3,G$1:R$1,0))*IF(OR(F800="L",F800="S",F800="I"),-1,1)</f>
        <v>-1196434.3</v>
      </c>
      <c r="AO800" s="487" t="str">
        <f>+VLOOKUP($AJ800,Data_Validation!$A:$D,1,0)</f>
        <v>G48300</v>
      </c>
      <c r="AP800" s="487" t="str">
        <f>+VLOOKUP($AJ800,Data_Validation!$A:$D,3,0)</f>
        <v>Pièces</v>
      </c>
      <c r="AQ800" s="487" t="str">
        <f>+VLOOKUP($AJ800,Data_Validation!$A:$D,4,0)</f>
        <v>Ventes de Gros</v>
      </c>
      <c r="AR800" s="487" t="s">
        <v>299</v>
      </c>
      <c r="AS800" s="487" t="str">
        <f>+VLOOKUP($AJ800,Data_Validation!$A:$E,5,0)</f>
        <v>Oui</v>
      </c>
      <c r="AT800" s="904" t="str">
        <f t="shared" si="83"/>
        <v>G48300</v>
      </c>
      <c r="AU800" s="488" t="str">
        <f t="shared" si="84"/>
        <v>VTES-PIECES EN GROS</v>
      </c>
      <c r="AV800" s="899">
        <f>IFERROR(INDEX(V800:AG800,1,MATCH(Parametres!$B$3,V$1:AG$1,0)-1)*IF(OR(C800="L",C800="S",C800="I"),-1,1),"")</f>
        <v>2709</v>
      </c>
      <c r="AW800" s="899">
        <f t="shared" si="85"/>
        <v>366</v>
      </c>
      <c r="AX800" s="899">
        <f>INDEX(V800:AG800,1,MATCH(Parametres!$B$3,V$1:AG$1,0))*IF(OR(C800="L",C800="S",C800="I"),-1,1)</f>
        <v>3075</v>
      </c>
      <c r="AY800" s="487" t="s">
        <v>337</v>
      </c>
      <c r="AZ800" s="487" t="str">
        <f>+VLOOKUP($AJ800,Data_Validation!$A:$E,5,0)</f>
        <v>Oui</v>
      </c>
    </row>
    <row r="801" spans="1:52" ht="15" hidden="1" customHeight="1">
      <c r="A801" s="706" t="s">
        <v>1148</v>
      </c>
      <c r="B801" s="706">
        <v>2026</v>
      </c>
      <c r="C801" s="706" t="s">
        <v>2560</v>
      </c>
      <c r="D801" s="706" t="s">
        <v>2561</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G48700</v>
      </c>
      <c r="AK801" s="905" t="str">
        <f t="shared" si="81"/>
        <v>*ESCOMPTES DE VOLUME</v>
      </c>
      <c r="AL801" s="905">
        <f>IFERROR(INDEX(G801:R801,1,MATCH(Parametres!$B$3,G$1:R$1,0)-1)*IF(OR(F801="L",F801="S",F801="I"),-1,1),"")</f>
        <v>0</v>
      </c>
      <c r="AM801" s="905">
        <f t="shared" si="82"/>
        <v>0</v>
      </c>
      <c r="AN801" s="905">
        <f>INDEX(G801:R801,1,MATCH(Parametres!$B$3,G$1:R$1,0))*IF(OR(F801="L",F801="S",F801="I"),-1,1)</f>
        <v>0</v>
      </c>
      <c r="AO801" s="487" t="str">
        <f>+VLOOKUP($AJ801,Data_Validation!$A:$D,1,0)</f>
        <v>G48700</v>
      </c>
      <c r="AP801" s="487">
        <f>+VLOOKUP($AJ801,Data_Validation!$A:$D,3,0)</f>
        <v>0</v>
      </c>
      <c r="AQ801" s="487">
        <f>+VLOOKUP($AJ801,Data_Validation!$A:$D,4,0)</f>
        <v>0</v>
      </c>
      <c r="AR801" s="487" t="s">
        <v>299</v>
      </c>
      <c r="AS801" s="487">
        <f>+VLOOKUP($AJ801,Data_Validation!$A:$E,5,0)</f>
        <v>0</v>
      </c>
      <c r="AT801" s="904" t="str">
        <f t="shared" si="83"/>
        <v>G48700</v>
      </c>
      <c r="AU801" s="488" t="str">
        <f t="shared" si="84"/>
        <v>*ESCOMPTES DE VOLUME</v>
      </c>
      <c r="AV801" s="899">
        <f>IFERROR(INDEX(V801:AG801,1,MATCH(Parametres!$B$3,V$1:AG$1,0)-1)*IF(OR(C801="L",C801="S",C801="I"),-1,1),"")</f>
        <v>0</v>
      </c>
      <c r="AW801" s="899">
        <f t="shared" si="85"/>
        <v>0</v>
      </c>
      <c r="AX801" s="899">
        <f>INDEX(V801:AG801,1,MATCH(Parametres!$B$3,V$1:AG$1,0))*IF(OR(C801="L",C801="S",C801="I"),-1,1)</f>
        <v>0</v>
      </c>
      <c r="AY801" s="487" t="s">
        <v>337</v>
      </c>
      <c r="AZ801" s="487">
        <f>+VLOOKUP($AJ801,Data_Validation!$A:$E,5,0)</f>
        <v>0</v>
      </c>
    </row>
    <row r="802" spans="1:52" ht="15" hidden="1" customHeight="1">
      <c r="A802" s="706" t="s">
        <v>1148</v>
      </c>
      <c r="B802" s="706">
        <v>2026</v>
      </c>
      <c r="C802" s="706" t="s">
        <v>2562</v>
      </c>
      <c r="D802" s="706" t="s">
        <v>2563</v>
      </c>
      <c r="E802" s="706" t="s">
        <v>333</v>
      </c>
      <c r="F802" s="706" t="s">
        <v>1149</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G48800</v>
      </c>
      <c r="AK802" s="905" t="str">
        <f t="shared" si="81"/>
        <v>*RECTIFIC.STOCK PIECES</v>
      </c>
      <c r="AL802" s="905">
        <f>IFERROR(INDEX(G802:R802,1,MATCH(Parametres!$B$3,G$1:R$1,0)-1)*IF(OR(F802="L",F802="S",F802="I"),-1,1),"")</f>
        <v>0</v>
      </c>
      <c r="AM802" s="905">
        <f t="shared" si="82"/>
        <v>0</v>
      </c>
      <c r="AN802" s="905">
        <f>INDEX(G802:R802,1,MATCH(Parametres!$B$3,G$1:R$1,0))*IF(OR(F802="L",F802="S",F802="I"),-1,1)</f>
        <v>0</v>
      </c>
      <c r="AO802" s="487" t="str">
        <f>+VLOOKUP($AJ802,Data_Validation!$A:$D,1,0)</f>
        <v>G48800</v>
      </c>
      <c r="AP802" s="487">
        <f>+VLOOKUP($AJ802,Data_Validation!$A:$D,3,0)</f>
        <v>0</v>
      </c>
      <c r="AQ802" s="487">
        <f>+VLOOKUP($AJ802,Data_Validation!$A:$D,4,0)</f>
        <v>0</v>
      </c>
      <c r="AR802" s="487" t="s">
        <v>299</v>
      </c>
      <c r="AS802" s="487">
        <f>+VLOOKUP($AJ802,Data_Validation!$A:$E,5,0)</f>
        <v>0</v>
      </c>
      <c r="AT802" s="904" t="str">
        <f t="shared" si="83"/>
        <v>G48800</v>
      </c>
      <c r="AU802" s="488" t="str">
        <f t="shared" si="84"/>
        <v>*RECTIFIC.STOCK PIECES</v>
      </c>
      <c r="AV802" s="899">
        <f>IFERROR(INDEX(V802:AG802,1,MATCH(Parametres!$B$3,V$1:AG$1,0)-1)*IF(OR(C802="L",C802="S",C802="I"),-1,1),"")</f>
        <v>0</v>
      </c>
      <c r="AW802" s="899">
        <f t="shared" si="85"/>
        <v>0</v>
      </c>
      <c r="AX802" s="899">
        <f>INDEX(V802:AG802,1,MATCH(Parametres!$B$3,V$1:AG$1,0))*IF(OR(C802="L",C802="S",C802="I"),-1,1)</f>
        <v>0</v>
      </c>
      <c r="AY802" s="487" t="s">
        <v>337</v>
      </c>
      <c r="AZ802" s="487">
        <f>+VLOOKUP($AJ802,Data_Validation!$A:$E,5,0)</f>
        <v>0</v>
      </c>
    </row>
    <row r="803" spans="1:52" ht="15" hidden="1" customHeight="1">
      <c r="A803" s="706" t="s">
        <v>1148</v>
      </c>
      <c r="B803" s="706">
        <v>2026</v>
      </c>
      <c r="C803" s="706" t="s">
        <v>2564</v>
      </c>
      <c r="D803" s="706" t="s">
        <v>2565</v>
      </c>
      <c r="E803" s="706" t="s">
        <v>1151</v>
      </c>
      <c r="F803" s="706" t="s">
        <v>1149</v>
      </c>
      <c r="G803" s="706">
        <v>40036.18</v>
      </c>
      <c r="H803" s="706">
        <v>70738.16</v>
      </c>
      <c r="I803" s="706">
        <v>87648.34</v>
      </c>
      <c r="J803" s="706">
        <v>113298.18</v>
      </c>
      <c r="K803" s="706">
        <v>128407.36</v>
      </c>
      <c r="L803" s="706">
        <v>147040.26999999999</v>
      </c>
      <c r="M803" s="706">
        <v>159645.31</v>
      </c>
      <c r="N803" s="706">
        <v>178315.33</v>
      </c>
      <c r="O803" s="706">
        <v>217979.29</v>
      </c>
      <c r="P803" s="706">
        <v>225188.23</v>
      </c>
      <c r="Q803" s="706">
        <v>0</v>
      </c>
      <c r="R803" s="706">
        <v>0</v>
      </c>
      <c r="S803" s="706">
        <v>24219.919999999998</v>
      </c>
      <c r="T803" s="706">
        <v>24219.919999999998</v>
      </c>
      <c r="U803" s="706">
        <v>0</v>
      </c>
      <c r="V803" s="706">
        <v>39</v>
      </c>
      <c r="W803" s="706">
        <v>72</v>
      </c>
      <c r="X803" s="706">
        <v>86</v>
      </c>
      <c r="Y803" s="706">
        <v>115</v>
      </c>
      <c r="Z803" s="706">
        <v>132</v>
      </c>
      <c r="AA803" s="706">
        <v>152</v>
      </c>
      <c r="AB803" s="706">
        <v>167</v>
      </c>
      <c r="AC803" s="706">
        <v>191</v>
      </c>
      <c r="AD803" s="706">
        <v>233</v>
      </c>
      <c r="AE803" s="706">
        <v>246</v>
      </c>
      <c r="AF803" s="706">
        <v>0</v>
      </c>
      <c r="AG803" s="706">
        <v>0</v>
      </c>
      <c r="AH803" s="706">
        <v>26</v>
      </c>
      <c r="AI803" s="706">
        <v>26</v>
      </c>
      <c r="AJ803" s="905" t="str">
        <f t="shared" si="80"/>
        <v>G49000</v>
      </c>
      <c r="AK803" s="905" t="str">
        <f t="shared" si="81"/>
        <v>VTES-DE PNEUS</v>
      </c>
      <c r="AL803" s="905">
        <f>IFERROR(INDEX(G803:R803,1,MATCH(Parametres!$B$3,G$1:R$1,0)-1)*IF(OR(F803="L",F803="S",F803="I"),-1,1),"")</f>
        <v>-178315.33</v>
      </c>
      <c r="AM803" s="905">
        <f t="shared" si="82"/>
        <v>-39663.960000000021</v>
      </c>
      <c r="AN803" s="905">
        <f>INDEX(G803:R803,1,MATCH(Parametres!$B$3,G$1:R$1,0))*IF(OR(F803="L",F803="S",F803="I"),-1,1)</f>
        <v>-217979.29</v>
      </c>
      <c r="AO803" s="487" t="str">
        <f>+VLOOKUP($AJ803,Data_Validation!$A:$D,1,0)</f>
        <v>G49000</v>
      </c>
      <c r="AP803" s="487" t="str">
        <f>+VLOOKUP($AJ803,Data_Validation!$A:$D,3,0)</f>
        <v>Pièces</v>
      </c>
      <c r="AQ803" s="487" t="str">
        <f>+VLOOKUP($AJ803,Data_Validation!$A:$D,4,0)</f>
        <v>Ventes Pneus</v>
      </c>
      <c r="AR803" s="487" t="s">
        <v>299</v>
      </c>
      <c r="AS803" s="487" t="str">
        <f>+VLOOKUP($AJ803,Data_Validation!$A:$E,5,0)</f>
        <v>Oui</v>
      </c>
      <c r="AT803" s="904" t="str">
        <f t="shared" si="83"/>
        <v>G49000</v>
      </c>
      <c r="AU803" s="488" t="str">
        <f t="shared" si="84"/>
        <v>VTES-DE PNEUS</v>
      </c>
      <c r="AV803" s="899">
        <f>IFERROR(INDEX(V803:AG803,1,MATCH(Parametres!$B$3,V$1:AG$1,0)-1)*IF(OR(C803="L",C803="S",C803="I"),-1,1),"")</f>
        <v>191</v>
      </c>
      <c r="AW803" s="899">
        <f t="shared" si="85"/>
        <v>42</v>
      </c>
      <c r="AX803" s="899">
        <f>INDEX(V803:AG803,1,MATCH(Parametres!$B$3,V$1:AG$1,0))*IF(OR(C803="L",C803="S",C803="I"),-1,1)</f>
        <v>233</v>
      </c>
      <c r="AY803" s="487" t="s">
        <v>337</v>
      </c>
      <c r="AZ803" s="487" t="str">
        <f>+VLOOKUP($AJ803,Data_Validation!$A:$E,5,0)</f>
        <v>Oui</v>
      </c>
    </row>
    <row r="804" spans="1:52" ht="15" hidden="1" customHeight="1">
      <c r="A804" s="706" t="s">
        <v>1148</v>
      </c>
      <c r="B804" s="706">
        <v>2026</v>
      </c>
      <c r="C804" s="706" t="s">
        <v>2566</v>
      </c>
      <c r="D804" s="706" t="s">
        <v>2567</v>
      </c>
      <c r="E804" s="706" t="s">
        <v>1151</v>
      </c>
      <c r="F804" s="706" t="s">
        <v>1149</v>
      </c>
      <c r="G804" s="706">
        <v>9627.3799999999992</v>
      </c>
      <c r="H804" s="706">
        <v>19499.64</v>
      </c>
      <c r="I804" s="706">
        <v>32785.910000000003</v>
      </c>
      <c r="J804" s="706">
        <v>44242.82</v>
      </c>
      <c r="K804" s="706">
        <v>55841.85</v>
      </c>
      <c r="L804" s="706">
        <v>70711.05</v>
      </c>
      <c r="M804" s="706">
        <v>83376.42</v>
      </c>
      <c r="N804" s="706">
        <v>96955.11</v>
      </c>
      <c r="O804" s="706">
        <v>110623.71</v>
      </c>
      <c r="P804" s="706">
        <v>112665.31</v>
      </c>
      <c r="Q804" s="706">
        <v>0</v>
      </c>
      <c r="R804" s="706">
        <v>0</v>
      </c>
      <c r="S804" s="706">
        <v>12291.52</v>
      </c>
      <c r="T804" s="706">
        <v>12291.52</v>
      </c>
      <c r="U804" s="706">
        <v>0</v>
      </c>
      <c r="V804" s="706">
        <v>140</v>
      </c>
      <c r="W804" s="706">
        <v>273</v>
      </c>
      <c r="X804" s="706">
        <v>453</v>
      </c>
      <c r="Y804" s="706">
        <v>656</v>
      </c>
      <c r="Z804" s="706">
        <v>845</v>
      </c>
      <c r="AA804" s="706">
        <v>1067</v>
      </c>
      <c r="AB804" s="706">
        <v>1243</v>
      </c>
      <c r="AC804" s="706">
        <v>1440</v>
      </c>
      <c r="AD804" s="706">
        <v>1602</v>
      </c>
      <c r="AE804" s="706">
        <v>1632</v>
      </c>
      <c r="AF804" s="706">
        <v>0</v>
      </c>
      <c r="AG804" s="706">
        <v>0</v>
      </c>
      <c r="AH804" s="706">
        <v>178</v>
      </c>
      <c r="AI804" s="706">
        <v>178</v>
      </c>
      <c r="AJ804" s="905" t="str">
        <f t="shared" si="80"/>
        <v>G49100</v>
      </c>
      <c r="AK804" s="905" t="str">
        <f t="shared" si="81"/>
        <v>VTES-HUILES &amp; GRAISSE</v>
      </c>
      <c r="AL804" s="905">
        <f>IFERROR(INDEX(G804:R804,1,MATCH(Parametres!$B$3,G$1:R$1,0)-1)*IF(OR(F804="L",F804="S",F804="I"),-1,1),"")</f>
        <v>-96955.11</v>
      </c>
      <c r="AM804" s="905">
        <f t="shared" si="82"/>
        <v>-13668.600000000006</v>
      </c>
      <c r="AN804" s="905">
        <f>INDEX(G804:R804,1,MATCH(Parametres!$B$3,G$1:R$1,0))*IF(OR(F804="L",F804="S",F804="I"),-1,1)</f>
        <v>-110623.71</v>
      </c>
      <c r="AO804" s="487" t="str">
        <f>+VLOOKUP($AJ804,Data_Validation!$A:$D,1,0)</f>
        <v>G49100</v>
      </c>
      <c r="AP804" s="487" t="str">
        <f>+VLOOKUP($AJ804,Data_Validation!$A:$D,3,0)</f>
        <v>Pièces</v>
      </c>
      <c r="AQ804" s="487" t="str">
        <f>+VLOOKUP($AJ804,Data_Validation!$A:$D,4,0)</f>
        <v>Huiles et Graisse</v>
      </c>
      <c r="AR804" s="487" t="s">
        <v>299</v>
      </c>
      <c r="AS804" s="487" t="str">
        <f>+VLOOKUP($AJ804,Data_Validation!$A:$E,5,0)</f>
        <v>Oui</v>
      </c>
      <c r="AT804" s="904" t="str">
        <f t="shared" si="83"/>
        <v>G49100</v>
      </c>
      <c r="AU804" s="488" t="str">
        <f t="shared" si="84"/>
        <v>VTES-HUILES &amp; GRAISSE</v>
      </c>
      <c r="AV804" s="899">
        <f>IFERROR(INDEX(V804:AG804,1,MATCH(Parametres!$B$3,V$1:AG$1,0)-1)*IF(OR(C804="L",C804="S",C804="I"),-1,1),"")</f>
        <v>1440</v>
      </c>
      <c r="AW804" s="899">
        <f t="shared" si="85"/>
        <v>162</v>
      </c>
      <c r="AX804" s="899">
        <f>INDEX(V804:AG804,1,MATCH(Parametres!$B$3,V$1:AG$1,0))*IF(OR(C804="L",C804="S",C804="I"),-1,1)</f>
        <v>1602</v>
      </c>
      <c r="AY804" s="487" t="s">
        <v>337</v>
      </c>
      <c r="AZ804" s="487" t="str">
        <f>+VLOOKUP($AJ804,Data_Validation!$A:$E,5,0)</f>
        <v>Oui</v>
      </c>
    </row>
    <row r="805" spans="1:52" ht="15" hidden="1" customHeight="1">
      <c r="A805" s="706" t="s">
        <v>1148</v>
      </c>
      <c r="B805" s="706">
        <v>2026</v>
      </c>
      <c r="C805" s="706" t="s">
        <v>2568</v>
      </c>
      <c r="D805" s="706" t="s">
        <v>2569</v>
      </c>
      <c r="E805" s="706" t="s">
        <v>333</v>
      </c>
      <c r="F805" s="706" t="s">
        <v>1150</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G50210</v>
      </c>
      <c r="AK805" s="905" t="str">
        <f t="shared" si="81"/>
        <v>REVENUS LOCATION SERVICE</v>
      </c>
      <c r="AL805" s="905">
        <f>IFERROR(INDEX(G805:R805,1,MATCH(Parametres!$B$3,G$1:R$1,0)-1)*IF(OR(F805="L",F805="S",F805="I"),-1,1),"")</f>
        <v>0</v>
      </c>
      <c r="AM805" s="905">
        <f t="shared" si="82"/>
        <v>0</v>
      </c>
      <c r="AN805" s="905">
        <f>INDEX(G805:R805,1,MATCH(Parametres!$B$3,G$1:R$1,0))*IF(OR(F805="L",F805="S",F805="I"),-1,1)</f>
        <v>0</v>
      </c>
      <c r="AO805" s="487" t="str">
        <f>+VLOOKUP($AJ805,Data_Validation!$A:$D,1,0)</f>
        <v>G50210</v>
      </c>
      <c r="AP805" s="487" t="str">
        <f>+VLOOKUP($AJ805,Data_Validation!$A:$D,3,0)</f>
        <v>Service</v>
      </c>
      <c r="AQ805" s="487" t="str">
        <f>+VLOOKUP($AJ805,Data_Validation!$A:$D,4,0)</f>
        <v>Frais véhicules de cie</v>
      </c>
      <c r="AR805" s="487" t="s">
        <v>299</v>
      </c>
      <c r="AS805" s="487">
        <f>+VLOOKUP($AJ805,Data_Validation!$A:$E,5,0)</f>
        <v>0</v>
      </c>
      <c r="AT805" s="904" t="str">
        <f t="shared" si="83"/>
        <v>G50210</v>
      </c>
      <c r="AU805" s="488" t="str">
        <f t="shared" si="84"/>
        <v>REVENUS LOCATION SERVICE</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hidden="1" customHeight="1">
      <c r="A806" s="706" t="s">
        <v>1148</v>
      </c>
      <c r="B806" s="706">
        <v>2026</v>
      </c>
      <c r="C806" s="706" t="s">
        <v>2570</v>
      </c>
      <c r="D806" s="706" t="s">
        <v>2571</v>
      </c>
      <c r="E806" s="706" t="s">
        <v>333</v>
      </c>
      <c r="F806" s="706" t="s">
        <v>1150</v>
      </c>
      <c r="G806" s="706">
        <v>0</v>
      </c>
      <c r="H806" s="706">
        <v>-3076.58</v>
      </c>
      <c r="I806" s="706">
        <v>-3310.58</v>
      </c>
      <c r="J806" s="706">
        <v>-4666.43</v>
      </c>
      <c r="K806" s="706">
        <v>-5040.79</v>
      </c>
      <c r="L806" s="706">
        <v>-5092.79</v>
      </c>
      <c r="M806" s="706">
        <v>-5092.79</v>
      </c>
      <c r="N806" s="706">
        <v>-7877.55</v>
      </c>
      <c r="O806" s="706">
        <v>-8839.5499999999993</v>
      </c>
      <c r="P806" s="706">
        <v>-8839.5499999999993</v>
      </c>
      <c r="Q806" s="706">
        <v>0</v>
      </c>
      <c r="R806" s="706">
        <v>0</v>
      </c>
      <c r="S806" s="706">
        <v>-982.17</v>
      </c>
      <c r="T806" s="706">
        <v>-982.17</v>
      </c>
      <c r="U806" s="706">
        <v>0</v>
      </c>
      <c r="V806" s="706">
        <v>0</v>
      </c>
      <c r="W806" s="706">
        <v>-4</v>
      </c>
      <c r="X806" s="706">
        <v>-5</v>
      </c>
      <c r="Y806" s="706">
        <v>-6</v>
      </c>
      <c r="Z806" s="706">
        <v>-7</v>
      </c>
      <c r="AA806" s="706">
        <v>-8</v>
      </c>
      <c r="AB806" s="706">
        <v>-8</v>
      </c>
      <c r="AC806" s="706">
        <v>-10</v>
      </c>
      <c r="AD806" s="706">
        <v>-13</v>
      </c>
      <c r="AE806" s="706">
        <v>-13</v>
      </c>
      <c r="AF806" s="706">
        <v>0</v>
      </c>
      <c r="AG806" s="706">
        <v>0</v>
      </c>
      <c r="AH806" s="706">
        <v>-1</v>
      </c>
      <c r="AI806" s="706">
        <v>-1</v>
      </c>
      <c r="AJ806" s="905" t="str">
        <f t="shared" si="80"/>
        <v>G50220</v>
      </c>
      <c r="AK806" s="905" t="str">
        <f t="shared" si="81"/>
        <v>REVENUS LOCATION BODY</v>
      </c>
      <c r="AL806" s="905">
        <f>IFERROR(INDEX(G806:R806,1,MATCH(Parametres!$B$3,G$1:R$1,0)-1)*IF(OR(F806="L",F806="S",F806="I"),-1,1),"")</f>
        <v>7877.55</v>
      </c>
      <c r="AM806" s="905">
        <f t="shared" si="82"/>
        <v>961.99999999999909</v>
      </c>
      <c r="AN806" s="905">
        <f>INDEX(G806:R806,1,MATCH(Parametres!$B$3,G$1:R$1,0))*IF(OR(F806="L",F806="S",F806="I"),-1,1)</f>
        <v>8839.5499999999993</v>
      </c>
      <c r="AO806" s="487" t="str">
        <f>+VLOOKUP($AJ806,Data_Validation!$A:$D,1,0)</f>
        <v>G50220</v>
      </c>
      <c r="AP806" s="487" t="str">
        <f>+VLOOKUP($AJ806,Data_Validation!$A:$D,3,0)</f>
        <v>Carrosserie</v>
      </c>
      <c r="AQ806" s="487" t="str">
        <f>+VLOOKUP($AJ806,Data_Validation!$A:$D,4,0)</f>
        <v>Frais véhicules de cie</v>
      </c>
      <c r="AR806" s="487" t="s">
        <v>299</v>
      </c>
      <c r="AS806" s="487">
        <f>+VLOOKUP($AJ806,Data_Validation!$A:$E,5,0)</f>
        <v>0</v>
      </c>
      <c r="AT806" s="904" t="str">
        <f t="shared" si="83"/>
        <v>G50220</v>
      </c>
      <c r="AU806" s="488" t="str">
        <f t="shared" si="84"/>
        <v>REVENUS LOCATION BODY</v>
      </c>
      <c r="AV806" s="899">
        <f>IFERROR(INDEX(V806:AG806,1,MATCH(Parametres!$B$3,V$1:AG$1,0)-1)*IF(OR(C806="L",C806="S",C806="I"),-1,1),"")</f>
        <v>-10</v>
      </c>
      <c r="AW806" s="899">
        <f t="shared" si="85"/>
        <v>-3</v>
      </c>
      <c r="AX806" s="899">
        <f>INDEX(V806:AG806,1,MATCH(Parametres!$B$3,V$1:AG$1,0))*IF(OR(C806="L",C806="S",C806="I"),-1,1)</f>
        <v>-13</v>
      </c>
      <c r="AY806" s="487" t="s">
        <v>337</v>
      </c>
      <c r="AZ806" s="487">
        <f>+VLOOKUP($AJ806,Data_Validation!$A:$E,5,0)</f>
        <v>0</v>
      </c>
    </row>
    <row r="807" spans="1:52" ht="15" hidden="1" customHeight="1">
      <c r="A807" s="706" t="s">
        <v>1148</v>
      </c>
      <c r="B807" s="706">
        <v>2026</v>
      </c>
      <c r="C807" s="706" t="s">
        <v>2572</v>
      </c>
      <c r="D807" s="706" t="s">
        <v>2573</v>
      </c>
      <c r="E807" s="706" t="s">
        <v>333</v>
      </c>
      <c r="F807" s="706" t="s">
        <v>1150</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G511</v>
      </c>
      <c r="AK807" s="905" t="str">
        <f t="shared" si="81"/>
        <v>PMNT PER. LOC.BAIL-SIMPLE</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G511</v>
      </c>
      <c r="AU807" s="488" t="str">
        <f t="shared" si="84"/>
        <v>PMNT PER. LOC.BAIL-SIMPLE</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hidden="1" customHeight="1">
      <c r="A808" s="706" t="s">
        <v>1148</v>
      </c>
      <c r="B808" s="706">
        <v>2026</v>
      </c>
      <c r="C808" s="706" t="s">
        <v>2574</v>
      </c>
      <c r="D808" s="706" t="s">
        <v>2575</v>
      </c>
      <c r="E808" s="706" t="s">
        <v>333</v>
      </c>
      <c r="F808" s="706" t="s">
        <v>1150</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G512</v>
      </c>
      <c r="AK808" s="905" t="str">
        <f t="shared" si="81"/>
        <v>REVENU ENTRETIEN  -SIMPLE</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G512</v>
      </c>
      <c r="AU808" s="488" t="str">
        <f t="shared" si="84"/>
        <v>REVENU ENTRETIEN  -SIMPLE</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hidden="1" customHeight="1">
      <c r="A809" s="706" t="s">
        <v>1148</v>
      </c>
      <c r="B809" s="706">
        <v>2026</v>
      </c>
      <c r="C809" s="706" t="s">
        <v>2576</v>
      </c>
      <c r="D809" s="706" t="s">
        <v>2577</v>
      </c>
      <c r="E809" s="706" t="s">
        <v>333</v>
      </c>
      <c r="F809" s="706" t="s">
        <v>1150</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G513</v>
      </c>
      <c r="AK809" s="905" t="str">
        <f t="shared" si="81"/>
        <v>REV.PARTIEL MOIS  -SIMPLE</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G513</v>
      </c>
      <c r="AU809" s="488" t="str">
        <f t="shared" si="84"/>
        <v>REV.PARTIEL MOIS  -SIMPLE</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2578</v>
      </c>
      <c r="D810" s="706" t="s">
        <v>2579</v>
      </c>
      <c r="E810" s="706" t="s">
        <v>333</v>
      </c>
      <c r="F810" s="706" t="s">
        <v>1150</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G514</v>
      </c>
      <c r="AK810" s="905" t="str">
        <f t="shared" si="81"/>
        <v>FRAIS PMNT TARDIF -SIMPLE</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G514</v>
      </c>
      <c r="AU810" s="488" t="str">
        <f t="shared" si="84"/>
        <v>FRAIS PMNT TARDIF -SIMPLE</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2580</v>
      </c>
      <c r="D811" s="706" t="s">
        <v>2581</v>
      </c>
      <c r="E811" s="706" t="s">
        <v>333</v>
      </c>
      <c r="F811" s="706" t="s">
        <v>1150</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G516</v>
      </c>
      <c r="AK811" s="905" t="str">
        <f t="shared" si="81"/>
        <v>FRAIS ADMINIST.   -SIMPLE</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G516</v>
      </c>
      <c r="AU811" s="488" t="str">
        <f t="shared" si="84"/>
        <v>FRAIS ADMINIST.   -SIMPLE</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hidden="1" customHeight="1">
      <c r="A812" s="706" t="s">
        <v>1148</v>
      </c>
      <c r="B812" s="706">
        <v>2026</v>
      </c>
      <c r="C812" s="706" t="s">
        <v>2582</v>
      </c>
      <c r="D812" s="706" t="s">
        <v>2583</v>
      </c>
      <c r="E812" s="706" t="s">
        <v>333</v>
      </c>
      <c r="F812" s="706" t="s">
        <v>1150</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G517</v>
      </c>
      <c r="AK812" s="905" t="str">
        <f t="shared" si="81"/>
        <v>AUTRES REV.LOCAT. -SIMPLE</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G517</v>
      </c>
      <c r="AU812" s="488" t="str">
        <f t="shared" si="84"/>
        <v>AUTRES REV.LOCAT. -SIMPLE</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hidden="1" customHeight="1">
      <c r="A813" s="706" t="s">
        <v>1148</v>
      </c>
      <c r="B813" s="706">
        <v>2026</v>
      </c>
      <c r="C813" s="706" t="s">
        <v>2584</v>
      </c>
      <c r="D813" s="706" t="s">
        <v>2585</v>
      </c>
      <c r="E813" s="706" t="s">
        <v>333</v>
      </c>
      <c r="F813" s="706" t="s">
        <v>1150</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G521</v>
      </c>
      <c r="AK813" s="905" t="str">
        <f t="shared" si="81"/>
        <v>PMNT PER. LOC.BAIL-ALEATO</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G521</v>
      </c>
      <c r="AU813" s="488" t="str">
        <f t="shared" si="84"/>
        <v>PMNT PER. LOC.BAIL-ALEATO</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hidden="1" customHeight="1">
      <c r="A814" s="706" t="s">
        <v>1148</v>
      </c>
      <c r="B814" s="706">
        <v>2026</v>
      </c>
      <c r="C814" s="706" t="s">
        <v>2586</v>
      </c>
      <c r="D814" s="706" t="s">
        <v>2587</v>
      </c>
      <c r="E814" s="706" t="s">
        <v>333</v>
      </c>
      <c r="F814" s="706" t="s">
        <v>1150</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G522</v>
      </c>
      <c r="AK814" s="905" t="str">
        <f t="shared" si="81"/>
        <v>REVENU ENTRETIEN  -ALEATO</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G522</v>
      </c>
      <c r="AU814" s="488" t="str">
        <f t="shared" si="84"/>
        <v>REVENU ENTRETIEN  -ALEATO</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hidden="1" customHeight="1">
      <c r="A815" s="706" t="s">
        <v>1148</v>
      </c>
      <c r="B815" s="706">
        <v>2026</v>
      </c>
      <c r="C815" s="706" t="s">
        <v>2588</v>
      </c>
      <c r="D815" s="706" t="s">
        <v>2589</v>
      </c>
      <c r="E815" s="706" t="s">
        <v>333</v>
      </c>
      <c r="F815" s="706" t="s">
        <v>1150</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G523</v>
      </c>
      <c r="AK815" s="905" t="str">
        <f t="shared" si="81"/>
        <v>REV.PARTIEL MOIS  -ALEATO</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G523</v>
      </c>
      <c r="AU815" s="488" t="str">
        <f t="shared" si="84"/>
        <v>REV.PARTIEL MOIS  -ALEATO</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hidden="1" customHeight="1">
      <c r="A816" s="706" t="s">
        <v>1148</v>
      </c>
      <c r="B816" s="706">
        <v>2026</v>
      </c>
      <c r="C816" s="706" t="s">
        <v>2590</v>
      </c>
      <c r="D816" s="706" t="s">
        <v>2591</v>
      </c>
      <c r="E816" s="706" t="s">
        <v>333</v>
      </c>
      <c r="F816" s="706" t="s">
        <v>1150</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G524</v>
      </c>
      <c r="AK816" s="905" t="str">
        <f t="shared" si="81"/>
        <v>FRAIS PMNT TARDIF -ALEATO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G524</v>
      </c>
      <c r="AU816" s="488" t="str">
        <f t="shared" si="84"/>
        <v>FRAIS PMNT TARDIF -ALEATO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hidden="1" customHeight="1">
      <c r="A817" s="706" t="s">
        <v>1148</v>
      </c>
      <c r="B817" s="706">
        <v>2026</v>
      </c>
      <c r="C817" s="706" t="s">
        <v>2592</v>
      </c>
      <c r="D817" s="706" t="s">
        <v>2593</v>
      </c>
      <c r="E817" s="706" t="s">
        <v>333</v>
      </c>
      <c r="F817" s="706" t="s">
        <v>1150</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G526</v>
      </c>
      <c r="AK817" s="905" t="str">
        <f t="shared" si="81"/>
        <v>FRAIS ADMINIST.   -ALEATO</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G526</v>
      </c>
      <c r="AU817" s="488" t="str">
        <f t="shared" si="84"/>
        <v>FRAIS ADMINIST.   -ALEATO</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hidden="1" customHeight="1">
      <c r="A818" s="706" t="s">
        <v>1148</v>
      </c>
      <c r="B818" s="706">
        <v>2026</v>
      </c>
      <c r="C818" s="706" t="s">
        <v>2594</v>
      </c>
      <c r="D818" s="706" t="s">
        <v>2595</v>
      </c>
      <c r="E818" s="706" t="s">
        <v>333</v>
      </c>
      <c r="F818" s="706" t="s">
        <v>1150</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G527</v>
      </c>
      <c r="AK818" s="905" t="str">
        <f t="shared" si="81"/>
        <v>AUTRES REV.LOCAT. -ALEATO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G527</v>
      </c>
      <c r="AU818" s="488" t="str">
        <f t="shared" si="84"/>
        <v>AUTRES REV.LOCAT. -ALEATO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hidden="1" customHeight="1">
      <c r="A819" s="706" t="s">
        <v>1148</v>
      </c>
      <c r="B819" s="706">
        <v>2026</v>
      </c>
      <c r="C819" s="706" t="s">
        <v>2596</v>
      </c>
      <c r="D819" s="706" t="s">
        <v>2597</v>
      </c>
      <c r="E819" s="706" t="s">
        <v>333</v>
      </c>
      <c r="F819" s="706" t="s">
        <v>1150</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G53000</v>
      </c>
      <c r="AK819" s="905" t="str">
        <f t="shared" si="81"/>
        <v>PRIX VTE VEHICULES CEDES</v>
      </c>
      <c r="AL819" s="905">
        <f>IFERROR(INDEX(G819:R819,1,MATCH(Parametres!$B$3,G$1:R$1,0)-1)*IF(OR(F819="L",F819="S",F819="I"),-1,1),"")</f>
        <v>0</v>
      </c>
      <c r="AM819" s="905">
        <f t="shared" si="82"/>
        <v>0</v>
      </c>
      <c r="AN819" s="905">
        <f>INDEX(G819:R819,1,MATCH(Parametres!$B$3,G$1:R$1,0))*IF(OR(F819="L",F819="S",F819="I"),-1,1)</f>
        <v>0</v>
      </c>
      <c r="AO819" s="487" t="str">
        <f>+VLOOKUP($AJ819,Data_Validation!$A:$D,1,0)</f>
        <v>G53000</v>
      </c>
      <c r="AP819" s="487">
        <f>+VLOOKUP($AJ819,Data_Validation!$A:$D,3,0)</f>
        <v>0</v>
      </c>
      <c r="AQ819" s="487">
        <f>+VLOOKUP($AJ819,Data_Validation!$A:$D,4,0)</f>
        <v>0</v>
      </c>
      <c r="AR819" s="487" t="s">
        <v>299</v>
      </c>
      <c r="AS819" s="487">
        <f>+VLOOKUP($AJ819,Data_Validation!$A:$E,5,0)</f>
        <v>0</v>
      </c>
      <c r="AT819" s="904" t="str">
        <f t="shared" si="83"/>
        <v>G53000</v>
      </c>
      <c r="AU819" s="488" t="str">
        <f t="shared" si="84"/>
        <v>PRIX VTE VEHICULES CEDES</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hidden="1" customHeight="1">
      <c r="A820" s="706" t="s">
        <v>1148</v>
      </c>
      <c r="B820" s="706">
        <v>2026</v>
      </c>
      <c r="C820" s="706" t="s">
        <v>2598</v>
      </c>
      <c r="D820" s="706" t="s">
        <v>2599</v>
      </c>
      <c r="E820" s="706" t="s">
        <v>333</v>
      </c>
      <c r="F820" s="706" t="s">
        <v>1150</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G534</v>
      </c>
      <c r="AK820" s="905" t="str">
        <f t="shared" si="81"/>
        <v>FRAIS PMNT TARDIF    -C/T</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G534</v>
      </c>
      <c r="AU820" s="488" t="str">
        <f t="shared" si="84"/>
        <v>FRAIS PMNT TARDIF    -C/T</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hidden="1" customHeight="1">
      <c r="A821" s="706" t="s">
        <v>1148</v>
      </c>
      <c r="B821" s="706">
        <v>2026</v>
      </c>
      <c r="C821" s="706" t="s">
        <v>2600</v>
      </c>
      <c r="D821" s="706" t="s">
        <v>2601</v>
      </c>
      <c r="E821" s="706" t="s">
        <v>333</v>
      </c>
      <c r="F821" s="706" t="s">
        <v>1150</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G535</v>
      </c>
      <c r="AK821" s="905" t="str">
        <f t="shared" si="81"/>
        <v>REV.LOCATION C/T     -C/T</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G535</v>
      </c>
      <c r="AU821" s="488" t="str">
        <f t="shared" si="84"/>
        <v>REV.LOCATION C/T     -C/T</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hidden="1" customHeight="1">
      <c r="A822" s="706" t="s">
        <v>1148</v>
      </c>
      <c r="B822" s="706">
        <v>2026</v>
      </c>
      <c r="C822" s="706" t="s">
        <v>2602</v>
      </c>
      <c r="D822" s="706" t="s">
        <v>2603</v>
      </c>
      <c r="E822" s="706" t="s">
        <v>333</v>
      </c>
      <c r="F822" s="706" t="s">
        <v>1150</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G53500</v>
      </c>
      <c r="AK822" s="905" t="str">
        <f t="shared" si="81"/>
        <v>REVENUS LOCATION C/TERME</v>
      </c>
      <c r="AL822" s="905">
        <f>IFERROR(INDEX(G822:R822,1,MATCH(Parametres!$B$3,G$1:R$1,0)-1)*IF(OR(F822="L",F822="S",F822="I"),-1,1),"")</f>
        <v>0</v>
      </c>
      <c r="AM822" s="905">
        <f t="shared" si="82"/>
        <v>0</v>
      </c>
      <c r="AN822" s="905">
        <f>INDEX(G822:R822,1,MATCH(Parametres!$B$3,G$1:R$1,0))*IF(OR(F822="L",F822="S",F822="I"),-1,1)</f>
        <v>0</v>
      </c>
      <c r="AO822" s="487" t="str">
        <f>+VLOOKUP($AJ822,Data_Validation!$A:$D,1,0)</f>
        <v>G53500</v>
      </c>
      <c r="AP822" s="487">
        <f>+VLOOKUP($AJ822,Data_Validation!$A:$D,3,0)</f>
        <v>0</v>
      </c>
      <c r="AQ822" s="487">
        <f>+VLOOKUP($AJ822,Data_Validation!$A:$D,4,0)</f>
        <v>0</v>
      </c>
      <c r="AR822" s="487" t="s">
        <v>299</v>
      </c>
      <c r="AS822" s="487">
        <f>+VLOOKUP($AJ822,Data_Validation!$A:$E,5,0)</f>
        <v>0</v>
      </c>
      <c r="AT822" s="904" t="str">
        <f t="shared" si="83"/>
        <v>G53500</v>
      </c>
      <c r="AU822" s="488" t="str">
        <f t="shared" si="84"/>
        <v>REVENUS LOCATION C/TERME</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hidden="1" customHeight="1">
      <c r="A823" s="706" t="s">
        <v>1148</v>
      </c>
      <c r="B823" s="706">
        <v>2026</v>
      </c>
      <c r="C823" s="706" t="s">
        <v>2604</v>
      </c>
      <c r="D823" s="706" t="s">
        <v>2605</v>
      </c>
      <c r="E823" s="706" t="s">
        <v>333</v>
      </c>
      <c r="F823" s="706" t="s">
        <v>1150</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G536</v>
      </c>
      <c r="AK823" s="905" t="str">
        <f t="shared" si="81"/>
        <v>FRAIS ADMINIST.      -C/T</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G536</v>
      </c>
      <c r="AU823" s="488" t="str">
        <f t="shared" si="84"/>
        <v>FRAIS ADMINIST.      -C/T</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2606</v>
      </c>
      <c r="D824" s="706" t="s">
        <v>2607</v>
      </c>
      <c r="E824" s="706" t="s">
        <v>333</v>
      </c>
      <c r="F824" s="706" t="s">
        <v>1149</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G541</v>
      </c>
      <c r="AK824" s="905" t="str">
        <f t="shared" si="81"/>
        <v>COMM.ENCAISSE/ASS LOC C&amp;L</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G541</v>
      </c>
      <c r="AU824" s="488" t="str">
        <f t="shared" si="84"/>
        <v>COMM.ENCAISSE/ASS LOC C&amp;L</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hidden="1" customHeight="1">
      <c r="A825" s="706" t="s">
        <v>1148</v>
      </c>
      <c r="B825" s="706">
        <v>2026</v>
      </c>
      <c r="C825" s="706" t="s">
        <v>2608</v>
      </c>
      <c r="D825" s="706" t="s">
        <v>2609</v>
      </c>
      <c r="E825" s="706" t="s">
        <v>333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G541C</v>
      </c>
      <c r="AK825" s="905" t="str">
        <f t="shared" si="81"/>
        <v>*COMM.ENCAISSE/ASS.LOC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G541C</v>
      </c>
      <c r="AU825" s="488" t="str">
        <f t="shared" si="84"/>
        <v>*COMM.ENCAISSE/ASS.LOC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hidden="1" customHeight="1">
      <c r="A826" s="706" t="s">
        <v>1148</v>
      </c>
      <c r="B826" s="706">
        <v>2026</v>
      </c>
      <c r="C826" s="706" t="s">
        <v>2610</v>
      </c>
      <c r="D826" s="706" t="s">
        <v>2611</v>
      </c>
      <c r="E826" s="706" t="s">
        <v>333</v>
      </c>
      <c r="F826" s="706" t="s">
        <v>1149</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G542</v>
      </c>
      <c r="AK826" s="905" t="str">
        <f t="shared" si="81"/>
        <v>ACCESSOIRES LOC C&amp;L TERME</v>
      </c>
      <c r="AL826" s="905">
        <f>IFERROR(INDEX(G826:R826,1,MATCH(Parametres!$B$3,G$1:R$1,0)-1)*IF(OR(F826="L",F826="S",F826="I"),-1,1),"")</f>
        <v>0</v>
      </c>
      <c r="AM826" s="1047">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G542</v>
      </c>
      <c r="AU826" s="488" t="str">
        <f t="shared" si="84"/>
        <v>ACCESSOIRES LOC C&amp;L TERME</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hidden="1" customHeight="1">
      <c r="A827" s="706" t="s">
        <v>1148</v>
      </c>
      <c r="B827" s="706">
        <v>2026</v>
      </c>
      <c r="C827" s="706" t="s">
        <v>2612</v>
      </c>
      <c r="D827" s="706" t="s">
        <v>2611</v>
      </c>
      <c r="E827" s="706" t="s">
        <v>333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G542C</v>
      </c>
      <c r="AK827" s="905" t="str">
        <f t="shared" si="81"/>
        <v>ACCESSOIRES LOC C&amp;L TERME</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G542C</v>
      </c>
      <c r="AU827" s="488" t="str">
        <f t="shared" si="84"/>
        <v>ACCESSOIRES LOC C&amp;L TERME</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hidden="1" customHeight="1">
      <c r="A828" s="706" t="s">
        <v>1148</v>
      </c>
      <c r="B828" s="706">
        <v>2026</v>
      </c>
      <c r="C828" s="706" t="s">
        <v>2613</v>
      </c>
      <c r="D828" s="706" t="s">
        <v>2614</v>
      </c>
      <c r="E828" s="706" t="s">
        <v>333</v>
      </c>
      <c r="F828" s="706" t="s">
        <v>1149</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G543</v>
      </c>
      <c r="AK828" s="905" t="str">
        <f t="shared" si="81"/>
        <v>PLAN PROT.GM LOC C&amp;L TERM</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G543</v>
      </c>
      <c r="AU828" s="488" t="str">
        <f t="shared" si="84"/>
        <v>PLAN PROT.GM LOC C&amp;L TERM</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hidden="1" customHeight="1">
      <c r="A829" s="706" t="s">
        <v>1148</v>
      </c>
      <c r="B829" s="706">
        <v>2026</v>
      </c>
      <c r="C829" s="706" t="s">
        <v>2615</v>
      </c>
      <c r="D829" s="706" t="s">
        <v>2614</v>
      </c>
      <c r="E829" s="706" t="s">
        <v>333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G543C</v>
      </c>
      <c r="AK829" s="905" t="str">
        <f t="shared" si="81"/>
        <v>PLAN PROT.GM LOC C&amp;L TERM</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G543C</v>
      </c>
      <c r="AU829" s="488" t="str">
        <f t="shared" si="84"/>
        <v>PLAN PROT.GM LOC C&amp;L TERM</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hidden="1" customHeight="1">
      <c r="A830" s="706" t="s">
        <v>1148</v>
      </c>
      <c r="B830" s="706">
        <v>2026</v>
      </c>
      <c r="C830" s="706" t="s">
        <v>2616</v>
      </c>
      <c r="D830" s="706" t="s">
        <v>2617</v>
      </c>
      <c r="E830" s="706" t="s">
        <v>333</v>
      </c>
      <c r="F830" s="706" t="s">
        <v>1149</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G544</v>
      </c>
      <c r="AK830" s="905" t="str">
        <f t="shared" si="81"/>
        <v>AUTRES PLAN PROT. LOC C&amp;L</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G544</v>
      </c>
      <c r="AU830" s="488" t="str">
        <f t="shared" si="84"/>
        <v>AUTRES PLAN PROT. LOC C&amp;L</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2618</v>
      </c>
      <c r="D831" s="706" t="s">
        <v>2619</v>
      </c>
      <c r="E831" s="706" t="s">
        <v>333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G544C</v>
      </c>
      <c r="AK831" s="905" t="str">
        <f t="shared" si="81"/>
        <v>AUTRES PLAN PROT.LOC C&amp;L</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G544C</v>
      </c>
      <c r="AU831" s="488" t="str">
        <f t="shared" si="84"/>
        <v>AUTRES PLAN PROT.LOC C&amp;L</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hidden="1" customHeight="1">
      <c r="A832" s="706" t="s">
        <v>1148</v>
      </c>
      <c r="B832" s="706">
        <v>2026</v>
      </c>
      <c r="C832" s="706" t="s">
        <v>2620</v>
      </c>
      <c r="D832" s="706" t="s">
        <v>2621</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G60000</v>
      </c>
      <c r="AK832" s="905" t="str">
        <f t="shared" si="81"/>
        <v>COUT- VOLT</v>
      </c>
      <c r="AL832" s="905">
        <f>IFERROR(INDEX(G832:R832,1,MATCH(Parametres!$B$3,G$1:R$1,0)-1)*IF(OR(F832="L",F832="S",F832="I"),-1,1),"")</f>
        <v>0</v>
      </c>
      <c r="AM832" s="905">
        <f t="shared" si="82"/>
        <v>0</v>
      </c>
      <c r="AN832" s="905">
        <f>INDEX(G832:R832,1,MATCH(Parametres!$B$3,G$1:R$1,0))*IF(OR(F832="L",F832="S",F832="I"),-1,1)</f>
        <v>0</v>
      </c>
      <c r="AO832" s="487" t="str">
        <f>+VLOOKUP($AJ832,Data_Validation!$A:$D,1,0)</f>
        <v>G60000</v>
      </c>
      <c r="AP832" s="487" t="str">
        <f>+VLOOKUP($AJ832,Data_Validation!$A:$D,3,0)</f>
        <v>Véhicules neufs</v>
      </c>
      <c r="AQ832" s="487" t="str">
        <f>+VLOOKUP($AJ832,Data_Validation!$A:$D,4,0)</f>
        <v>Autos détail</v>
      </c>
      <c r="AR832" s="487" t="s">
        <v>299</v>
      </c>
      <c r="AS832" s="487">
        <f>+VLOOKUP($AJ832,Data_Validation!$A:$E,5,0)</f>
        <v>0</v>
      </c>
      <c r="AT832" s="904" t="str">
        <f t="shared" si="83"/>
        <v>G60000</v>
      </c>
      <c r="AU832" s="488" t="str">
        <f t="shared" si="84"/>
        <v>COUT- VOLT</v>
      </c>
      <c r="AV832" s="899">
        <f>IFERROR(INDEX(V832:AG832,1,MATCH(Parametres!$B$3,V$1:AG$1,0)-1)*IF(OR(C832="L",C832="S",C832="I"),-1,1),"")</f>
        <v>0</v>
      </c>
      <c r="AW832" s="899">
        <f t="shared" si="85"/>
        <v>0</v>
      </c>
      <c r="AX832" s="899">
        <f>INDEX(V832:AG832,1,MATCH(Parametres!$B$3,V$1:AG$1,0))*IF(OR(C832="L",C832="S",C832="I"),-1,1)</f>
        <v>0</v>
      </c>
      <c r="AY832" s="487" t="s">
        <v>337</v>
      </c>
      <c r="AZ832" s="487">
        <f>+VLOOKUP($AJ832,Data_Validation!$A:$E,5,0)</f>
        <v>0</v>
      </c>
    </row>
    <row r="833" spans="1:52" ht="15" hidden="1" customHeight="1">
      <c r="A833" s="706" t="s">
        <v>1148</v>
      </c>
      <c r="B833" s="706">
        <v>2026</v>
      </c>
      <c r="C833" s="706" t="s">
        <v>2622</v>
      </c>
      <c r="D833" s="706" t="s">
        <v>2623</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G60004</v>
      </c>
      <c r="AK833" s="905" t="str">
        <f t="shared" si="81"/>
        <v>COUTANT BUICK REGAL</v>
      </c>
      <c r="AL833" s="905">
        <f>IFERROR(INDEX(G833:R833,1,MATCH(Parametres!$B$3,G$1:R$1,0)-1)*IF(OR(F833="L",F833="S",F833="I"),-1,1),"")</f>
        <v>0</v>
      </c>
      <c r="AM833" s="1047">
        <f t="shared" si="82"/>
        <v>0</v>
      </c>
      <c r="AN833" s="905">
        <f>INDEX(G833:R833,1,MATCH(Parametres!$B$3,G$1:R$1,0))*IF(OR(F833="L",F833="S",F833="I"),-1,1)</f>
        <v>0</v>
      </c>
      <c r="AO833" s="487" t="str">
        <f>+VLOOKUP($AJ833,Data_Validation!$A:$D,1,0)</f>
        <v>G60004</v>
      </c>
      <c r="AP833" s="487" t="str">
        <f>+VLOOKUP($AJ833,Data_Validation!$A:$D,3,0)</f>
        <v>Véhicules neufs</v>
      </c>
      <c r="AQ833" s="487" t="str">
        <f>+VLOOKUP($AJ833,Data_Validation!$A:$D,4,0)</f>
        <v>Autos détail</v>
      </c>
      <c r="AR833" s="487" t="s">
        <v>299</v>
      </c>
      <c r="AS833" s="487">
        <f>+VLOOKUP($AJ833,Data_Validation!$A:$E,5,0)</f>
        <v>0</v>
      </c>
      <c r="AT833" s="904" t="str">
        <f t="shared" si="83"/>
        <v>G60004</v>
      </c>
      <c r="AU833" s="488" t="str">
        <f t="shared" si="84"/>
        <v>COUTANT BUICK REGAL</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hidden="1" customHeight="1">
      <c r="A834" s="706" t="s">
        <v>1148</v>
      </c>
      <c r="B834" s="706">
        <v>2026</v>
      </c>
      <c r="C834" s="706" t="s">
        <v>2624</v>
      </c>
      <c r="D834" s="706" t="s">
        <v>2625</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G60100</v>
      </c>
      <c r="AK834" s="905" t="str">
        <f t="shared" si="81"/>
        <v>COUTANT MALIBU</v>
      </c>
      <c r="AL834" s="905">
        <f>IFERROR(INDEX(G834:R834,1,MATCH(Parametres!$B$3,G$1:R$1,0)-1)*IF(OR(F834="L",F834="S",F834="I"),-1,1),"")</f>
        <v>0</v>
      </c>
      <c r="AM834" s="905">
        <f t="shared" si="82"/>
        <v>0</v>
      </c>
      <c r="AN834" s="905">
        <f>INDEX(G834:R834,1,MATCH(Parametres!$B$3,G$1:R$1,0))*IF(OR(F834="L",F834="S",F834="I"),-1,1)</f>
        <v>0</v>
      </c>
      <c r="AO834" s="487" t="str">
        <f>+VLOOKUP($AJ834,Data_Validation!$A:$D,1,0)</f>
        <v>G60100</v>
      </c>
      <c r="AP834" s="487" t="str">
        <f>+VLOOKUP($AJ834,Data_Validation!$A:$D,3,0)</f>
        <v>Véhicules neufs</v>
      </c>
      <c r="AQ834" s="487" t="str">
        <f>+VLOOKUP($AJ834,Data_Validation!$A:$D,4,0)</f>
        <v>Autos détail</v>
      </c>
      <c r="AR834" s="487" t="s">
        <v>299</v>
      </c>
      <c r="AS834" s="487">
        <f>+VLOOKUP($AJ834,Data_Validation!$A:$E,5,0)</f>
        <v>0</v>
      </c>
      <c r="AT834" s="904" t="str">
        <f t="shared" si="83"/>
        <v>G60100</v>
      </c>
      <c r="AU834" s="488" t="str">
        <f t="shared" si="84"/>
        <v>COUTANT MALIBU</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hidden="1" customHeight="1">
      <c r="A835" s="706" t="s">
        <v>1148</v>
      </c>
      <c r="B835" s="706">
        <v>2026</v>
      </c>
      <c r="C835" s="706" t="s">
        <v>2626</v>
      </c>
      <c r="D835" s="706" t="s">
        <v>2627</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G60101</v>
      </c>
      <c r="AK835" s="905" t="str">
        <f t="shared" si="81"/>
        <v>COUTANT BUICK LACROSSE</v>
      </c>
      <c r="AL835" s="905">
        <f>IFERROR(INDEX(G835:R835,1,MATCH(Parametres!$B$3,G$1:R$1,0)-1)*IF(OR(F835="L",F835="S",F835="I"),-1,1),"")</f>
        <v>0</v>
      </c>
      <c r="AM835" s="1047">
        <f t="shared" si="82"/>
        <v>0</v>
      </c>
      <c r="AN835" s="905">
        <f>INDEX(G835:R835,1,MATCH(Parametres!$B$3,G$1:R$1,0))*IF(OR(F835="L",F835="S",F835="I"),-1,1)</f>
        <v>0</v>
      </c>
      <c r="AO835" s="487" t="str">
        <f>+VLOOKUP($AJ835,Data_Validation!$A:$D,1,0)</f>
        <v>G60101</v>
      </c>
      <c r="AP835" s="487" t="str">
        <f>+VLOOKUP($AJ835,Data_Validation!$A:$D,3,0)</f>
        <v>Véhicules neufs</v>
      </c>
      <c r="AQ835" s="487" t="str">
        <f>+VLOOKUP($AJ835,Data_Validation!$A:$D,4,0)</f>
        <v>Autos détail</v>
      </c>
      <c r="AR835" s="487" t="s">
        <v>299</v>
      </c>
      <c r="AS835" s="487">
        <f>+VLOOKUP($AJ835,Data_Validation!$A:$E,5,0)</f>
        <v>0</v>
      </c>
      <c r="AT835" s="904" t="str">
        <f t="shared" si="83"/>
        <v>G60101</v>
      </c>
      <c r="AU835" s="488" t="str">
        <f t="shared" si="84"/>
        <v>COUTANT BUICK LACROSSE</v>
      </c>
      <c r="AV835" s="899">
        <f>IFERROR(INDEX(V835:AG835,1,MATCH(Parametres!$B$3,V$1:AG$1,0)-1)*IF(OR(C835="L",C835="S",C835="I"),-1,1),"")</f>
        <v>0</v>
      </c>
      <c r="AW835" s="899">
        <f t="shared" si="85"/>
        <v>0</v>
      </c>
      <c r="AX835" s="899">
        <f>INDEX(V835:AG835,1,MATCH(Parametres!$B$3,V$1:AG$1,0))*IF(OR(C835="L",C835="S",C835="I"),-1,1)</f>
        <v>0</v>
      </c>
      <c r="AY835" s="487" t="s">
        <v>337</v>
      </c>
      <c r="AZ835" s="487">
        <f>+VLOOKUP($AJ835,Data_Validation!$A:$E,5,0)</f>
        <v>0</v>
      </c>
    </row>
    <row r="836" spans="1:52" ht="15" hidden="1" customHeight="1">
      <c r="A836" s="706" t="s">
        <v>1148</v>
      </c>
      <c r="B836" s="706">
        <v>2026</v>
      </c>
      <c r="C836" s="706" t="s">
        <v>2628</v>
      </c>
      <c r="D836" s="706" t="s">
        <v>2629</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G60120</v>
      </c>
      <c r="AK836" s="905" t="str">
        <f t="shared" si="81"/>
        <v>COUT-MALIBU          -LOC</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G60120</v>
      </c>
      <c r="AU836" s="488" t="str">
        <f t="shared" si="84"/>
        <v>COUT-MALIBU          -LOC</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hidden="1" customHeight="1">
      <c r="A837" s="706" t="s">
        <v>1148</v>
      </c>
      <c r="B837" s="706">
        <v>2026</v>
      </c>
      <c r="C837" s="706" t="s">
        <v>2630</v>
      </c>
      <c r="D837" s="706" t="s">
        <v>2631</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G602</v>
      </c>
      <c r="AK837" s="905" t="str">
        <f t="shared" si="81"/>
        <v>COUT - GMC CANYON</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G602</v>
      </c>
      <c r="AU837" s="488" t="str">
        <f t="shared" si="84"/>
        <v>COUT - GMC CANYON</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hidden="1" customHeight="1">
      <c r="A838" s="706" t="s">
        <v>1148</v>
      </c>
      <c r="B838" s="706">
        <v>2026</v>
      </c>
      <c r="C838" s="706" t="s">
        <v>2632</v>
      </c>
      <c r="D838" s="706" t="s">
        <v>2633</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G60200</v>
      </c>
      <c r="AK838" s="905" t="str">
        <f t="shared" si="81"/>
        <v>COUT-MALIBU MAXX</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G60200</v>
      </c>
      <c r="AU838" s="488" t="str">
        <f t="shared" si="84"/>
        <v>COUT-MALIBU MAXX</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hidden="1" customHeight="1">
      <c r="A839" s="706" t="s">
        <v>1148</v>
      </c>
      <c r="B839" s="706">
        <v>2026</v>
      </c>
      <c r="C839" s="706" t="s">
        <v>2634</v>
      </c>
      <c r="D839" s="706" t="s">
        <v>2635</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G60201</v>
      </c>
      <c r="AK839" s="905" t="str">
        <f t="shared" si="81"/>
        <v>COUT - SONIC</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G60201</v>
      </c>
      <c r="AU839" s="488" t="str">
        <f t="shared" si="84"/>
        <v>COUT - SONIC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hidden="1" customHeight="1">
      <c r="A840" s="706" t="s">
        <v>1148</v>
      </c>
      <c r="B840" s="706">
        <v>2026</v>
      </c>
      <c r="C840" s="706" t="s">
        <v>2636</v>
      </c>
      <c r="D840" s="706" t="s">
        <v>2637</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G60204</v>
      </c>
      <c r="AK840" s="905" t="str">
        <f t="shared" si="81"/>
        <v>COUTANT-VERANO</v>
      </c>
      <c r="AL840" s="905">
        <f>IFERROR(INDEX(G840:R840,1,MATCH(Parametres!$B$3,G$1:R$1,0)-1)*IF(OR(F840="L",F840="S",F840="I"),-1,1),"")</f>
        <v>0</v>
      </c>
      <c r="AM840" s="1047">
        <f t="shared" si="82"/>
        <v>0</v>
      </c>
      <c r="AN840" s="905">
        <f>INDEX(G840:R840,1,MATCH(Parametres!$B$3,G$1:R$1,0))*IF(OR(F840="L",F840="S",F840="I"),-1,1)</f>
        <v>0</v>
      </c>
      <c r="AO840" s="487" t="str">
        <f>+VLOOKUP($AJ840,Data_Validation!$A:$D,1,0)</f>
        <v>G60204</v>
      </c>
      <c r="AP840" s="487" t="str">
        <f>+VLOOKUP($AJ840,Data_Validation!$A:$D,3,0)</f>
        <v>Véhicules neufs</v>
      </c>
      <c r="AQ840" s="487" t="str">
        <f>+VLOOKUP($AJ840,Data_Validation!$A:$D,4,0)</f>
        <v>Autos détail</v>
      </c>
      <c r="AR840" s="487" t="s">
        <v>299</v>
      </c>
      <c r="AS840" s="487">
        <f>+VLOOKUP($AJ840,Data_Validation!$A:$E,5,0)</f>
        <v>0</v>
      </c>
      <c r="AT840" s="904" t="str">
        <f t="shared" si="83"/>
        <v>G60204</v>
      </c>
      <c r="AU840" s="488" t="str">
        <f t="shared" si="84"/>
        <v>COUTANT-VERANO</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hidden="1" customHeight="1">
      <c r="A841" s="706" t="s">
        <v>1148</v>
      </c>
      <c r="B841" s="706">
        <v>2026</v>
      </c>
      <c r="C841" s="706" t="s">
        <v>2638</v>
      </c>
      <c r="D841" s="706" t="s">
        <v>2639</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G60300</v>
      </c>
      <c r="AK841" s="905" t="str">
        <f t="shared" si="81"/>
        <v>COUT-IMPALA</v>
      </c>
      <c r="AL841" s="905">
        <f>IFERROR(INDEX(G841:R841,1,MATCH(Parametres!$B$3,G$1:R$1,0)-1)*IF(OR(F841="L",F841="S",F841="I"),-1,1),"")</f>
        <v>0</v>
      </c>
      <c r="AM841" s="905">
        <f t="shared" si="82"/>
        <v>0</v>
      </c>
      <c r="AN841" s="905">
        <f>INDEX(G841:R841,1,MATCH(Parametres!$B$3,G$1:R$1,0))*IF(OR(F841="L",F841="S",F841="I"),-1,1)</f>
        <v>0</v>
      </c>
      <c r="AO841" s="487" t="str">
        <f>+VLOOKUP($AJ841,Data_Validation!$A:$D,1,0)</f>
        <v>G60300</v>
      </c>
      <c r="AP841" s="487" t="str">
        <f>+VLOOKUP($AJ841,Data_Validation!$A:$D,3,0)</f>
        <v>Véhicules neufs</v>
      </c>
      <c r="AQ841" s="487" t="str">
        <f>+VLOOKUP($AJ841,Data_Validation!$A:$D,4,0)</f>
        <v>Autos détail</v>
      </c>
      <c r="AR841" s="487" t="s">
        <v>299</v>
      </c>
      <c r="AS841" s="487">
        <f>+VLOOKUP($AJ841,Data_Validation!$A:$E,5,0)</f>
        <v>0</v>
      </c>
      <c r="AT841" s="904" t="str">
        <f t="shared" si="83"/>
        <v>G60300</v>
      </c>
      <c r="AU841" s="488" t="str">
        <f t="shared" si="84"/>
        <v>COUT-IMPALA</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hidden="1" customHeight="1">
      <c r="A842" s="706" t="s">
        <v>1148</v>
      </c>
      <c r="B842" s="706">
        <v>2026</v>
      </c>
      <c r="C842" s="706" t="s">
        <v>2640</v>
      </c>
      <c r="D842" s="706" t="s">
        <v>2641</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G60320</v>
      </c>
      <c r="AK842" s="905" t="str">
        <f t="shared" si="81"/>
        <v>COUT-IMPALA          -LOC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G60320</v>
      </c>
      <c r="AU842" s="488" t="str">
        <f t="shared" si="84"/>
        <v>COUT-IMPALA          -LOC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hidden="1" customHeight="1">
      <c r="A843" s="706" t="s">
        <v>1148</v>
      </c>
      <c r="B843" s="706">
        <v>2026</v>
      </c>
      <c r="C843" s="706" t="s">
        <v>2642</v>
      </c>
      <c r="D843" s="706" t="s">
        <v>2643</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G60400</v>
      </c>
      <c r="AK843" s="905" t="str">
        <f t="shared" si="81"/>
        <v>COUT- SPARK</v>
      </c>
      <c r="AL843" s="905">
        <f>IFERROR(INDEX(G843:R843,1,MATCH(Parametres!$B$3,G$1:R$1,0)-1)*IF(OR(F843="L",F843="S",F843="I"),-1,1),"")</f>
        <v>0</v>
      </c>
      <c r="AM843" s="1047">
        <f t="shared" si="82"/>
        <v>0</v>
      </c>
      <c r="AN843" s="905">
        <f>INDEX(G843:R843,1,MATCH(Parametres!$B$3,G$1:R$1,0))*IF(OR(F843="L",F843="S",F843="I"),-1,1)</f>
        <v>0</v>
      </c>
      <c r="AO843" s="487" t="str">
        <f>+VLOOKUP($AJ843,Data_Validation!$A:$D,1,0)</f>
        <v>G60400</v>
      </c>
      <c r="AP843" s="487" t="str">
        <f>+VLOOKUP($AJ843,Data_Validation!$A:$D,3,0)</f>
        <v>Véhicules neufs</v>
      </c>
      <c r="AQ843" s="487" t="str">
        <f>+VLOOKUP($AJ843,Data_Validation!$A:$D,4,0)</f>
        <v>Autos détail</v>
      </c>
      <c r="AR843" s="487" t="s">
        <v>299</v>
      </c>
      <c r="AS843" s="487">
        <f>+VLOOKUP($AJ843,Data_Validation!$A:$E,5,0)</f>
        <v>0</v>
      </c>
      <c r="AT843" s="904" t="str">
        <f t="shared" si="83"/>
        <v>G60400</v>
      </c>
      <c r="AU843" s="488" t="str">
        <f t="shared" si="84"/>
        <v>COUT- SPARK</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hidden="1" customHeight="1">
      <c r="A844" s="706" t="s">
        <v>1148</v>
      </c>
      <c r="B844" s="706">
        <v>2026</v>
      </c>
      <c r="C844" s="706" t="s">
        <v>2644</v>
      </c>
      <c r="D844" s="706" t="s">
        <v>2645</v>
      </c>
      <c r="E844" s="706" t="s">
        <v>1143</v>
      </c>
      <c r="F844" s="706" t="s">
        <v>1152</v>
      </c>
      <c r="G844" s="706">
        <v>0</v>
      </c>
      <c r="H844" s="706">
        <v>0</v>
      </c>
      <c r="I844" s="706">
        <v>0</v>
      </c>
      <c r="J844" s="706">
        <v>98056.9</v>
      </c>
      <c r="K844" s="706">
        <v>197263.99</v>
      </c>
      <c r="L844" s="706">
        <v>339316.99</v>
      </c>
      <c r="M844" s="706">
        <v>437270.99</v>
      </c>
      <c r="N844" s="706">
        <v>437270.99</v>
      </c>
      <c r="O844" s="706">
        <v>584947.99</v>
      </c>
      <c r="P844" s="706">
        <v>584947.99</v>
      </c>
      <c r="Q844" s="706">
        <v>0</v>
      </c>
      <c r="R844" s="706">
        <v>0</v>
      </c>
      <c r="S844" s="706">
        <v>64994.22</v>
      </c>
      <c r="T844" s="706">
        <v>64994.22</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G60500</v>
      </c>
      <c r="AK844" s="905" t="str">
        <f t="shared" si="81"/>
        <v>COUT-CORVETTE</v>
      </c>
      <c r="AL844" s="905">
        <f>IFERROR(INDEX(G844:R844,1,MATCH(Parametres!$B$3,G$1:R$1,0)-1)*IF(OR(F844="L",F844="S",F844="I"),-1,1),"")</f>
        <v>437270.99</v>
      </c>
      <c r="AM844" s="905">
        <f t="shared" si="82"/>
        <v>147677</v>
      </c>
      <c r="AN844" s="905">
        <f>INDEX(G844:R844,1,MATCH(Parametres!$B$3,G$1:R$1,0))*IF(OR(F844="L",F844="S",F844="I"),-1,1)</f>
        <v>584947.99</v>
      </c>
      <c r="AO844" s="487" t="str">
        <f>+VLOOKUP($AJ844,Data_Validation!$A:$D,1,0)</f>
        <v>G60500</v>
      </c>
      <c r="AP844" s="487" t="str">
        <f>+VLOOKUP($AJ844,Data_Validation!$A:$D,3,0)</f>
        <v>Véhicules neufs</v>
      </c>
      <c r="AQ844" s="487" t="str">
        <f>+VLOOKUP($AJ844,Data_Validation!$A:$D,4,0)</f>
        <v>Autos détail</v>
      </c>
      <c r="AR844" s="487" t="s">
        <v>299</v>
      </c>
      <c r="AS844" s="487">
        <f>+VLOOKUP($AJ844,Data_Validation!$A:$E,5,0)</f>
        <v>0</v>
      </c>
      <c r="AT844" s="904" t="str">
        <f t="shared" si="83"/>
        <v>G60500</v>
      </c>
      <c r="AU844" s="488" t="str">
        <f t="shared" si="84"/>
        <v>COUT-CORVETTE</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hidden="1" customHeight="1">
      <c r="A845" s="706" t="s">
        <v>1148</v>
      </c>
      <c r="B845" s="706">
        <v>2026</v>
      </c>
      <c r="C845" s="706" t="s">
        <v>2646</v>
      </c>
      <c r="D845" s="706" t="s">
        <v>2647</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G60600</v>
      </c>
      <c r="AK845" s="905" t="str">
        <f t="shared" si="81"/>
        <v>COUT-AVEO</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G60600</v>
      </c>
      <c r="AU845" s="488" t="str">
        <f t="shared" si="84"/>
        <v>COUT-AVEO</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hidden="1" customHeight="1">
      <c r="A846" s="706" t="s">
        <v>1148</v>
      </c>
      <c r="B846" s="706">
        <v>2026</v>
      </c>
      <c r="C846" s="706" t="s">
        <v>2648</v>
      </c>
      <c r="D846" s="706" t="s">
        <v>2649</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G60620</v>
      </c>
      <c r="AK846" s="905" t="str">
        <f t="shared" si="81"/>
        <v>COUT-AVEO            -LOC</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G60620</v>
      </c>
      <c r="AU846" s="488" t="str">
        <f t="shared" si="84"/>
        <v>COUT-AVEO            -LOC</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hidden="1" customHeight="1">
      <c r="A847" s="706" t="s">
        <v>1148</v>
      </c>
      <c r="B847" s="706">
        <v>2026</v>
      </c>
      <c r="C847" s="706" t="s">
        <v>2650</v>
      </c>
      <c r="D847" s="706" t="s">
        <v>2651</v>
      </c>
      <c r="E847" s="706" t="s">
        <v>1143</v>
      </c>
      <c r="F847" s="706" t="s">
        <v>1152</v>
      </c>
      <c r="G847" s="706">
        <v>0</v>
      </c>
      <c r="H847" s="706">
        <v>0</v>
      </c>
      <c r="I847" s="706">
        <v>0</v>
      </c>
      <c r="J847" s="706">
        <v>0</v>
      </c>
      <c r="K847" s="706">
        <v>44805.04</v>
      </c>
      <c r="L847" s="706">
        <v>44805.04</v>
      </c>
      <c r="M847" s="706">
        <v>44805.04</v>
      </c>
      <c r="N847" s="706">
        <v>170312.29</v>
      </c>
      <c r="O847" s="706">
        <v>298116.28999999998</v>
      </c>
      <c r="P847" s="706">
        <v>298116.28999999998</v>
      </c>
      <c r="Q847" s="706">
        <v>0</v>
      </c>
      <c r="R847" s="706">
        <v>0</v>
      </c>
      <c r="S847" s="706">
        <v>33124.03</v>
      </c>
      <c r="T847" s="706">
        <v>33124.03</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G60700</v>
      </c>
      <c r="AK847" s="905" t="str">
        <f t="shared" si="81"/>
        <v>COUT BOLT - EV</v>
      </c>
      <c r="AL847" s="905">
        <f>IFERROR(INDEX(G847:R847,1,MATCH(Parametres!$B$3,G$1:R$1,0)-1)*IF(OR(F847="L",F847="S",F847="I"),-1,1),"")</f>
        <v>170312.29</v>
      </c>
      <c r="AM847" s="905">
        <f t="shared" si="82"/>
        <v>127803.99999999997</v>
      </c>
      <c r="AN847" s="905">
        <f>INDEX(G847:R847,1,MATCH(Parametres!$B$3,G$1:R$1,0))*IF(OR(F847="L",F847="S",F847="I"),-1,1)</f>
        <v>298116.28999999998</v>
      </c>
      <c r="AO847" s="487" t="str">
        <f>+VLOOKUP($AJ847,Data_Validation!$A:$D,1,0)</f>
        <v>G60700</v>
      </c>
      <c r="AP847" s="487" t="str">
        <f>+VLOOKUP($AJ847,Data_Validation!$A:$D,3,0)</f>
        <v>Véhicules neufs</v>
      </c>
      <c r="AQ847" s="487" t="str">
        <f>+VLOOKUP($AJ847,Data_Validation!$A:$D,4,0)</f>
        <v>Camions electriques</v>
      </c>
      <c r="AR847" s="487" t="s">
        <v>299</v>
      </c>
      <c r="AS847" s="487">
        <f>+VLOOKUP($AJ847,Data_Validation!$A:$E,5,0)</f>
        <v>0</v>
      </c>
      <c r="AT847" s="904" t="str">
        <f t="shared" si="83"/>
        <v>G60700</v>
      </c>
      <c r="AU847" s="488" t="str">
        <f t="shared" si="84"/>
        <v>COUT BOLT - EV</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hidden="1" customHeight="1">
      <c r="A848" s="706" t="s">
        <v>1148</v>
      </c>
      <c r="B848" s="706">
        <v>2026</v>
      </c>
      <c r="C848" s="706" t="s">
        <v>2652</v>
      </c>
      <c r="D848" s="706" t="s">
        <v>2653</v>
      </c>
      <c r="E848" s="706" t="s">
        <v>1143</v>
      </c>
      <c r="F848" s="706" t="s">
        <v>1152</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G60720</v>
      </c>
      <c r="AK848" s="905" t="str">
        <f t="shared" si="81"/>
        <v>COUT-OPTRA           -LOC</v>
      </c>
      <c r="AL848" s="905">
        <f>IFERROR(INDEX(G848:R848,1,MATCH(Parametres!$B$3,G$1:R$1,0)-1)*IF(OR(F848="L",F848="S",F848="I"),-1,1),"")</f>
        <v>0</v>
      </c>
      <c r="AM848" s="905">
        <f t="shared" si="82"/>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83"/>
        <v>G60720</v>
      </c>
      <c r="AU848" s="488" t="str">
        <f t="shared" si="84"/>
        <v>COUT-OPTRA           -LOC</v>
      </c>
      <c r="AV848" s="899">
        <f>IFERROR(INDEX(V848:AG848,1,MATCH(Parametres!$B$3,V$1:AG$1,0)-1)*IF(OR(C848="L",C848="S",C848="I"),-1,1),"")</f>
        <v>0</v>
      </c>
      <c r="AW848" s="899">
        <f t="shared" si="85"/>
        <v>0</v>
      </c>
      <c r="AX848" s="899">
        <f>INDEX(V848:AG848,1,MATCH(Parametres!$B$3,V$1:AG$1,0))*IF(OR(C848="L",C848="S",C848="I"),-1,1)</f>
        <v>0</v>
      </c>
      <c r="AY848" s="487" t="s">
        <v>337</v>
      </c>
      <c r="AZ848" s="487" t="e">
        <f>+VLOOKUP($AJ848,Data_Validation!$A:$E,5,0)</f>
        <v>#N/A</v>
      </c>
    </row>
    <row r="849" spans="1:52" ht="15" hidden="1" customHeight="1">
      <c r="A849" s="706" t="s">
        <v>1148</v>
      </c>
      <c r="B849" s="706">
        <v>2026</v>
      </c>
      <c r="C849" s="706" t="s">
        <v>2654</v>
      </c>
      <c r="D849" s="706" t="s">
        <v>2655</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G60800</v>
      </c>
      <c r="AK849" s="905" t="str">
        <f t="shared" si="81"/>
        <v>COUT-EPICA</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G60800</v>
      </c>
      <c r="AU849" s="488" t="str">
        <f t="shared" si="84"/>
        <v>COUT-EPICA</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hidden="1" customHeight="1">
      <c r="A850" s="706" t="s">
        <v>1148</v>
      </c>
      <c r="B850" s="706">
        <v>2026</v>
      </c>
      <c r="C850" s="706" t="s">
        <v>2656</v>
      </c>
      <c r="D850" s="706" t="s">
        <v>2657</v>
      </c>
      <c r="E850" s="706" t="s">
        <v>1143</v>
      </c>
      <c r="F850" s="706" t="s">
        <v>1152</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G60820</v>
      </c>
      <c r="AK850" s="905" t="str">
        <f t="shared" si="81"/>
        <v>COUT-EPICA           -LOC</v>
      </c>
      <c r="AL850" s="905">
        <f>IFERROR(INDEX(G850:R850,1,MATCH(Parametres!$B$3,G$1:R$1,0)-1)*IF(OR(F850="L",F850="S",F850="I"),-1,1),"")</f>
        <v>0</v>
      </c>
      <c r="AM850" s="905">
        <f t="shared" si="82"/>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83"/>
        <v>G60820</v>
      </c>
      <c r="AU850" s="488" t="str">
        <f t="shared" si="84"/>
        <v>COUT-EPICA           -LOC</v>
      </c>
      <c r="AV850" s="899">
        <f>IFERROR(INDEX(V850:AG850,1,MATCH(Parametres!$B$3,V$1:AG$1,0)-1)*IF(OR(C850="L",C850="S",C850="I"),-1,1),"")</f>
        <v>0</v>
      </c>
      <c r="AW850" s="899">
        <f t="shared" si="85"/>
        <v>0</v>
      </c>
      <c r="AX850" s="899">
        <f>INDEX(V850:AG850,1,MATCH(Parametres!$B$3,V$1:AG$1,0))*IF(OR(C850="L",C850="S",C850="I"),-1,1)</f>
        <v>0</v>
      </c>
      <c r="AY850" s="487" t="s">
        <v>337</v>
      </c>
      <c r="AZ850" s="487" t="e">
        <f>+VLOOKUP($AJ850,Data_Validation!$A:$E,5,0)</f>
        <v>#N/A</v>
      </c>
    </row>
    <row r="851" spans="1:52" ht="15" hidden="1" customHeight="1">
      <c r="A851" s="706" t="s">
        <v>1148</v>
      </c>
      <c r="B851" s="706">
        <v>2026</v>
      </c>
      <c r="C851" s="706" t="s">
        <v>2658</v>
      </c>
      <c r="D851" s="706" t="s">
        <v>2659</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G60900</v>
      </c>
      <c r="AK851" s="905" t="str">
        <f t="shared" si="81"/>
        <v>COUT-COBALT</v>
      </c>
      <c r="AL851" s="905">
        <f>IFERROR(INDEX(G851:R851,1,MATCH(Parametres!$B$3,G$1:R$1,0)-1)*IF(OR(F851="L",F851="S",F851="I"),-1,1),"")</f>
        <v>0</v>
      </c>
      <c r="AM851" s="905">
        <f t="shared" si="82"/>
        <v>0</v>
      </c>
      <c r="AN851" s="905">
        <f>INDEX(G851:R851,1,MATCH(Parametres!$B$3,G$1:R$1,0))*IF(OR(F851="L",F851="S",F851="I"),-1,1)</f>
        <v>0</v>
      </c>
      <c r="AO851" s="487" t="str">
        <f>+VLOOKUP($AJ851,Data_Validation!$A:$D,1,0)</f>
        <v>G60900</v>
      </c>
      <c r="AP851" s="487" t="str">
        <f>+VLOOKUP($AJ851,Data_Validation!$A:$D,3,0)</f>
        <v>Véhicules neufs</v>
      </c>
      <c r="AQ851" s="487" t="str">
        <f>+VLOOKUP($AJ851,Data_Validation!$A:$D,4,0)</f>
        <v>Autos détail</v>
      </c>
      <c r="AR851" s="487" t="s">
        <v>299</v>
      </c>
      <c r="AS851" s="487">
        <f>+VLOOKUP($AJ851,Data_Validation!$A:$E,5,0)</f>
        <v>0</v>
      </c>
      <c r="AT851" s="904" t="str">
        <f t="shared" si="83"/>
        <v>G60900</v>
      </c>
      <c r="AU851" s="488" t="str">
        <f t="shared" si="84"/>
        <v>COUT-COBALT</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hidden="1" customHeight="1">
      <c r="A852" s="706" t="s">
        <v>1148</v>
      </c>
      <c r="B852" s="706">
        <v>2026</v>
      </c>
      <c r="C852" s="706" t="s">
        <v>2660</v>
      </c>
      <c r="D852" s="706" t="s">
        <v>2661</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G60920</v>
      </c>
      <c r="AK852" s="905" t="str">
        <f t="shared" si="81"/>
        <v>COUT-COBALT          -LOC</v>
      </c>
      <c r="AL852" s="905">
        <f>IFERROR(INDEX(G852:R852,1,MATCH(Parametres!$B$3,G$1:R$1,0)-1)*IF(OR(F852="L",F852="S",F852="I"),-1,1),"")</f>
        <v>0</v>
      </c>
      <c r="AM852" s="905">
        <f t="shared" si="82"/>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83"/>
        <v>G60920</v>
      </c>
      <c r="AU852" s="488" t="str">
        <f t="shared" si="84"/>
        <v>COUT-COBALT          -LOC</v>
      </c>
      <c r="AV852" s="899">
        <f>IFERROR(INDEX(V852:AG852,1,MATCH(Parametres!$B$3,V$1:AG$1,0)-1)*IF(OR(C852="L",C852="S",C852="I"),-1,1),"")</f>
        <v>0</v>
      </c>
      <c r="AW852" s="899">
        <f t="shared" si="85"/>
        <v>0</v>
      </c>
      <c r="AX852" s="899">
        <f>INDEX(V852:AG852,1,MATCH(Parametres!$B$3,V$1:AG$1,0))*IF(OR(C852="L",C852="S",C852="I"),-1,1)</f>
        <v>0</v>
      </c>
      <c r="AY852" s="487" t="s">
        <v>337</v>
      </c>
      <c r="AZ852" s="487" t="e">
        <f>+VLOOKUP($AJ852,Data_Validation!$A:$E,5,0)</f>
        <v>#N/A</v>
      </c>
    </row>
    <row r="853" spans="1:52" ht="15" hidden="1" customHeight="1">
      <c r="A853" s="706" t="s">
        <v>1148</v>
      </c>
      <c r="B853" s="706">
        <v>2026</v>
      </c>
      <c r="C853" s="706" t="s">
        <v>2662</v>
      </c>
      <c r="D853" s="706" t="s">
        <v>2663</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G61000</v>
      </c>
      <c r="AK853" s="905" t="str">
        <f t="shared" si="81"/>
        <v>COUT - CAMARO</v>
      </c>
      <c r="AL853" s="905">
        <f>IFERROR(INDEX(G853:R853,1,MATCH(Parametres!$B$3,G$1:R$1,0)-1)*IF(OR(F853="L",F853="S",F853="I"),-1,1),"")</f>
        <v>0</v>
      </c>
      <c r="AM853" s="1047">
        <f t="shared" si="82"/>
        <v>0</v>
      </c>
      <c r="AN853" s="905">
        <f>INDEX(G853:R853,1,MATCH(Parametres!$B$3,G$1:R$1,0))*IF(OR(F853="L",F853="S",F853="I"),-1,1)</f>
        <v>0</v>
      </c>
      <c r="AO853" s="487" t="str">
        <f>+VLOOKUP($AJ853,Data_Validation!$A:$D,1,0)</f>
        <v>G61000</v>
      </c>
      <c r="AP853" s="487" t="str">
        <f>+VLOOKUP($AJ853,Data_Validation!$A:$D,3,0)</f>
        <v>Véhicules neufs</v>
      </c>
      <c r="AQ853" s="487" t="str">
        <f>+VLOOKUP($AJ853,Data_Validation!$A:$D,4,0)</f>
        <v>Autos détail</v>
      </c>
      <c r="AR853" s="487" t="s">
        <v>299</v>
      </c>
      <c r="AS853" s="487">
        <f>+VLOOKUP($AJ853,Data_Validation!$A:$E,5,0)</f>
        <v>0</v>
      </c>
      <c r="AT853" s="904" t="str">
        <f t="shared" si="83"/>
        <v>G61000</v>
      </c>
      <c r="AU853" s="488" t="str">
        <f t="shared" si="84"/>
        <v>COUT - CAMARO</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hidden="1" customHeight="1">
      <c r="A854" s="706" t="s">
        <v>1148</v>
      </c>
      <c r="B854" s="706">
        <v>2026</v>
      </c>
      <c r="C854" s="706" t="s">
        <v>2664</v>
      </c>
      <c r="D854" s="706" t="s">
        <v>2665</v>
      </c>
      <c r="E854" s="706" t="s">
        <v>1143</v>
      </c>
      <c r="F854" s="706" t="s">
        <v>1152</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G61100</v>
      </c>
      <c r="AK854" s="905" t="str">
        <f t="shared" si="81"/>
        <v>COUTANT CRUZE</v>
      </c>
      <c r="AL854" s="905">
        <f>IFERROR(INDEX(G854:R854,1,MATCH(Parametres!$B$3,G$1:R$1,0)-1)*IF(OR(F854="L",F854="S",F854="I"),-1,1),"")</f>
        <v>0</v>
      </c>
      <c r="AM854" s="905">
        <f t="shared" si="82"/>
        <v>0</v>
      </c>
      <c r="AN854" s="905">
        <f>INDEX(G854:R854,1,MATCH(Parametres!$B$3,G$1:R$1,0))*IF(OR(F854="L",F854="S",F854="I"),-1,1)</f>
        <v>0</v>
      </c>
      <c r="AO854" s="487" t="str">
        <f>+VLOOKUP($AJ854,Data_Validation!$A:$D,1,0)</f>
        <v>G61100</v>
      </c>
      <c r="AP854" s="487" t="str">
        <f>+VLOOKUP($AJ854,Data_Validation!$A:$D,3,0)</f>
        <v>Véhicules neufs</v>
      </c>
      <c r="AQ854" s="487" t="str">
        <f>+VLOOKUP($AJ854,Data_Validation!$A:$D,4,0)</f>
        <v>Autos détail</v>
      </c>
      <c r="AR854" s="487" t="s">
        <v>299</v>
      </c>
      <c r="AS854" s="487">
        <f>+VLOOKUP($AJ854,Data_Validation!$A:$E,5,0)</f>
        <v>0</v>
      </c>
      <c r="AT854" s="904" t="str">
        <f t="shared" si="83"/>
        <v>G61100</v>
      </c>
      <c r="AU854" s="488" t="str">
        <f t="shared" si="84"/>
        <v>COUTANT CRUZE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2666</v>
      </c>
      <c r="D855" s="706" t="s">
        <v>2667</v>
      </c>
      <c r="E855" s="706" t="s">
        <v>333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G61600</v>
      </c>
      <c r="AK855" s="905" t="str">
        <f t="shared" si="81"/>
        <v>INDEMNITE MARKETING AUTOS</v>
      </c>
      <c r="AL855" s="905">
        <f>IFERROR(INDEX(G855:R855,1,MATCH(Parametres!$B$3,G$1:R$1,0)-1)*IF(OR(F855="L",F855="S",F855="I"),-1,1),"")</f>
        <v>0</v>
      </c>
      <c r="AM855" s="905">
        <f t="shared" si="82"/>
        <v>0</v>
      </c>
      <c r="AN855" s="905">
        <f>INDEX(G855:R855,1,MATCH(Parametres!$B$3,G$1:R$1,0))*IF(OR(F855="L",F855="S",F855="I"),-1,1)</f>
        <v>0</v>
      </c>
      <c r="AO855" s="487" t="str">
        <f>+VLOOKUP($AJ855,Data_Validation!$A:$D,1,0)</f>
        <v>G61600</v>
      </c>
      <c r="AP855" s="487">
        <f>+VLOOKUP($AJ855,Data_Validation!$A:$D,3,0)</f>
        <v>0</v>
      </c>
      <c r="AQ855" s="487">
        <f>+VLOOKUP($AJ855,Data_Validation!$A:$D,4,0)</f>
        <v>0</v>
      </c>
      <c r="AR855" s="487" t="s">
        <v>299</v>
      </c>
      <c r="AS855" s="487">
        <f>+VLOOKUP($AJ855,Data_Validation!$A:$E,5,0)</f>
        <v>0</v>
      </c>
      <c r="AT855" s="904" t="str">
        <f t="shared" si="83"/>
        <v>G61600</v>
      </c>
      <c r="AU855" s="488" t="str">
        <f t="shared" si="84"/>
        <v>INDEMNITE MARKETING AUTOS</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hidden="1" customHeight="1">
      <c r="A856" s="706" t="s">
        <v>1148</v>
      </c>
      <c r="B856" s="706">
        <v>2026</v>
      </c>
      <c r="C856" s="706" t="s">
        <v>2668</v>
      </c>
      <c r="D856" s="706" t="s">
        <v>2669</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G61700</v>
      </c>
      <c r="AK856" s="905" t="str">
        <f t="shared" ref="AK856:AK919" si="87">D856</f>
        <v>COUT-AUTRES CHEV AUTOS</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G61700</v>
      </c>
      <c r="AU856" s="488" t="str">
        <f t="shared" ref="AU856:AU919" si="90">D856</f>
        <v>COUT-AUTRES CHEV AUTOS</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hidden="1" customHeight="1">
      <c r="A857" s="706" t="s">
        <v>1148</v>
      </c>
      <c r="B857" s="706">
        <v>2026</v>
      </c>
      <c r="C857" s="706" t="s">
        <v>2670</v>
      </c>
      <c r="D857" s="706" t="s">
        <v>2671</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G61720</v>
      </c>
      <c r="AK857" s="905" t="str">
        <f t="shared" si="87"/>
        <v>COUT-AUTRE CHEV.AUTOS-LOC</v>
      </c>
      <c r="AL857" s="905">
        <f>IFERROR(INDEX(G857:R857,1,MATCH(Parametres!$B$3,G$1:R$1,0)-1)*IF(OR(F857="L",F857="S",F857="I"),-1,1),"")</f>
        <v>0</v>
      </c>
      <c r="AM857" s="905">
        <f t="shared" si="88"/>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si="89"/>
        <v>G61720</v>
      </c>
      <c r="AU857" s="488" t="str">
        <f t="shared" si="90"/>
        <v>COUT-AUTRE CHEV.AUTOS-LOC</v>
      </c>
      <c r="AV857" s="899">
        <f>IFERROR(INDEX(V857:AG857,1,MATCH(Parametres!$B$3,V$1:AG$1,0)-1)*IF(OR(C857="L",C857="S",C857="I"),-1,1),"")</f>
        <v>0</v>
      </c>
      <c r="AW857" s="899">
        <f t="shared" si="91"/>
        <v>0</v>
      </c>
      <c r="AX857" s="899">
        <f>INDEX(V857:AG857,1,MATCH(Parametres!$B$3,V$1:AG$1,0))*IF(OR(C857="L",C857="S",C857="I"),-1,1)</f>
        <v>0</v>
      </c>
      <c r="AY857" s="487" t="s">
        <v>337</v>
      </c>
      <c r="AZ857" s="487" t="e">
        <f>+VLOOKUP($AJ857,Data_Validation!$A:$E,5,0)</f>
        <v>#N/A</v>
      </c>
    </row>
    <row r="858" spans="1:52" ht="15" hidden="1" customHeight="1">
      <c r="A858" s="706" t="s">
        <v>1148</v>
      </c>
      <c r="B858" s="706">
        <v>2026</v>
      </c>
      <c r="C858" s="706" t="s">
        <v>2672</v>
      </c>
      <c r="D858" s="706" t="s">
        <v>2673</v>
      </c>
      <c r="E858" s="706" t="s">
        <v>1143</v>
      </c>
      <c r="F858" s="706" t="s">
        <v>1152</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G61799</v>
      </c>
      <c r="AK858" s="905" t="str">
        <f t="shared" si="87"/>
        <v>COUT-ECHANGE CONCESSION.</v>
      </c>
      <c r="AL858" s="905">
        <f>IFERROR(INDEX(G858:R858,1,MATCH(Parametres!$B$3,G$1:R$1,0)-1)*IF(OR(F858="L",F858="S",F858="I"),-1,1),"")</f>
        <v>0</v>
      </c>
      <c r="AM858" s="905">
        <f t="shared" si="88"/>
        <v>0</v>
      </c>
      <c r="AN858" s="905">
        <f>INDEX(G858:R858,1,MATCH(Parametres!$B$3,G$1:R$1,0))*IF(OR(F858="L",F858="S",F858="I"),-1,1)</f>
        <v>0</v>
      </c>
      <c r="AO858" s="487" t="str">
        <f>+VLOOKUP($AJ858,Data_Validation!$A:$D,1,0)</f>
        <v>G61799</v>
      </c>
      <c r="AP858" s="487">
        <f>+VLOOKUP($AJ858,Data_Validation!$A:$D,3,0)</f>
        <v>0</v>
      </c>
      <c r="AQ858" s="487">
        <f>+VLOOKUP($AJ858,Data_Validation!$A:$D,4,0)</f>
        <v>0</v>
      </c>
      <c r="AR858" s="487" t="s">
        <v>299</v>
      </c>
      <c r="AS858" s="487">
        <f>+VLOOKUP($AJ858,Data_Validation!$A:$E,5,0)</f>
        <v>0</v>
      </c>
      <c r="AT858" s="904" t="str">
        <f t="shared" si="89"/>
        <v>G61799</v>
      </c>
      <c r="AU858" s="488" t="str">
        <f t="shared" si="90"/>
        <v>COUT-ECHANGE CONCESSION.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hidden="1" customHeight="1">
      <c r="A859" s="706" t="s">
        <v>1148</v>
      </c>
      <c r="B859" s="706">
        <v>2026</v>
      </c>
      <c r="C859" s="706" t="s">
        <v>2674</v>
      </c>
      <c r="D859" s="706" t="s">
        <v>2675</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G61800</v>
      </c>
      <c r="AK859" s="905" t="str">
        <f t="shared" si="87"/>
        <v>COUTANT AUTRE CHEVROLET</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G61800</v>
      </c>
      <c r="AU859" s="488" t="str">
        <f t="shared" si="90"/>
        <v>COUTANT AUTRE CHEVROLET</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hidden="1" customHeight="1">
      <c r="A860" s="706" t="s">
        <v>1148</v>
      </c>
      <c r="B860" s="706">
        <v>2026</v>
      </c>
      <c r="C860" s="706" t="s">
        <v>2676</v>
      </c>
      <c r="D860" s="706" t="s">
        <v>2677</v>
      </c>
      <c r="E860" s="706" t="s">
        <v>1143</v>
      </c>
      <c r="F860" s="706" t="s">
        <v>1152</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G62000</v>
      </c>
      <c r="AK860" s="905" t="str">
        <f t="shared" si="87"/>
        <v>COUT-PARC VOITURES</v>
      </c>
      <c r="AL860" s="905">
        <f>IFERROR(INDEX(G860:R860,1,MATCH(Parametres!$B$3,G$1:R$1,0)-1)*IF(OR(F860="L",F860="S",F860="I"),-1,1),"")</f>
        <v>0</v>
      </c>
      <c r="AM860" s="905">
        <f t="shared" si="88"/>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89"/>
        <v>G62000</v>
      </c>
      <c r="AU860" s="488" t="str">
        <f t="shared" si="90"/>
        <v>COUT-PARC VOITURES</v>
      </c>
      <c r="AV860" s="899">
        <f>IFERROR(INDEX(V860:AG860,1,MATCH(Parametres!$B$3,V$1:AG$1,0)-1)*IF(OR(C860="L",C860="S",C860="I"),-1,1),"")</f>
        <v>0</v>
      </c>
      <c r="AW860" s="899">
        <f t="shared" si="91"/>
        <v>0</v>
      </c>
      <c r="AX860" s="899">
        <f>INDEX(V860:AG860,1,MATCH(Parametres!$B$3,V$1:AG$1,0))*IF(OR(C860="L",C860="S",C860="I"),-1,1)</f>
        <v>0</v>
      </c>
      <c r="AY860" s="487" t="s">
        <v>337</v>
      </c>
      <c r="AZ860" s="487" t="e">
        <f>+VLOOKUP($AJ860,Data_Validation!$A:$E,5,0)</f>
        <v>#N/A</v>
      </c>
    </row>
    <row r="861" spans="1:52" ht="15" hidden="1" customHeight="1">
      <c r="A861" s="706" t="s">
        <v>1148</v>
      </c>
      <c r="B861" s="706">
        <v>2026</v>
      </c>
      <c r="C861" s="706" t="s">
        <v>2678</v>
      </c>
      <c r="D861" s="706" t="s">
        <v>2679</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G62100</v>
      </c>
      <c r="AK861" s="905" t="str">
        <f t="shared" si="87"/>
        <v>COUT-VOITURES INTERNE</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G62100</v>
      </c>
      <c r="AU861" s="488" t="str">
        <f t="shared" si="90"/>
        <v>COUT-VOITURES INTERNE</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hidden="1" customHeight="1">
      <c r="A862" s="706" t="s">
        <v>1148</v>
      </c>
      <c r="B862" s="706">
        <v>2026</v>
      </c>
      <c r="C862" s="706" t="s">
        <v>2680</v>
      </c>
      <c r="D862" s="706" t="s">
        <v>2681</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G62300</v>
      </c>
      <c r="AK862" s="905" t="str">
        <f t="shared" si="87"/>
        <v>COUT-VENTURE-UPLANDER</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G62300</v>
      </c>
      <c r="AU862" s="488" t="str">
        <f t="shared" si="90"/>
        <v>COUT-VENTURE-UPLANDER</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hidden="1" customHeight="1">
      <c r="A863" s="706" t="s">
        <v>1148</v>
      </c>
      <c r="B863" s="706">
        <v>2026</v>
      </c>
      <c r="C863" s="706" t="s">
        <v>2682</v>
      </c>
      <c r="D863" s="706" t="s">
        <v>2683</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G62312</v>
      </c>
      <c r="AK863" s="905" t="str">
        <f t="shared" si="87"/>
        <v>COUT-KODIAK/TOPKICK 4/5</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G62312</v>
      </c>
      <c r="AU863" s="488" t="str">
        <f t="shared" si="90"/>
        <v>COUT-KODIAK/TOPKICK 4/5</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hidden="1" customHeight="1">
      <c r="A864" s="706" t="s">
        <v>1148</v>
      </c>
      <c r="B864" s="706">
        <v>2026</v>
      </c>
      <c r="C864" s="706" t="s">
        <v>2684</v>
      </c>
      <c r="D864" s="706" t="s">
        <v>2685</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G62320</v>
      </c>
      <c r="AK864" s="905" t="str">
        <f t="shared" si="87"/>
        <v>COUT-VENTURE-UPLAN   -LOC</v>
      </c>
      <c r="AL864" s="905">
        <f>IFERROR(INDEX(G864:R864,1,MATCH(Parametres!$B$3,G$1:R$1,0)-1)*IF(OR(F864="L",F864="S",F864="I"),-1,1),"")</f>
        <v>0</v>
      </c>
      <c r="AM864" s="905">
        <f t="shared" si="88"/>
        <v>0</v>
      </c>
      <c r="AN864" s="905">
        <f>INDEX(G864:R864,1,MATCH(Parametres!$B$3,G$1:R$1,0))*IF(OR(F864="L",F864="S",F864="I"),-1,1)</f>
        <v>0</v>
      </c>
      <c r="AO864" s="487" t="e">
        <f>+VLOOKUP($AJ864,Data_Validation!$A:$D,1,0)</f>
        <v>#N/A</v>
      </c>
      <c r="AP864" s="487" t="e">
        <f>+VLOOKUP($AJ864,Data_Validation!$A:$D,3,0)</f>
        <v>#N/A</v>
      </c>
      <c r="AQ864" s="487" t="e">
        <f>+VLOOKUP($AJ864,Data_Validation!$A:$D,4,0)</f>
        <v>#N/A</v>
      </c>
      <c r="AR864" s="487" t="s">
        <v>299</v>
      </c>
      <c r="AS864" s="487" t="e">
        <f>+VLOOKUP($AJ864,Data_Validation!$A:$E,5,0)</f>
        <v>#N/A</v>
      </c>
      <c r="AT864" s="904" t="str">
        <f t="shared" si="89"/>
        <v>G62320</v>
      </c>
      <c r="AU864" s="488" t="str">
        <f t="shared" si="90"/>
        <v>COUT-VENTURE-UPLAN   -LOC</v>
      </c>
      <c r="AV864" s="899">
        <f>IFERROR(INDEX(V864:AG864,1,MATCH(Parametres!$B$3,V$1:AG$1,0)-1)*IF(OR(C864="L",C864="S",C864="I"),-1,1),"")</f>
        <v>0</v>
      </c>
      <c r="AW864" s="899">
        <f t="shared" si="91"/>
        <v>0</v>
      </c>
      <c r="AX864" s="899">
        <f>INDEX(V864:AG864,1,MATCH(Parametres!$B$3,V$1:AG$1,0))*IF(OR(C864="L",C864="S",C864="I"),-1,1)</f>
        <v>0</v>
      </c>
      <c r="AY864" s="487" t="s">
        <v>337</v>
      </c>
      <c r="AZ864" s="487" t="e">
        <f>+VLOOKUP($AJ864,Data_Validation!$A:$E,5,0)</f>
        <v>#N/A</v>
      </c>
    </row>
    <row r="865" spans="1:52" ht="15" hidden="1" customHeight="1">
      <c r="A865" s="706" t="s">
        <v>1148</v>
      </c>
      <c r="B865" s="706">
        <v>2026</v>
      </c>
      <c r="C865" s="706" t="s">
        <v>2686</v>
      </c>
      <c r="D865" s="706" t="s">
        <v>2687</v>
      </c>
      <c r="E865" s="706" t="s">
        <v>1143</v>
      </c>
      <c r="F865" s="706" t="s">
        <v>1152</v>
      </c>
      <c r="G865" s="706">
        <v>91372.42</v>
      </c>
      <c r="H865" s="706">
        <v>91372.42</v>
      </c>
      <c r="I865" s="706">
        <v>91372.42</v>
      </c>
      <c r="J865" s="706">
        <v>232512.62</v>
      </c>
      <c r="K865" s="706">
        <v>319528.5</v>
      </c>
      <c r="L865" s="706">
        <v>319528.5</v>
      </c>
      <c r="M865" s="706">
        <v>452253.34</v>
      </c>
      <c r="N865" s="706">
        <v>554460.32999999996</v>
      </c>
      <c r="O865" s="706">
        <v>554460.32999999996</v>
      </c>
      <c r="P865" s="706">
        <v>554460.32999999996</v>
      </c>
      <c r="Q865" s="706">
        <v>0</v>
      </c>
      <c r="R865" s="706">
        <v>0</v>
      </c>
      <c r="S865" s="706">
        <v>61606.7</v>
      </c>
      <c r="T865" s="706">
        <v>61606.7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G62400</v>
      </c>
      <c r="AK865" s="905" t="str">
        <f t="shared" si="87"/>
        <v>COUT-TERRAIN</v>
      </c>
      <c r="AL865" s="905">
        <f>IFERROR(INDEX(G865:R865,1,MATCH(Parametres!$B$3,G$1:R$1,0)-1)*IF(OR(F865="L",F865="S",F865="I"),-1,1),"")</f>
        <v>554460.32999999996</v>
      </c>
      <c r="AM865" s="905">
        <f t="shared" si="88"/>
        <v>0</v>
      </c>
      <c r="AN865" s="905">
        <f>INDEX(G865:R865,1,MATCH(Parametres!$B$3,G$1:R$1,0))*IF(OR(F865="L",F865="S",F865="I"),-1,1)</f>
        <v>554460.32999999996</v>
      </c>
      <c r="AO865" s="487" t="str">
        <f>+VLOOKUP($AJ865,Data_Validation!$A:$D,1,0)</f>
        <v>G62400</v>
      </c>
      <c r="AP865" s="487" t="str">
        <f>+VLOOKUP($AJ865,Data_Validation!$A:$D,3,0)</f>
        <v>Véhicules neufs</v>
      </c>
      <c r="AQ865" s="487" t="str">
        <f>+VLOOKUP($AJ865,Data_Validation!$A:$D,4,0)</f>
        <v>Camions détail</v>
      </c>
      <c r="AR865" s="487" t="s">
        <v>299</v>
      </c>
      <c r="AS865" s="487">
        <f>+VLOOKUP($AJ865,Data_Validation!$A:$E,5,0)</f>
        <v>0</v>
      </c>
      <c r="AT865" s="904" t="str">
        <f t="shared" si="89"/>
        <v>G62400</v>
      </c>
      <c r="AU865" s="488" t="str">
        <f t="shared" si="90"/>
        <v>COUT-TERRAIN</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2688</v>
      </c>
      <c r="D866" s="706" t="s">
        <v>2689</v>
      </c>
      <c r="E866" s="706" t="s">
        <v>1143</v>
      </c>
      <c r="F866" s="706" t="s">
        <v>1152</v>
      </c>
      <c r="G866" s="706">
        <v>0</v>
      </c>
      <c r="H866" s="706">
        <v>0</v>
      </c>
      <c r="I866" s="706">
        <v>0</v>
      </c>
      <c r="J866" s="706">
        <v>0</v>
      </c>
      <c r="K866" s="706">
        <v>398090.8</v>
      </c>
      <c r="L866" s="706">
        <v>649623.39</v>
      </c>
      <c r="M866" s="706">
        <v>1151542.54</v>
      </c>
      <c r="N866" s="706">
        <v>1739272.94</v>
      </c>
      <c r="O866" s="706">
        <v>3070693.26</v>
      </c>
      <c r="P866" s="706">
        <v>3294017.96</v>
      </c>
      <c r="Q866" s="706">
        <v>0</v>
      </c>
      <c r="R866" s="706">
        <v>0</v>
      </c>
      <c r="S866" s="706">
        <v>341188.14</v>
      </c>
      <c r="T866" s="706">
        <v>341188.14</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G62401</v>
      </c>
      <c r="AK866" s="905" t="str">
        <f t="shared" si="87"/>
        <v>COUT BOLT EUV</v>
      </c>
      <c r="AL866" s="905">
        <f>IFERROR(INDEX(G866:R866,1,MATCH(Parametres!$B$3,G$1:R$1,0)-1)*IF(OR(F866="L",F866="S",F866="I"),-1,1),"")</f>
        <v>1739272.94</v>
      </c>
      <c r="AM866" s="905">
        <f t="shared" si="88"/>
        <v>1331420.3199999998</v>
      </c>
      <c r="AN866" s="905">
        <f>INDEX(G866:R866,1,MATCH(Parametres!$B$3,G$1:R$1,0))*IF(OR(F866="L",F866="S",F866="I"),-1,1)</f>
        <v>3070693.26</v>
      </c>
      <c r="AO866" s="487" t="str">
        <f>+VLOOKUP($AJ866,Data_Validation!$A:$D,1,0)</f>
        <v>G62401</v>
      </c>
      <c r="AP866" s="487" t="str">
        <f>+VLOOKUP($AJ866,Data_Validation!$A:$D,3,0)</f>
        <v>Véhicules neufs</v>
      </c>
      <c r="AQ866" s="487" t="str">
        <f>+VLOOKUP($AJ866,Data_Validation!$A:$D,4,0)</f>
        <v>Camions electriques</v>
      </c>
      <c r="AR866" s="487" t="s">
        <v>299</v>
      </c>
      <c r="AS866" s="487">
        <f>+VLOOKUP($AJ866,Data_Validation!$A:$E,5,0)</f>
        <v>0</v>
      </c>
      <c r="AT866" s="904" t="str">
        <f t="shared" si="89"/>
        <v>G62401</v>
      </c>
      <c r="AU866" s="488" t="str">
        <f t="shared" si="90"/>
        <v>COUT BOLT EUV</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hidden="1" customHeight="1">
      <c r="A867" s="706" t="s">
        <v>1148</v>
      </c>
      <c r="B867" s="706">
        <v>2026</v>
      </c>
      <c r="C867" s="706" t="s">
        <v>2690</v>
      </c>
      <c r="D867" s="706" t="s">
        <v>2691</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G62412</v>
      </c>
      <c r="AK867" s="905" t="str">
        <f t="shared" si="87"/>
        <v>COUT-TOPKICK 6/7/8 C</v>
      </c>
      <c r="AL867" s="905">
        <f>IFERROR(INDEX(G867:R867,1,MATCH(Parametres!$B$3,G$1:R$1,0)-1)*IF(OR(F867="L",F867="S",F867="I"),-1,1),"")</f>
        <v>0</v>
      </c>
      <c r="AM867" s="905">
        <f t="shared" si="88"/>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89"/>
        <v>G62412</v>
      </c>
      <c r="AU867" s="488" t="str">
        <f t="shared" si="90"/>
        <v>COUT-TOPKICK 6/7/8 C</v>
      </c>
      <c r="AV867" s="899">
        <f>IFERROR(INDEX(V867:AG867,1,MATCH(Parametres!$B$3,V$1:AG$1,0)-1)*IF(OR(C867="L",C867="S",C867="I"),-1,1),"")</f>
        <v>0</v>
      </c>
      <c r="AW867" s="899">
        <f t="shared" si="91"/>
        <v>0</v>
      </c>
      <c r="AX867" s="899">
        <f>INDEX(V867:AG867,1,MATCH(Parametres!$B$3,V$1:AG$1,0))*IF(OR(C867="L",C867="S",C867="I"),-1,1)</f>
        <v>0</v>
      </c>
      <c r="AY867" s="487" t="s">
        <v>337</v>
      </c>
      <c r="AZ867" s="487" t="e">
        <f>+VLOOKUP($AJ867,Data_Validation!$A:$E,5,0)</f>
        <v>#N/A</v>
      </c>
    </row>
    <row r="868" spans="1:52" ht="15" hidden="1" customHeight="1">
      <c r="A868" s="706" t="s">
        <v>1148</v>
      </c>
      <c r="B868" s="706">
        <v>2026</v>
      </c>
      <c r="C868" s="706" t="s">
        <v>2692</v>
      </c>
      <c r="D868" s="706" t="s">
        <v>2693</v>
      </c>
      <c r="E868" s="706" t="s">
        <v>1143</v>
      </c>
      <c r="F868" s="706" t="s">
        <v>1152</v>
      </c>
      <c r="G868" s="706">
        <v>0</v>
      </c>
      <c r="H868" s="706">
        <v>0</v>
      </c>
      <c r="I868" s="706">
        <v>0</v>
      </c>
      <c r="J868" s="706">
        <v>0</v>
      </c>
      <c r="K868" s="706">
        <v>0</v>
      </c>
      <c r="L868" s="706">
        <v>0</v>
      </c>
      <c r="M868" s="706">
        <v>0</v>
      </c>
      <c r="N868" s="706">
        <v>0</v>
      </c>
      <c r="O868" s="706">
        <v>0</v>
      </c>
      <c r="P868" s="706">
        <v>0</v>
      </c>
      <c r="Q868" s="706">
        <v>0</v>
      </c>
      <c r="R868" s="706">
        <v>0</v>
      </c>
      <c r="S868" s="706">
        <v>0</v>
      </c>
      <c r="T868" s="706">
        <v>0</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G62500</v>
      </c>
      <c r="AK868" s="905" t="str">
        <f t="shared" si="87"/>
        <v>COUT-G EXPRESS</v>
      </c>
      <c r="AL868" s="905">
        <f>IFERROR(INDEX(G868:R868,1,MATCH(Parametres!$B$3,G$1:R$1,0)-1)*IF(OR(F868="L",F868="S",F868="I"),-1,1),"")</f>
        <v>0</v>
      </c>
      <c r="AM868" s="905">
        <f t="shared" si="88"/>
        <v>0</v>
      </c>
      <c r="AN868" s="905">
        <f>INDEX(G868:R868,1,MATCH(Parametres!$B$3,G$1:R$1,0))*IF(OR(F868="L",F868="S",F868="I"),-1,1)</f>
        <v>0</v>
      </c>
      <c r="AO868" s="487" t="str">
        <f>+VLOOKUP($AJ868,Data_Validation!$A:$D,1,0)</f>
        <v>G62500</v>
      </c>
      <c r="AP868" s="487" t="str">
        <f>+VLOOKUP($AJ868,Data_Validation!$A:$D,3,0)</f>
        <v>Véhicules neufs</v>
      </c>
      <c r="AQ868" s="487" t="str">
        <f>+VLOOKUP($AJ868,Data_Validation!$A:$D,4,0)</f>
        <v>Camions détail</v>
      </c>
      <c r="AR868" s="487" t="s">
        <v>299</v>
      </c>
      <c r="AS868" s="487">
        <f>+VLOOKUP($AJ868,Data_Validation!$A:$E,5,0)</f>
        <v>0</v>
      </c>
      <c r="AT868" s="904" t="str">
        <f t="shared" si="89"/>
        <v>G62500</v>
      </c>
      <c r="AU868" s="488" t="str">
        <f t="shared" si="90"/>
        <v>COUT-G EXPRESS</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2694</v>
      </c>
      <c r="D869" s="706" t="s">
        <v>2695</v>
      </c>
      <c r="E869" s="706" t="s">
        <v>1143</v>
      </c>
      <c r="F869" s="706" t="s">
        <v>1152</v>
      </c>
      <c r="G869" s="706">
        <v>0</v>
      </c>
      <c r="H869" s="706">
        <v>0</v>
      </c>
      <c r="I869" s="706">
        <v>0</v>
      </c>
      <c r="J869" s="706">
        <v>0</v>
      </c>
      <c r="K869" s="706">
        <v>49868.69</v>
      </c>
      <c r="L869" s="706">
        <v>51068.69</v>
      </c>
      <c r="M869" s="706">
        <v>51068.69</v>
      </c>
      <c r="N869" s="706">
        <v>51068.69</v>
      </c>
      <c r="O869" s="706">
        <v>51068.69</v>
      </c>
      <c r="P869" s="706">
        <v>51068.69</v>
      </c>
      <c r="Q869" s="706">
        <v>0</v>
      </c>
      <c r="R869" s="706">
        <v>0</v>
      </c>
      <c r="S869" s="706">
        <v>5674.3</v>
      </c>
      <c r="T869" s="706">
        <v>5674.3</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G62502</v>
      </c>
      <c r="AK869" s="905" t="str">
        <f t="shared" si="87"/>
        <v>COUTANT SAVANA</v>
      </c>
      <c r="AL869" s="905">
        <f>IFERROR(INDEX(G869:R869,1,MATCH(Parametres!$B$3,G$1:R$1,0)-1)*IF(OR(F869="L",F869="S",F869="I"),-1,1),"")</f>
        <v>51068.69</v>
      </c>
      <c r="AM869" s="905">
        <f t="shared" si="88"/>
        <v>0</v>
      </c>
      <c r="AN869" s="905">
        <f>INDEX(G869:R869,1,MATCH(Parametres!$B$3,G$1:R$1,0))*IF(OR(F869="L",F869="S",F869="I"),-1,1)</f>
        <v>51068.69</v>
      </c>
      <c r="AO869" s="487" t="str">
        <f>+VLOOKUP($AJ869,Data_Validation!$A:$D,1,0)</f>
        <v>G62502</v>
      </c>
      <c r="AP869" s="487" t="str">
        <f>+VLOOKUP($AJ869,Data_Validation!$A:$D,3,0)</f>
        <v>Véhicules neufs</v>
      </c>
      <c r="AQ869" s="487" t="str">
        <f>+VLOOKUP($AJ869,Data_Validation!$A:$D,4,0)</f>
        <v>Camions electriques</v>
      </c>
      <c r="AR869" s="487" t="s">
        <v>299</v>
      </c>
      <c r="AS869" s="487">
        <f>+VLOOKUP($AJ869,Data_Validation!$A:$E,5,0)</f>
        <v>0</v>
      </c>
      <c r="AT869" s="904" t="str">
        <f t="shared" si="89"/>
        <v>G62502</v>
      </c>
      <c r="AU869" s="488" t="str">
        <f t="shared" si="90"/>
        <v>COUTANT SAVANA</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hidden="1" customHeight="1">
      <c r="A870" s="706" t="s">
        <v>1148</v>
      </c>
      <c r="B870" s="706">
        <v>2026</v>
      </c>
      <c r="C870" s="706" t="s">
        <v>2696</v>
      </c>
      <c r="D870" s="706" t="s">
        <v>2697</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G62512</v>
      </c>
      <c r="AK870" s="905" t="str">
        <f t="shared" si="87"/>
        <v>COUT-TOPKICK 6/7/8</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G62512</v>
      </c>
      <c r="AU870" s="488" t="str">
        <f t="shared" si="90"/>
        <v>COUT-TOPKICK 6/7/8</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hidden="1" customHeight="1">
      <c r="A871" s="706" t="s">
        <v>1148</v>
      </c>
      <c r="B871" s="706">
        <v>2026</v>
      </c>
      <c r="C871" s="706" t="s">
        <v>2698</v>
      </c>
      <c r="D871" s="706" t="s">
        <v>2699</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G62520</v>
      </c>
      <c r="AK871" s="905" t="str">
        <f t="shared" si="87"/>
        <v>COUT-G EXPRESS       -LOC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G62520</v>
      </c>
      <c r="AU871" s="488" t="str">
        <f t="shared" si="90"/>
        <v>COUT-G EXPRESS       -LOC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hidden="1" customHeight="1">
      <c r="A872" s="706" t="s">
        <v>1148</v>
      </c>
      <c r="B872" s="706">
        <v>2026</v>
      </c>
      <c r="C872" s="706" t="s">
        <v>2700</v>
      </c>
      <c r="D872" s="706" t="s">
        <v>2701</v>
      </c>
      <c r="E872" s="706" t="s">
        <v>1143</v>
      </c>
      <c r="F872" s="706" t="s">
        <v>1152</v>
      </c>
      <c r="G872" s="706">
        <v>0</v>
      </c>
      <c r="H872" s="706">
        <v>126205.83</v>
      </c>
      <c r="I872" s="706">
        <v>126205.83</v>
      </c>
      <c r="J872" s="706">
        <v>180912.33</v>
      </c>
      <c r="K872" s="706">
        <v>234601.33</v>
      </c>
      <c r="L872" s="706">
        <v>290126.33</v>
      </c>
      <c r="M872" s="706">
        <v>400509.16</v>
      </c>
      <c r="N872" s="706">
        <v>517152.51</v>
      </c>
      <c r="O872" s="706">
        <v>517152.51</v>
      </c>
      <c r="P872" s="706">
        <v>517152.51</v>
      </c>
      <c r="Q872" s="706">
        <v>0</v>
      </c>
      <c r="R872" s="706">
        <v>0</v>
      </c>
      <c r="S872" s="706">
        <v>57461.39</v>
      </c>
      <c r="T872" s="706">
        <v>57461.39</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G62600</v>
      </c>
      <c r="AK872" s="905" t="str">
        <f t="shared" si="87"/>
        <v>COUT-SPICKUP/COLORADO</v>
      </c>
      <c r="AL872" s="905">
        <f>IFERROR(INDEX(G872:R872,1,MATCH(Parametres!$B$3,G$1:R$1,0)-1)*IF(OR(F872="L",F872="S",F872="I"),-1,1),"")</f>
        <v>517152.51</v>
      </c>
      <c r="AM872" s="905">
        <f t="shared" si="88"/>
        <v>0</v>
      </c>
      <c r="AN872" s="905">
        <f>INDEX(G872:R872,1,MATCH(Parametres!$B$3,G$1:R$1,0))*IF(OR(F872="L",F872="S",F872="I"),-1,1)</f>
        <v>517152.51</v>
      </c>
      <c r="AO872" s="487" t="str">
        <f>+VLOOKUP($AJ872,Data_Validation!$A:$D,1,0)</f>
        <v>G62600</v>
      </c>
      <c r="AP872" s="487" t="str">
        <f>+VLOOKUP($AJ872,Data_Validation!$A:$D,3,0)</f>
        <v>Véhicules neufs</v>
      </c>
      <c r="AQ872" s="487" t="str">
        <f>+VLOOKUP($AJ872,Data_Validation!$A:$D,4,0)</f>
        <v>Camions détail</v>
      </c>
      <c r="AR872" s="487" t="s">
        <v>299</v>
      </c>
      <c r="AS872" s="487">
        <f>+VLOOKUP($AJ872,Data_Validation!$A:$E,5,0)</f>
        <v>0</v>
      </c>
      <c r="AT872" s="904" t="str">
        <f t="shared" si="89"/>
        <v>G62600</v>
      </c>
      <c r="AU872" s="488" t="str">
        <f t="shared" si="90"/>
        <v>COUT-SPICKUP/COLORADO</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hidden="1" customHeight="1">
      <c r="A873" s="706" t="s">
        <v>1148</v>
      </c>
      <c r="B873" s="706">
        <v>2026</v>
      </c>
      <c r="C873" s="706" t="s">
        <v>2702</v>
      </c>
      <c r="D873" s="706" t="s">
        <v>2631</v>
      </c>
      <c r="E873" s="706" t="s">
        <v>1143</v>
      </c>
      <c r="F873" s="706" t="s">
        <v>1152</v>
      </c>
      <c r="G873" s="706">
        <v>64838.75</v>
      </c>
      <c r="H873" s="706">
        <v>64838.75</v>
      </c>
      <c r="I873" s="706">
        <v>64838.75</v>
      </c>
      <c r="J873" s="706">
        <v>64551.31</v>
      </c>
      <c r="K873" s="706">
        <v>64551.31</v>
      </c>
      <c r="L873" s="706">
        <v>64551.31</v>
      </c>
      <c r="M873" s="706">
        <v>127652.77</v>
      </c>
      <c r="N873" s="706">
        <v>181984.75</v>
      </c>
      <c r="O873" s="706">
        <v>301806.51</v>
      </c>
      <c r="P873" s="706">
        <v>301806.51</v>
      </c>
      <c r="Q873" s="706">
        <v>0</v>
      </c>
      <c r="R873" s="706">
        <v>0</v>
      </c>
      <c r="S873" s="706">
        <v>33534.06</v>
      </c>
      <c r="T873" s="706">
        <v>33534.06</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G62602</v>
      </c>
      <c r="AK873" s="905" t="str">
        <f t="shared" si="87"/>
        <v>COUT - GMC CANYON</v>
      </c>
      <c r="AL873" s="905">
        <f>IFERROR(INDEX(G873:R873,1,MATCH(Parametres!$B$3,G$1:R$1,0)-1)*IF(OR(F873="L",F873="S",F873="I"),-1,1),"")</f>
        <v>181984.75</v>
      </c>
      <c r="AM873" s="905">
        <f t="shared" si="88"/>
        <v>119821.76000000001</v>
      </c>
      <c r="AN873" s="905">
        <f>INDEX(G873:R873,1,MATCH(Parametres!$B$3,G$1:R$1,0))*IF(OR(F873="L",F873="S",F873="I"),-1,1)</f>
        <v>301806.51</v>
      </c>
      <c r="AO873" s="487" t="str">
        <f>+VLOOKUP($AJ873,Data_Validation!$A:$D,1,0)</f>
        <v>G62602</v>
      </c>
      <c r="AP873" s="487" t="str">
        <f>+VLOOKUP($AJ873,Data_Validation!$A:$D,3,0)</f>
        <v>Véhicules neufs</v>
      </c>
      <c r="AQ873" s="487" t="str">
        <f>+VLOOKUP($AJ873,Data_Validation!$A:$D,4,0)</f>
        <v>Camions détail</v>
      </c>
      <c r="AR873" s="487" t="s">
        <v>299</v>
      </c>
      <c r="AS873" s="487">
        <f>+VLOOKUP($AJ873,Data_Validation!$A:$E,5,0)</f>
        <v>0</v>
      </c>
      <c r="AT873" s="904" t="str">
        <f t="shared" si="89"/>
        <v>G62602</v>
      </c>
      <c r="AU873" s="488" t="str">
        <f t="shared" si="90"/>
        <v>COUT - GMC CANYON</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hidden="1" customHeight="1">
      <c r="A874" s="706" t="s">
        <v>1148</v>
      </c>
      <c r="B874" s="706">
        <v>2026</v>
      </c>
      <c r="C874" s="706" t="s">
        <v>2703</v>
      </c>
      <c r="D874" s="706" t="s">
        <v>2704</v>
      </c>
      <c r="E874" s="706" t="s">
        <v>1143</v>
      </c>
      <c r="F874" s="706" t="s">
        <v>1152</v>
      </c>
      <c r="G874" s="706">
        <v>49221.14</v>
      </c>
      <c r="H874" s="706">
        <v>99180.14</v>
      </c>
      <c r="I874" s="706">
        <v>99432.5</v>
      </c>
      <c r="J874" s="706">
        <v>252596.73</v>
      </c>
      <c r="K874" s="706">
        <v>306500.73</v>
      </c>
      <c r="L874" s="706">
        <v>306500.73</v>
      </c>
      <c r="M874" s="706">
        <v>306500.73</v>
      </c>
      <c r="N874" s="706">
        <v>361915.73</v>
      </c>
      <c r="O874" s="706">
        <v>361915.73</v>
      </c>
      <c r="P874" s="706">
        <v>361915.73</v>
      </c>
      <c r="Q874" s="706">
        <v>0</v>
      </c>
      <c r="R874" s="706">
        <v>0</v>
      </c>
      <c r="S874" s="706">
        <v>40212.86</v>
      </c>
      <c r="T874" s="706">
        <v>40212.86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G62612</v>
      </c>
      <c r="AK874" s="905" t="str">
        <f t="shared" si="87"/>
        <v>COUT-BUICK ENVISION</v>
      </c>
      <c r="AL874" s="905">
        <f>IFERROR(INDEX(G874:R874,1,MATCH(Parametres!$B$3,G$1:R$1,0)-1)*IF(OR(F874="L",F874="S",F874="I"),-1,1),"")</f>
        <v>361915.73</v>
      </c>
      <c r="AM874" s="905">
        <f t="shared" si="88"/>
        <v>0</v>
      </c>
      <c r="AN874" s="905">
        <f>INDEX(G874:R874,1,MATCH(Parametres!$B$3,G$1:R$1,0))*IF(OR(F874="L",F874="S",F874="I"),-1,1)</f>
        <v>361915.73</v>
      </c>
      <c r="AO874" s="487" t="str">
        <f>+VLOOKUP($AJ874,Data_Validation!$A:$D,1,0)</f>
        <v>G62612</v>
      </c>
      <c r="AP874" s="487" t="str">
        <f>+VLOOKUP($AJ874,Data_Validation!$A:$D,3,0)</f>
        <v>Véhicules neufs</v>
      </c>
      <c r="AQ874" s="487" t="str">
        <f>+VLOOKUP($AJ874,Data_Validation!$A:$D,4,0)</f>
        <v>Camions détail</v>
      </c>
      <c r="AR874" s="487" t="s">
        <v>299</v>
      </c>
      <c r="AS874" s="487">
        <f>+VLOOKUP($AJ874,Data_Validation!$A:$E,5,0)</f>
        <v>0</v>
      </c>
      <c r="AT874" s="904" t="str">
        <f t="shared" si="89"/>
        <v>G62612</v>
      </c>
      <c r="AU874" s="488" t="str">
        <f t="shared" si="90"/>
        <v>COUT-BUICK ENVISION</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2705</v>
      </c>
      <c r="D875" s="706" t="s">
        <v>2706</v>
      </c>
      <c r="E875" s="706" t="s">
        <v>1143</v>
      </c>
      <c r="F875" s="706" t="s">
        <v>1152</v>
      </c>
      <c r="G875" s="706">
        <v>0</v>
      </c>
      <c r="H875" s="706">
        <v>0</v>
      </c>
      <c r="I875" s="706">
        <v>68540.09</v>
      </c>
      <c r="J875" s="706">
        <v>201546.09</v>
      </c>
      <c r="K875" s="706">
        <v>233592.09</v>
      </c>
      <c r="L875" s="706">
        <v>333834.21999999997</v>
      </c>
      <c r="M875" s="706">
        <v>368145.9</v>
      </c>
      <c r="N875" s="706">
        <v>368145.9</v>
      </c>
      <c r="O875" s="706">
        <v>469431.43</v>
      </c>
      <c r="P875" s="706">
        <v>469431.43</v>
      </c>
      <c r="Q875" s="706">
        <v>0</v>
      </c>
      <c r="R875" s="706">
        <v>0</v>
      </c>
      <c r="S875" s="706">
        <v>52159.05</v>
      </c>
      <c r="T875" s="706">
        <v>52159.05</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G62613</v>
      </c>
      <c r="AK875" s="905" t="str">
        <f t="shared" si="87"/>
        <v>COUT-BUICK ENVISTA</v>
      </c>
      <c r="AL875" s="905">
        <f>IFERROR(INDEX(G875:R875,1,MATCH(Parametres!$B$3,G$1:R$1,0)-1)*IF(OR(F875="L",F875="S",F875="I"),-1,1),"")</f>
        <v>368145.9</v>
      </c>
      <c r="AM875" s="905">
        <f t="shared" si="88"/>
        <v>101285.52999999997</v>
      </c>
      <c r="AN875" s="905">
        <f>INDEX(G875:R875,1,MATCH(Parametres!$B$3,G$1:R$1,0))*IF(OR(F875="L",F875="S",F875="I"),-1,1)</f>
        <v>469431.43</v>
      </c>
      <c r="AO875" s="487" t="str">
        <f>+VLOOKUP($AJ875,Data_Validation!$A:$D,1,0)</f>
        <v>G62613</v>
      </c>
      <c r="AP875" s="487" t="str">
        <f>+VLOOKUP($AJ875,Data_Validation!$A:$D,3,0)</f>
        <v>Véhicules neufs</v>
      </c>
      <c r="AQ875" s="487" t="str">
        <f>+VLOOKUP($AJ875,Data_Validation!$A:$D,4,0)</f>
        <v>Camions détail</v>
      </c>
      <c r="AR875" s="487" t="s">
        <v>299</v>
      </c>
      <c r="AS875" s="487">
        <f>+VLOOKUP($AJ875,Data_Validation!$A:$E,5,0)</f>
        <v>0</v>
      </c>
      <c r="AT875" s="904" t="str">
        <f t="shared" si="89"/>
        <v>G62613</v>
      </c>
      <c r="AU875" s="488" t="str">
        <f t="shared" si="90"/>
        <v>COUT-BUICK ENVISTA</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hidden="1" customHeight="1">
      <c r="A876" s="706" t="s">
        <v>1148</v>
      </c>
      <c r="B876" s="706">
        <v>2026</v>
      </c>
      <c r="C876" s="706" t="s">
        <v>2707</v>
      </c>
      <c r="D876" s="706" t="s">
        <v>2708</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G62620</v>
      </c>
      <c r="AK876" s="905" t="str">
        <f t="shared" si="87"/>
        <v>COUT-SPICKUP/COLORADO-LOC</v>
      </c>
      <c r="AL876" s="905">
        <f>IFERROR(INDEX(G876:R876,1,MATCH(Parametres!$B$3,G$1:R$1,0)-1)*IF(OR(F876="L",F876="S",F876="I"),-1,1),"")</f>
        <v>0</v>
      </c>
      <c r="AM876" s="905">
        <f t="shared" si="88"/>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89"/>
        <v>G62620</v>
      </c>
      <c r="AU876" s="488" t="str">
        <f t="shared" si="90"/>
        <v>COUT-SPICKUP/COLORADO-LOC</v>
      </c>
      <c r="AV876" s="899">
        <f>IFERROR(INDEX(V876:AG876,1,MATCH(Parametres!$B$3,V$1:AG$1,0)-1)*IF(OR(C876="L",C876="S",C876="I"),-1,1),"")</f>
        <v>0</v>
      </c>
      <c r="AW876" s="899">
        <f t="shared" si="91"/>
        <v>0</v>
      </c>
      <c r="AX876" s="899">
        <f>INDEX(V876:AG876,1,MATCH(Parametres!$B$3,V$1:AG$1,0))*IF(OR(C876="L",C876="S",C876="I"),-1,1)</f>
        <v>0</v>
      </c>
      <c r="AY876" s="487" t="s">
        <v>337</v>
      </c>
      <c r="AZ876" s="487" t="e">
        <f>+VLOOKUP($AJ876,Data_Validation!$A:$E,5,0)</f>
        <v>#N/A</v>
      </c>
    </row>
    <row r="877" spans="1:52" ht="15" hidden="1" customHeight="1">
      <c r="A877" s="706" t="s">
        <v>1148</v>
      </c>
      <c r="B877" s="706">
        <v>2026</v>
      </c>
      <c r="C877" s="706" t="s">
        <v>2709</v>
      </c>
      <c r="D877" s="706" t="s">
        <v>2710</v>
      </c>
      <c r="E877" s="706" t="s">
        <v>1143</v>
      </c>
      <c r="F877" s="706" t="s">
        <v>1152</v>
      </c>
      <c r="G877" s="706">
        <v>59099.95</v>
      </c>
      <c r="H877" s="706">
        <v>116082.85</v>
      </c>
      <c r="I877" s="706">
        <v>116082.85</v>
      </c>
      <c r="J877" s="706">
        <v>175743.94</v>
      </c>
      <c r="K877" s="706">
        <v>243964.63</v>
      </c>
      <c r="L877" s="706">
        <v>300223.63</v>
      </c>
      <c r="M877" s="706">
        <v>496266.72</v>
      </c>
      <c r="N877" s="706">
        <v>496266.72</v>
      </c>
      <c r="O877" s="706">
        <v>618745.56000000006</v>
      </c>
      <c r="P877" s="706">
        <v>618745.56000000006</v>
      </c>
      <c r="Q877" s="706">
        <v>0</v>
      </c>
      <c r="R877" s="706">
        <v>0</v>
      </c>
      <c r="S877" s="706">
        <v>68749.509999999995</v>
      </c>
      <c r="T877" s="706">
        <v>68749.509999999995</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G62700</v>
      </c>
      <c r="AK877" s="905" t="str">
        <f t="shared" si="87"/>
        <v>COUT-TRAVERSE</v>
      </c>
      <c r="AL877" s="905">
        <f>IFERROR(INDEX(G877:R877,1,MATCH(Parametres!$B$3,G$1:R$1,0)-1)*IF(OR(F877="L",F877="S",F877="I"),-1,1),"")</f>
        <v>496266.72</v>
      </c>
      <c r="AM877" s="905">
        <f t="shared" si="88"/>
        <v>122478.84000000008</v>
      </c>
      <c r="AN877" s="905">
        <f>INDEX(G877:R877,1,MATCH(Parametres!$B$3,G$1:R$1,0))*IF(OR(F877="L",F877="S",F877="I"),-1,1)</f>
        <v>618745.56000000006</v>
      </c>
      <c r="AO877" s="487" t="str">
        <f>+VLOOKUP($AJ877,Data_Validation!$A:$D,1,0)</f>
        <v>G62700</v>
      </c>
      <c r="AP877" s="487" t="str">
        <f>+VLOOKUP($AJ877,Data_Validation!$A:$D,3,0)</f>
        <v>Véhicules neufs</v>
      </c>
      <c r="AQ877" s="487" t="str">
        <f>+VLOOKUP($AJ877,Data_Validation!$A:$D,4,0)</f>
        <v>Camions détail</v>
      </c>
      <c r="AR877" s="487" t="s">
        <v>299</v>
      </c>
      <c r="AS877" s="487">
        <f>+VLOOKUP($AJ877,Data_Validation!$A:$E,5,0)</f>
        <v>0</v>
      </c>
      <c r="AT877" s="904" t="str">
        <f t="shared" si="89"/>
        <v>G62700</v>
      </c>
      <c r="AU877" s="488" t="str">
        <f t="shared" si="90"/>
        <v>COUT-TRAVERSE</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hidden="1" customHeight="1">
      <c r="A878" s="706" t="s">
        <v>1148</v>
      </c>
      <c r="B878" s="706">
        <v>2026</v>
      </c>
      <c r="C878" s="706" t="s">
        <v>2711</v>
      </c>
      <c r="D878" s="706" t="s">
        <v>2712</v>
      </c>
      <c r="E878" s="706" t="s">
        <v>1143</v>
      </c>
      <c r="F878" s="706" t="s">
        <v>1152</v>
      </c>
      <c r="G878" s="706">
        <v>0</v>
      </c>
      <c r="H878" s="706">
        <v>0</v>
      </c>
      <c r="I878" s="706">
        <v>0</v>
      </c>
      <c r="J878" s="706">
        <v>75348.5</v>
      </c>
      <c r="K878" s="706">
        <v>138372.42000000001</v>
      </c>
      <c r="L878" s="706">
        <v>138372.42000000001</v>
      </c>
      <c r="M878" s="706">
        <v>138372.42000000001</v>
      </c>
      <c r="N878" s="706">
        <v>138372.42000000001</v>
      </c>
      <c r="O878" s="706">
        <v>138372.42000000001</v>
      </c>
      <c r="P878" s="706">
        <v>138372.42000000001</v>
      </c>
      <c r="Q878" s="706">
        <v>0</v>
      </c>
      <c r="R878" s="706">
        <v>0</v>
      </c>
      <c r="S878" s="706">
        <v>15374.71</v>
      </c>
      <c r="T878" s="706">
        <v>15374.71</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G62800</v>
      </c>
      <c r="AK878" s="905" t="str">
        <f t="shared" si="87"/>
        <v>COÛTANT BUICK ENCLAVE</v>
      </c>
      <c r="AL878" s="905">
        <f>IFERROR(INDEX(G878:R878,1,MATCH(Parametres!$B$3,G$1:R$1,0)-1)*IF(OR(F878="L",F878="S",F878="I"),-1,1),"")</f>
        <v>138372.42000000001</v>
      </c>
      <c r="AM878" s="1047">
        <f t="shared" si="88"/>
        <v>0</v>
      </c>
      <c r="AN878" s="905">
        <f>INDEX(G878:R878,1,MATCH(Parametres!$B$3,G$1:R$1,0))*IF(OR(F878="L",F878="S",F878="I"),-1,1)</f>
        <v>138372.42000000001</v>
      </c>
      <c r="AO878" s="487" t="str">
        <f>+VLOOKUP($AJ878,Data_Validation!$A:$D,1,0)</f>
        <v>G62800</v>
      </c>
      <c r="AP878" s="487" t="str">
        <f>+VLOOKUP($AJ878,Data_Validation!$A:$D,3,0)</f>
        <v>Véhicules neufs</v>
      </c>
      <c r="AQ878" s="487" t="str">
        <f>+VLOOKUP($AJ878,Data_Validation!$A:$D,4,0)</f>
        <v>Camions détail</v>
      </c>
      <c r="AR878" s="487" t="s">
        <v>299</v>
      </c>
      <c r="AS878" s="487">
        <f>+VLOOKUP($AJ878,Data_Validation!$A:$E,5,0)</f>
        <v>0</v>
      </c>
      <c r="AT878" s="904" t="str">
        <f t="shared" si="89"/>
        <v>G62800</v>
      </c>
      <c r="AU878" s="488" t="str">
        <f t="shared" si="90"/>
        <v>COÛTANT BUICK ENCLAVE</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hidden="1" customHeight="1">
      <c r="A879" s="706" t="s">
        <v>1148</v>
      </c>
      <c r="B879" s="706">
        <v>2026</v>
      </c>
      <c r="C879" s="706" t="s">
        <v>2713</v>
      </c>
      <c r="D879" s="706" t="s">
        <v>2714</v>
      </c>
      <c r="E879" s="706" t="s">
        <v>1143</v>
      </c>
      <c r="F879" s="706" t="s">
        <v>1152</v>
      </c>
      <c r="G879" s="706">
        <v>39100.9</v>
      </c>
      <c r="H879" s="706">
        <v>73216.850000000006</v>
      </c>
      <c r="I879" s="706">
        <v>73216.850000000006</v>
      </c>
      <c r="J879" s="706">
        <v>111303.69</v>
      </c>
      <c r="K879" s="706">
        <v>111303.69</v>
      </c>
      <c r="L879" s="706">
        <v>183089.15</v>
      </c>
      <c r="M879" s="706">
        <v>183089.15</v>
      </c>
      <c r="N879" s="706">
        <v>219797.95</v>
      </c>
      <c r="O879" s="706">
        <v>327347</v>
      </c>
      <c r="P879" s="706">
        <v>327347</v>
      </c>
      <c r="Q879" s="706">
        <v>0</v>
      </c>
      <c r="R879" s="706">
        <v>0</v>
      </c>
      <c r="S879" s="706">
        <v>36371.89</v>
      </c>
      <c r="T879" s="706">
        <v>36371.89</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G62804</v>
      </c>
      <c r="AK879" s="905" t="str">
        <f t="shared" si="87"/>
        <v>COUT BUICK ENCORE</v>
      </c>
      <c r="AL879" s="905">
        <f>IFERROR(INDEX(G879:R879,1,MATCH(Parametres!$B$3,G$1:R$1,0)-1)*IF(OR(F879="L",F879="S",F879="I"),-1,1),"")</f>
        <v>219797.95</v>
      </c>
      <c r="AM879" s="905">
        <f t="shared" si="88"/>
        <v>107549.04999999999</v>
      </c>
      <c r="AN879" s="905">
        <f>INDEX(G879:R879,1,MATCH(Parametres!$B$3,G$1:R$1,0))*IF(OR(F879="L",F879="S",F879="I"),-1,1)</f>
        <v>327347</v>
      </c>
      <c r="AO879" s="487" t="str">
        <f>+VLOOKUP($AJ879,Data_Validation!$A:$D,1,0)</f>
        <v>G62804</v>
      </c>
      <c r="AP879" s="487" t="str">
        <f>+VLOOKUP($AJ879,Data_Validation!$A:$D,3,0)</f>
        <v>Véhicules neufs</v>
      </c>
      <c r="AQ879" s="487" t="str">
        <f>+VLOOKUP($AJ879,Data_Validation!$A:$D,4,0)</f>
        <v>Camions détail</v>
      </c>
      <c r="AR879" s="487" t="s">
        <v>299</v>
      </c>
      <c r="AS879" s="487">
        <f>+VLOOKUP($AJ879,Data_Validation!$A:$E,5,0)</f>
        <v>0</v>
      </c>
      <c r="AT879" s="904" t="str">
        <f t="shared" si="89"/>
        <v>G62804</v>
      </c>
      <c r="AU879" s="488" t="str">
        <f t="shared" si="90"/>
        <v>COUT BUICK ENCORE</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hidden="1" customHeight="1">
      <c r="A880" s="706" t="s">
        <v>1148</v>
      </c>
      <c r="B880" s="706">
        <v>2026</v>
      </c>
      <c r="C880" s="706" t="s">
        <v>2715</v>
      </c>
      <c r="D880" s="706" t="s">
        <v>2716</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G62820</v>
      </c>
      <c r="AK880" s="905" t="str">
        <f t="shared" si="87"/>
        <v>COUT-TRAIL BALZER    -LOC</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G62820</v>
      </c>
      <c r="AU880" s="488" t="str">
        <f t="shared" si="90"/>
        <v>COUT-TRAIL BALZER    -LOC</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hidden="1" customHeight="1">
      <c r="A881" s="706" t="s">
        <v>1148</v>
      </c>
      <c r="B881" s="706">
        <v>2026</v>
      </c>
      <c r="C881" s="706" t="s">
        <v>2717</v>
      </c>
      <c r="D881" s="706" t="s">
        <v>2718</v>
      </c>
      <c r="E881" s="706" t="s">
        <v>1143</v>
      </c>
      <c r="F881" s="706" t="s">
        <v>1152</v>
      </c>
      <c r="G881" s="706">
        <v>163604.79999999999</v>
      </c>
      <c r="H881" s="706">
        <v>254067.85</v>
      </c>
      <c r="I881" s="706">
        <v>348128.49</v>
      </c>
      <c r="J881" s="706">
        <v>469050.88</v>
      </c>
      <c r="K881" s="706">
        <v>533516.16</v>
      </c>
      <c r="L881" s="706">
        <v>562547.81000000006</v>
      </c>
      <c r="M881" s="706">
        <v>715139.27</v>
      </c>
      <c r="N881" s="706">
        <v>799710.65</v>
      </c>
      <c r="O881" s="706">
        <v>925165.27</v>
      </c>
      <c r="P881" s="706">
        <v>992822.58</v>
      </c>
      <c r="Q881" s="706">
        <v>0</v>
      </c>
      <c r="R881" s="706">
        <v>0</v>
      </c>
      <c r="S881" s="706">
        <v>102796.14</v>
      </c>
      <c r="T881" s="706">
        <v>102796.14</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G62850</v>
      </c>
      <c r="AK881" s="905" t="str">
        <f t="shared" si="87"/>
        <v>COUTANT CHEVROLET TRAX</v>
      </c>
      <c r="AL881" s="905">
        <f>IFERROR(INDEX(G881:R881,1,MATCH(Parametres!$B$3,G$1:R$1,0)-1)*IF(OR(F881="L",F881="S",F881="I"),-1,1),"")</f>
        <v>799710.65</v>
      </c>
      <c r="AM881" s="1047">
        <f t="shared" si="88"/>
        <v>125454.62</v>
      </c>
      <c r="AN881" s="905">
        <f>INDEX(G881:R881,1,MATCH(Parametres!$B$3,G$1:R$1,0))*IF(OR(F881="L",F881="S",F881="I"),-1,1)</f>
        <v>925165.27</v>
      </c>
      <c r="AO881" s="487" t="str">
        <f>+VLOOKUP($AJ881,Data_Validation!$A:$D,1,0)</f>
        <v>G62850</v>
      </c>
      <c r="AP881" s="487" t="str">
        <f>+VLOOKUP($AJ881,Data_Validation!$A:$D,3,0)</f>
        <v>Véhicules neufs</v>
      </c>
      <c r="AQ881" s="487" t="str">
        <f>+VLOOKUP($AJ881,Data_Validation!$A:$D,4,0)</f>
        <v>Camions détail</v>
      </c>
      <c r="AR881" s="487" t="s">
        <v>299</v>
      </c>
      <c r="AS881" s="487">
        <f>+VLOOKUP($AJ881,Data_Validation!$A:$E,5,0)</f>
        <v>0</v>
      </c>
      <c r="AT881" s="904" t="str">
        <f t="shared" si="89"/>
        <v>G62850</v>
      </c>
      <c r="AU881" s="488" t="str">
        <f t="shared" si="90"/>
        <v>COUTANT CHEVROLET TRAX</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2719</v>
      </c>
      <c r="D882" s="706" t="s">
        <v>2720</v>
      </c>
      <c r="E882" s="706" t="s">
        <v>1143</v>
      </c>
      <c r="F882" s="706" t="s">
        <v>1152</v>
      </c>
      <c r="G882" s="706">
        <v>275883.74</v>
      </c>
      <c r="H882" s="706">
        <v>367937.75</v>
      </c>
      <c r="I882" s="706">
        <v>626758.68000000005</v>
      </c>
      <c r="J882" s="706">
        <v>626758.68000000005</v>
      </c>
      <c r="K882" s="706">
        <v>693368.68</v>
      </c>
      <c r="L882" s="706">
        <v>874729.5</v>
      </c>
      <c r="M882" s="706">
        <v>874729.5</v>
      </c>
      <c r="N882" s="706">
        <v>968535.95</v>
      </c>
      <c r="O882" s="706">
        <v>968535.95</v>
      </c>
      <c r="P882" s="706">
        <v>968535.95</v>
      </c>
      <c r="Q882" s="706">
        <v>0</v>
      </c>
      <c r="R882" s="706">
        <v>0</v>
      </c>
      <c r="S882" s="706">
        <v>107615.11</v>
      </c>
      <c r="T882" s="706">
        <v>107615.11</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G62900</v>
      </c>
      <c r="AK882" s="905" t="str">
        <f t="shared" si="87"/>
        <v>COUT-TAHOE/SUBURBAN</v>
      </c>
      <c r="AL882" s="905">
        <f>IFERROR(INDEX(G882:R882,1,MATCH(Parametres!$B$3,G$1:R$1,0)-1)*IF(OR(F882="L",F882="S",F882="I"),-1,1),"")</f>
        <v>968535.95</v>
      </c>
      <c r="AM882" s="1047">
        <f t="shared" si="88"/>
        <v>0</v>
      </c>
      <c r="AN882" s="905">
        <f>INDEX(G882:R882,1,MATCH(Parametres!$B$3,G$1:R$1,0))*IF(OR(F882="L",F882="S",F882="I"),-1,1)</f>
        <v>968535.95</v>
      </c>
      <c r="AO882" s="487" t="str">
        <f>+VLOOKUP($AJ882,Data_Validation!$A:$D,1,0)</f>
        <v>G62900</v>
      </c>
      <c r="AP882" s="487" t="str">
        <f>+VLOOKUP($AJ882,Data_Validation!$A:$D,3,0)</f>
        <v>Véhicules neufs</v>
      </c>
      <c r="AQ882" s="487" t="str">
        <f>+VLOOKUP($AJ882,Data_Validation!$A:$D,4,0)</f>
        <v>Camions détail</v>
      </c>
      <c r="AR882" s="487" t="s">
        <v>299</v>
      </c>
      <c r="AS882" s="487">
        <f>+VLOOKUP($AJ882,Data_Validation!$A:$E,5,0)</f>
        <v>0</v>
      </c>
      <c r="AT882" s="904" t="str">
        <f t="shared" si="89"/>
        <v>G62900</v>
      </c>
      <c r="AU882" s="488" t="str">
        <f t="shared" si="90"/>
        <v>COUT-TAHOE/SUBURBAN</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hidden="1" customHeight="1">
      <c r="A883" s="706" t="s">
        <v>1148</v>
      </c>
      <c r="B883" s="706">
        <v>2026</v>
      </c>
      <c r="C883" s="706" t="s">
        <v>2721</v>
      </c>
      <c r="D883" s="706" t="s">
        <v>2722</v>
      </c>
      <c r="E883" s="706" t="s">
        <v>1143</v>
      </c>
      <c r="F883" s="706" t="s">
        <v>1152</v>
      </c>
      <c r="G883" s="706">
        <v>278797.93</v>
      </c>
      <c r="H883" s="706">
        <v>563208.92000000004</v>
      </c>
      <c r="I883" s="706">
        <v>1033013.62</v>
      </c>
      <c r="J883" s="706">
        <v>1319349.4099999999</v>
      </c>
      <c r="K883" s="706">
        <v>1763629.82</v>
      </c>
      <c r="L883" s="706">
        <v>2289254.42</v>
      </c>
      <c r="M883" s="706">
        <v>2579710.81</v>
      </c>
      <c r="N883" s="706">
        <v>2714563.83</v>
      </c>
      <c r="O883" s="706">
        <v>3123846.65</v>
      </c>
      <c r="P883" s="706">
        <v>3190306.87</v>
      </c>
      <c r="Q883" s="706">
        <v>0</v>
      </c>
      <c r="R883" s="706">
        <v>0</v>
      </c>
      <c r="S883" s="706">
        <v>347094.07</v>
      </c>
      <c r="T883" s="706">
        <v>347094.07</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G63000</v>
      </c>
      <c r="AK883" s="905" t="str">
        <f t="shared" si="87"/>
        <v>COUT-CL 1500 SILVERADO</v>
      </c>
      <c r="AL883" s="905">
        <f>IFERROR(INDEX(G883:R883,1,MATCH(Parametres!$B$3,G$1:R$1,0)-1)*IF(OR(F883="L",F883="S",F883="I"),-1,1),"")</f>
        <v>2714563.83</v>
      </c>
      <c r="AM883" s="905">
        <f t="shared" si="88"/>
        <v>409282.81999999983</v>
      </c>
      <c r="AN883" s="905">
        <f>INDEX(G883:R883,1,MATCH(Parametres!$B$3,G$1:R$1,0))*IF(OR(F883="L",F883="S",F883="I"),-1,1)</f>
        <v>3123846.65</v>
      </c>
      <c r="AO883" s="487" t="str">
        <f>+VLOOKUP($AJ883,Data_Validation!$A:$D,1,0)</f>
        <v>G63000</v>
      </c>
      <c r="AP883" s="487" t="str">
        <f>+VLOOKUP($AJ883,Data_Validation!$A:$D,3,0)</f>
        <v>Véhicules neufs</v>
      </c>
      <c r="AQ883" s="487" t="str">
        <f>+VLOOKUP($AJ883,Data_Validation!$A:$D,4,0)</f>
        <v>Camions détail</v>
      </c>
      <c r="AR883" s="487" t="s">
        <v>299</v>
      </c>
      <c r="AS883" s="487">
        <f>+VLOOKUP($AJ883,Data_Validation!$A:$E,5,0)</f>
        <v>0</v>
      </c>
      <c r="AT883" s="904" t="str">
        <f t="shared" si="89"/>
        <v>G63000</v>
      </c>
      <c r="AU883" s="488" t="str">
        <f t="shared" si="90"/>
        <v>COUT-CL 1500 SILVERADO</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2723</v>
      </c>
      <c r="D884" s="706" t="s">
        <v>2724</v>
      </c>
      <c r="E884" s="706" t="s">
        <v>1143</v>
      </c>
      <c r="F884" s="706" t="s">
        <v>1152</v>
      </c>
      <c r="G884" s="706">
        <v>0</v>
      </c>
      <c r="H884" s="706">
        <v>0</v>
      </c>
      <c r="I884" s="706">
        <v>0</v>
      </c>
      <c r="J884" s="706">
        <v>216195.74</v>
      </c>
      <c r="K884" s="706">
        <v>216195.74</v>
      </c>
      <c r="L884" s="706">
        <v>216195.74</v>
      </c>
      <c r="M884" s="706">
        <v>324367.78999999998</v>
      </c>
      <c r="N884" s="706">
        <v>324367.78999999998</v>
      </c>
      <c r="O884" s="706">
        <v>415400.39</v>
      </c>
      <c r="P884" s="706">
        <v>415400.39</v>
      </c>
      <c r="Q884" s="706">
        <v>0</v>
      </c>
      <c r="R884" s="706">
        <v>0</v>
      </c>
      <c r="S884" s="706">
        <v>46155.6</v>
      </c>
      <c r="T884" s="706">
        <v>46155.6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G63001</v>
      </c>
      <c r="AK884" s="905" t="str">
        <f t="shared" si="87"/>
        <v>COUT - SILVERADO EV</v>
      </c>
      <c r="AL884" s="905">
        <f>IFERROR(INDEX(G884:R884,1,MATCH(Parametres!$B$3,G$1:R$1,0)-1)*IF(OR(F884="L",F884="S",F884="I"),-1,1),"")</f>
        <v>324367.78999999998</v>
      </c>
      <c r="AM884" s="905">
        <f t="shared" si="88"/>
        <v>91032.600000000035</v>
      </c>
      <c r="AN884" s="905">
        <f>INDEX(G884:R884,1,MATCH(Parametres!$B$3,G$1:R$1,0))*IF(OR(F884="L",F884="S",F884="I"),-1,1)</f>
        <v>415400.39</v>
      </c>
      <c r="AO884" s="487" t="str">
        <f>+VLOOKUP($AJ884,Data_Validation!$A:$D,1,0)</f>
        <v>G63001</v>
      </c>
      <c r="AP884" s="487" t="str">
        <f>+VLOOKUP($AJ884,Data_Validation!$A:$D,3,0)</f>
        <v>Véhicules neufs</v>
      </c>
      <c r="AQ884" s="487" t="str">
        <f>+VLOOKUP($AJ884,Data_Validation!$A:$D,4,0)</f>
        <v>Camions electriques</v>
      </c>
      <c r="AR884" s="487" t="s">
        <v>299</v>
      </c>
      <c r="AS884" s="487">
        <f>+VLOOKUP($AJ884,Data_Validation!$A:$E,5,0)</f>
        <v>0</v>
      </c>
      <c r="AT884" s="904" t="str">
        <f t="shared" si="89"/>
        <v>G63001</v>
      </c>
      <c r="AU884" s="488" t="str">
        <f t="shared" si="90"/>
        <v>COUT - SILVERADO EV</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2725</v>
      </c>
      <c r="D885" s="706" t="s">
        <v>2726</v>
      </c>
      <c r="E885" s="706" t="s">
        <v>1143</v>
      </c>
      <c r="F885" s="706" t="s">
        <v>1152</v>
      </c>
      <c r="G885" s="706">
        <v>92749.89</v>
      </c>
      <c r="H885" s="706">
        <v>396129</v>
      </c>
      <c r="I885" s="706">
        <v>728145.5</v>
      </c>
      <c r="J885" s="706">
        <v>728145.5</v>
      </c>
      <c r="K885" s="706">
        <v>960653.88</v>
      </c>
      <c r="L885" s="706">
        <v>1371355.67</v>
      </c>
      <c r="M885" s="706">
        <v>1620159.3</v>
      </c>
      <c r="N885" s="706">
        <v>1711026.72</v>
      </c>
      <c r="O885" s="706">
        <v>1825292.73</v>
      </c>
      <c r="P885" s="706">
        <v>1825292.73</v>
      </c>
      <c r="Q885" s="706">
        <v>0</v>
      </c>
      <c r="R885" s="706">
        <v>0</v>
      </c>
      <c r="S885" s="706">
        <v>202810.3</v>
      </c>
      <c r="T885" s="706">
        <v>202810.3</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G63002</v>
      </c>
      <c r="AK885" s="905" t="str">
        <f t="shared" si="87"/>
        <v>COUT - YUKON</v>
      </c>
      <c r="AL885" s="905">
        <f>IFERROR(INDEX(G885:R885,1,MATCH(Parametres!$B$3,G$1:R$1,0)-1)*IF(OR(F885="L",F885="S",F885="I"),-1,1),"")</f>
        <v>1711026.72</v>
      </c>
      <c r="AM885" s="905">
        <f t="shared" si="88"/>
        <v>114266.01000000001</v>
      </c>
      <c r="AN885" s="905">
        <f>INDEX(G885:R885,1,MATCH(Parametres!$B$3,G$1:R$1,0))*IF(OR(F885="L",F885="S",F885="I"),-1,1)</f>
        <v>1825292.73</v>
      </c>
      <c r="AO885" s="487" t="str">
        <f>+VLOOKUP($AJ885,Data_Validation!$A:$D,1,0)</f>
        <v>G63002</v>
      </c>
      <c r="AP885" s="487" t="str">
        <f>+VLOOKUP($AJ885,Data_Validation!$A:$D,3,0)</f>
        <v>Véhicules neufs</v>
      </c>
      <c r="AQ885" s="487" t="str">
        <f>+VLOOKUP($AJ885,Data_Validation!$A:$D,4,0)</f>
        <v>Camions détail</v>
      </c>
      <c r="AR885" s="487" t="s">
        <v>299</v>
      </c>
      <c r="AS885" s="487">
        <f>+VLOOKUP($AJ885,Data_Validation!$A:$E,5,0)</f>
        <v>0</v>
      </c>
      <c r="AT885" s="904" t="str">
        <f t="shared" si="89"/>
        <v>G63002</v>
      </c>
      <c r="AU885" s="488" t="str">
        <f t="shared" si="90"/>
        <v>COUT - YUKON</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hidden="1" customHeight="1">
      <c r="A886" s="706" t="s">
        <v>1148</v>
      </c>
      <c r="B886" s="706">
        <v>2026</v>
      </c>
      <c r="C886" s="706" t="s">
        <v>2727</v>
      </c>
      <c r="D886" s="706" t="s">
        <v>2728</v>
      </c>
      <c r="E886" s="706" t="s">
        <v>1143</v>
      </c>
      <c r="F886" s="706" t="s">
        <v>1152</v>
      </c>
      <c r="G886" s="706">
        <v>0</v>
      </c>
      <c r="H886" s="706">
        <v>0</v>
      </c>
      <c r="I886" s="706">
        <v>0</v>
      </c>
      <c r="J886" s="706">
        <v>0</v>
      </c>
      <c r="K886" s="706">
        <v>0</v>
      </c>
      <c r="L886" s="706">
        <v>0</v>
      </c>
      <c r="M886" s="706">
        <v>0</v>
      </c>
      <c r="N886" s="706">
        <v>0</v>
      </c>
      <c r="O886" s="706">
        <v>0</v>
      </c>
      <c r="P886" s="706">
        <v>0</v>
      </c>
      <c r="Q886" s="706">
        <v>0</v>
      </c>
      <c r="R886" s="706">
        <v>0</v>
      </c>
      <c r="S886" s="706">
        <v>0</v>
      </c>
      <c r="T886" s="706">
        <v>0</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G63020</v>
      </c>
      <c r="AK886" s="905" t="str">
        <f t="shared" si="87"/>
        <v>COUT-CL 1500 SILVERAD-LOC</v>
      </c>
      <c r="AL886" s="905">
        <f>IFERROR(INDEX(G886:R886,1,MATCH(Parametres!$B$3,G$1:R$1,0)-1)*IF(OR(F886="L",F886="S",F886="I"),-1,1),"")</f>
        <v>0</v>
      </c>
      <c r="AM886" s="905">
        <f t="shared" si="88"/>
        <v>0</v>
      </c>
      <c r="AN886" s="905">
        <f>INDEX(G886:R886,1,MATCH(Parametres!$B$3,G$1:R$1,0))*IF(OR(F886="L",F886="S",F886="I"),-1,1)</f>
        <v>0</v>
      </c>
      <c r="AO886" s="487" t="e">
        <f>+VLOOKUP($AJ886,Data_Validation!$A:$D,1,0)</f>
        <v>#N/A</v>
      </c>
      <c r="AP886" s="487" t="e">
        <f>+VLOOKUP($AJ886,Data_Validation!$A:$D,3,0)</f>
        <v>#N/A</v>
      </c>
      <c r="AQ886" s="487" t="e">
        <f>+VLOOKUP($AJ886,Data_Validation!$A:$D,4,0)</f>
        <v>#N/A</v>
      </c>
      <c r="AR886" s="487" t="s">
        <v>299</v>
      </c>
      <c r="AS886" s="487" t="e">
        <f>+VLOOKUP($AJ886,Data_Validation!$A:$E,5,0)</f>
        <v>#N/A</v>
      </c>
      <c r="AT886" s="904" t="str">
        <f t="shared" si="89"/>
        <v>G63020</v>
      </c>
      <c r="AU886" s="488" t="str">
        <f t="shared" si="90"/>
        <v>COUT-CL 1500 SILVERAD-LOC</v>
      </c>
      <c r="AV886" s="899">
        <f>IFERROR(INDEX(V886:AG886,1,MATCH(Parametres!$B$3,V$1:AG$1,0)-1)*IF(OR(C886="L",C886="S",C886="I"),-1,1),"")</f>
        <v>0</v>
      </c>
      <c r="AW886" s="899">
        <f t="shared" si="91"/>
        <v>0</v>
      </c>
      <c r="AX886" s="899">
        <f>INDEX(V886:AG886,1,MATCH(Parametres!$B$3,V$1:AG$1,0))*IF(OR(C886="L",C886="S",C886="I"),-1,1)</f>
        <v>0</v>
      </c>
      <c r="AY886" s="487" t="s">
        <v>337</v>
      </c>
      <c r="AZ886" s="487" t="e">
        <f>+VLOOKUP($AJ886,Data_Validation!$A:$E,5,0)</f>
        <v>#N/A</v>
      </c>
    </row>
    <row r="887" spans="1:52" ht="15" hidden="1" customHeight="1">
      <c r="A887" s="706" t="s">
        <v>1148</v>
      </c>
      <c r="B887" s="706">
        <v>2026</v>
      </c>
      <c r="C887" s="706" t="s">
        <v>2729</v>
      </c>
      <c r="D887" s="706" t="s">
        <v>2730</v>
      </c>
      <c r="E887" s="706" t="s">
        <v>1143</v>
      </c>
      <c r="F887" s="706" t="s">
        <v>1152</v>
      </c>
      <c r="G887" s="706">
        <v>95881.95</v>
      </c>
      <c r="H887" s="706">
        <v>284200.96999999997</v>
      </c>
      <c r="I887" s="706">
        <v>667588.17000000004</v>
      </c>
      <c r="J887" s="706">
        <v>667588.17000000004</v>
      </c>
      <c r="K887" s="706">
        <v>763930.31</v>
      </c>
      <c r="L887" s="706">
        <v>865397.4</v>
      </c>
      <c r="M887" s="706">
        <v>943864.51</v>
      </c>
      <c r="N887" s="706">
        <v>1138555.77</v>
      </c>
      <c r="O887" s="706">
        <v>1138555.77</v>
      </c>
      <c r="P887" s="706">
        <v>1138555.77</v>
      </c>
      <c r="Q887" s="706">
        <v>0</v>
      </c>
      <c r="R887" s="706">
        <v>0</v>
      </c>
      <c r="S887" s="706">
        <v>126506.2</v>
      </c>
      <c r="T887" s="706">
        <v>126506.2</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G63100</v>
      </c>
      <c r="AK887" s="905" t="str">
        <f t="shared" si="87"/>
        <v>COUT-CL 2500 SILVERADO</v>
      </c>
      <c r="AL887" s="905">
        <f>IFERROR(INDEX(G887:R887,1,MATCH(Parametres!$B$3,G$1:R$1,0)-1)*IF(OR(F887="L",F887="S",F887="I"),-1,1),"")</f>
        <v>1138555.77</v>
      </c>
      <c r="AM887" s="905">
        <f t="shared" si="88"/>
        <v>0</v>
      </c>
      <c r="AN887" s="905">
        <f>INDEX(G887:R887,1,MATCH(Parametres!$B$3,G$1:R$1,0))*IF(OR(F887="L",F887="S",F887="I"),-1,1)</f>
        <v>1138555.77</v>
      </c>
      <c r="AO887" s="487" t="str">
        <f>+VLOOKUP($AJ887,Data_Validation!$A:$D,1,0)</f>
        <v>G63100</v>
      </c>
      <c r="AP887" s="487" t="str">
        <f>+VLOOKUP($AJ887,Data_Validation!$A:$D,3,0)</f>
        <v>Véhicules neufs</v>
      </c>
      <c r="AQ887" s="487" t="str">
        <f>+VLOOKUP($AJ887,Data_Validation!$A:$D,4,0)</f>
        <v>Camions détail</v>
      </c>
      <c r="AR887" s="487" t="s">
        <v>299</v>
      </c>
      <c r="AS887" s="487">
        <f>+VLOOKUP($AJ887,Data_Validation!$A:$E,5,0)</f>
        <v>0</v>
      </c>
      <c r="AT887" s="904" t="str">
        <f t="shared" si="89"/>
        <v>G63100</v>
      </c>
      <c r="AU887" s="488" t="str">
        <f t="shared" si="90"/>
        <v>COUT-CL 2500 SILVERADO</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2731</v>
      </c>
      <c r="D888" s="706" t="s">
        <v>2732</v>
      </c>
      <c r="E888" s="706" t="s">
        <v>1143</v>
      </c>
      <c r="F888" s="706" t="s">
        <v>1152</v>
      </c>
      <c r="G888" s="706">
        <v>147986.73000000001</v>
      </c>
      <c r="H888" s="706">
        <v>532197.18999999994</v>
      </c>
      <c r="I888" s="706">
        <v>842661.14</v>
      </c>
      <c r="J888" s="706">
        <v>1593081.49</v>
      </c>
      <c r="K888" s="706">
        <v>1961574.24</v>
      </c>
      <c r="L888" s="706">
        <v>2121431.2999999998</v>
      </c>
      <c r="M888" s="706">
        <v>2644271.8199999998</v>
      </c>
      <c r="N888" s="706">
        <v>3222635.8</v>
      </c>
      <c r="O888" s="706">
        <v>3597369.16</v>
      </c>
      <c r="P888" s="706">
        <v>3671194.25</v>
      </c>
      <c r="Q888" s="706">
        <v>0</v>
      </c>
      <c r="R888" s="706">
        <v>0</v>
      </c>
      <c r="S888" s="706">
        <v>399707.68</v>
      </c>
      <c r="T888" s="706">
        <v>399707.68</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G63102</v>
      </c>
      <c r="AK888" s="905" t="str">
        <f t="shared" si="87"/>
        <v>COUTANT CL 1500 SIERRA</v>
      </c>
      <c r="AL888" s="905">
        <f>IFERROR(INDEX(G888:R888,1,MATCH(Parametres!$B$3,G$1:R$1,0)-1)*IF(OR(F888="L",F888="S",F888="I"),-1,1),"")</f>
        <v>3222635.8</v>
      </c>
      <c r="AM888" s="905">
        <f t="shared" si="88"/>
        <v>374733.36000000034</v>
      </c>
      <c r="AN888" s="905">
        <f>INDEX(G888:R888,1,MATCH(Parametres!$B$3,G$1:R$1,0))*IF(OR(F888="L",F888="S",F888="I"),-1,1)</f>
        <v>3597369.16</v>
      </c>
      <c r="AO888" s="487" t="str">
        <f>+VLOOKUP($AJ888,Data_Validation!$A:$D,1,0)</f>
        <v>G63102</v>
      </c>
      <c r="AP888" s="487" t="str">
        <f>+VLOOKUP($AJ888,Data_Validation!$A:$D,3,0)</f>
        <v>Véhicules neufs</v>
      </c>
      <c r="AQ888" s="487" t="str">
        <f>+VLOOKUP($AJ888,Data_Validation!$A:$D,4,0)</f>
        <v>Camions détail</v>
      </c>
      <c r="AR888" s="487" t="s">
        <v>299</v>
      </c>
      <c r="AS888" s="487">
        <f>+VLOOKUP($AJ888,Data_Validation!$A:$E,5,0)</f>
        <v>0</v>
      </c>
      <c r="AT888" s="904" t="str">
        <f t="shared" si="89"/>
        <v>G63102</v>
      </c>
      <c r="AU888" s="488" t="str">
        <f t="shared" si="90"/>
        <v>COUTANT CL 1500 SIERRA</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2733</v>
      </c>
      <c r="D889" s="706" t="s">
        <v>2734</v>
      </c>
      <c r="E889" s="706" t="s">
        <v>1143</v>
      </c>
      <c r="F889" s="706" t="s">
        <v>1152</v>
      </c>
      <c r="G889" s="706">
        <v>108075.05</v>
      </c>
      <c r="H889" s="706">
        <v>211150.1</v>
      </c>
      <c r="I889" s="706">
        <v>211150.1</v>
      </c>
      <c r="J889" s="706">
        <v>320050.96999999997</v>
      </c>
      <c r="K889" s="706">
        <v>320050.96999999997</v>
      </c>
      <c r="L889" s="706">
        <v>413048.11</v>
      </c>
      <c r="M889" s="706">
        <v>413048.11</v>
      </c>
      <c r="N889" s="706">
        <v>413048.11</v>
      </c>
      <c r="O889" s="706">
        <v>413048.11</v>
      </c>
      <c r="P889" s="706">
        <v>413048.11</v>
      </c>
      <c r="Q889" s="706">
        <v>0</v>
      </c>
      <c r="R889" s="706">
        <v>0</v>
      </c>
      <c r="S889" s="706">
        <v>45894.23</v>
      </c>
      <c r="T889" s="706">
        <v>45894.23</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G63103</v>
      </c>
      <c r="AK889" s="905" t="str">
        <f t="shared" si="87"/>
        <v>COUT - SIERRA EV</v>
      </c>
      <c r="AL889" s="905">
        <f>IFERROR(INDEX(G889:R889,1,MATCH(Parametres!$B$3,G$1:R$1,0)-1)*IF(OR(F889="L",F889="S",F889="I"),-1,1),"")</f>
        <v>413048.11</v>
      </c>
      <c r="AM889" s="905">
        <f t="shared" si="88"/>
        <v>0</v>
      </c>
      <c r="AN889" s="905">
        <f>INDEX(G889:R889,1,MATCH(Parametres!$B$3,G$1:R$1,0))*IF(OR(F889="L",F889="S",F889="I"),-1,1)</f>
        <v>413048.11</v>
      </c>
      <c r="AO889" s="487" t="str">
        <f>+VLOOKUP($AJ889,Data_Validation!$A:$D,1,0)</f>
        <v>G63103</v>
      </c>
      <c r="AP889" s="487" t="str">
        <f>+VLOOKUP($AJ889,Data_Validation!$A:$D,3,0)</f>
        <v>Véhicules neufs</v>
      </c>
      <c r="AQ889" s="487" t="str">
        <f>+VLOOKUP($AJ889,Data_Validation!$A:$D,4,0)</f>
        <v>Camions electriques</v>
      </c>
      <c r="AR889" s="487" t="s">
        <v>299</v>
      </c>
      <c r="AS889" s="487">
        <f>+VLOOKUP($AJ889,Data_Validation!$A:$E,5,0)</f>
        <v>0</v>
      </c>
      <c r="AT889" s="904" t="str">
        <f t="shared" si="89"/>
        <v>G63103</v>
      </c>
      <c r="AU889" s="488" t="str">
        <f t="shared" si="90"/>
        <v>COUT - SIERRA EV</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hidden="1" customHeight="1">
      <c r="A890" s="706" t="s">
        <v>1148</v>
      </c>
      <c r="B890" s="706">
        <v>2026</v>
      </c>
      <c r="C890" s="706" t="s">
        <v>2735</v>
      </c>
      <c r="D890" s="706" t="s">
        <v>2736</v>
      </c>
      <c r="E890" s="706" t="s">
        <v>1143</v>
      </c>
      <c r="F890" s="706" t="s">
        <v>1152</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G63120</v>
      </c>
      <c r="AK890" s="905" t="str">
        <f t="shared" si="87"/>
        <v>COUT-CL 2500 SILVERAD-LOC</v>
      </c>
      <c r="AL890" s="905">
        <f>IFERROR(INDEX(G890:R890,1,MATCH(Parametres!$B$3,G$1:R$1,0)-1)*IF(OR(F890="L",F890="S",F890="I"),-1,1),"")</f>
        <v>0</v>
      </c>
      <c r="AM890" s="905">
        <f t="shared" si="88"/>
        <v>0</v>
      </c>
      <c r="AN890" s="905">
        <f>INDEX(G890:R890,1,MATCH(Parametres!$B$3,G$1:R$1,0))*IF(OR(F890="L",F890="S",F890="I"),-1,1)</f>
        <v>0</v>
      </c>
      <c r="AO890" s="487" t="e">
        <f>+VLOOKUP($AJ890,Data_Validation!$A:$D,1,0)</f>
        <v>#N/A</v>
      </c>
      <c r="AP890" s="487" t="e">
        <f>+VLOOKUP($AJ890,Data_Validation!$A:$D,3,0)</f>
        <v>#N/A</v>
      </c>
      <c r="AQ890" s="487" t="e">
        <f>+VLOOKUP($AJ890,Data_Validation!$A:$D,4,0)</f>
        <v>#N/A</v>
      </c>
      <c r="AR890" s="487" t="s">
        <v>299</v>
      </c>
      <c r="AS890" s="487" t="e">
        <f>+VLOOKUP($AJ890,Data_Validation!$A:$E,5,0)</f>
        <v>#N/A</v>
      </c>
      <c r="AT890" s="904" t="str">
        <f t="shared" si="89"/>
        <v>G63120</v>
      </c>
      <c r="AU890" s="488" t="str">
        <f t="shared" si="90"/>
        <v>COUT-CL 2500 SILVERAD-LOC</v>
      </c>
      <c r="AV890" s="899">
        <f>IFERROR(INDEX(V890:AG890,1,MATCH(Parametres!$B$3,V$1:AG$1,0)-1)*IF(OR(C890="L",C890="S",C890="I"),-1,1),"")</f>
        <v>0</v>
      </c>
      <c r="AW890" s="899">
        <f t="shared" si="91"/>
        <v>0</v>
      </c>
      <c r="AX890" s="899">
        <f>INDEX(V890:AG890,1,MATCH(Parametres!$B$3,V$1:AG$1,0))*IF(OR(C890="L",C890="S",C890="I"),-1,1)</f>
        <v>0</v>
      </c>
      <c r="AY890" s="487" t="s">
        <v>337</v>
      </c>
      <c r="AZ890" s="487" t="e">
        <f>+VLOOKUP($AJ890,Data_Validation!$A:$E,5,0)</f>
        <v>#N/A</v>
      </c>
    </row>
    <row r="891" spans="1:52" ht="15" hidden="1" customHeight="1">
      <c r="A891" s="706" t="s">
        <v>1148</v>
      </c>
      <c r="B891" s="706">
        <v>2026</v>
      </c>
      <c r="C891" s="706" t="s">
        <v>2737</v>
      </c>
      <c r="D891" s="706" t="s">
        <v>2738</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G63200</v>
      </c>
      <c r="AK891" s="905" t="str">
        <f t="shared" si="87"/>
        <v>COUT-CL 3500 SILVERADO</v>
      </c>
      <c r="AL891" s="905">
        <f>IFERROR(INDEX(G891:R891,1,MATCH(Parametres!$B$3,G$1:R$1,0)-1)*IF(OR(F891="L",F891="S",F891="I"),-1,1),"")</f>
        <v>0</v>
      </c>
      <c r="AM891" s="905">
        <f t="shared" si="88"/>
        <v>0</v>
      </c>
      <c r="AN891" s="905">
        <f>INDEX(G891:R891,1,MATCH(Parametres!$B$3,G$1:R$1,0))*IF(OR(F891="L",F891="S",F891="I"),-1,1)</f>
        <v>0</v>
      </c>
      <c r="AO891" s="487" t="str">
        <f>+VLOOKUP($AJ891,Data_Validation!$A:$D,1,0)</f>
        <v>G63200</v>
      </c>
      <c r="AP891" s="487" t="str">
        <f>+VLOOKUP($AJ891,Data_Validation!$A:$D,3,0)</f>
        <v>Véhicules neufs</v>
      </c>
      <c r="AQ891" s="487" t="str">
        <f>+VLOOKUP($AJ891,Data_Validation!$A:$D,4,0)</f>
        <v>Camions détail</v>
      </c>
      <c r="AR891" s="487" t="s">
        <v>299</v>
      </c>
      <c r="AS891" s="487">
        <f>+VLOOKUP($AJ891,Data_Validation!$A:$E,5,0)</f>
        <v>0</v>
      </c>
      <c r="AT891" s="904" t="str">
        <f t="shared" si="89"/>
        <v>G63200</v>
      </c>
      <c r="AU891" s="488" t="str">
        <f t="shared" si="90"/>
        <v>COUT-CL 3500 SILVERADO</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2739</v>
      </c>
      <c r="D892" s="706" t="s">
        <v>2740</v>
      </c>
      <c r="E892" s="706" t="s">
        <v>1143</v>
      </c>
      <c r="F892" s="706" t="s">
        <v>1152</v>
      </c>
      <c r="G892" s="706">
        <v>319231.27</v>
      </c>
      <c r="H892" s="706">
        <v>319231.27</v>
      </c>
      <c r="I892" s="706">
        <v>523709.44</v>
      </c>
      <c r="J892" s="706">
        <v>944789.7</v>
      </c>
      <c r="K892" s="706">
        <v>1339823.54</v>
      </c>
      <c r="L892" s="706">
        <v>1458323.17</v>
      </c>
      <c r="M892" s="706">
        <v>1679736.99</v>
      </c>
      <c r="N892" s="706">
        <v>1783762.04</v>
      </c>
      <c r="O892" s="706">
        <v>1783762.04</v>
      </c>
      <c r="P892" s="706">
        <v>1783762.04</v>
      </c>
      <c r="Q892" s="706">
        <v>0</v>
      </c>
      <c r="R892" s="706">
        <v>0</v>
      </c>
      <c r="S892" s="706">
        <v>198195.78</v>
      </c>
      <c r="T892" s="706">
        <v>198195.78</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G63202</v>
      </c>
      <c r="AK892" s="905" t="str">
        <f t="shared" si="87"/>
        <v>COUT- CL 2500 SIERRA</v>
      </c>
      <c r="AL892" s="905">
        <f>IFERROR(INDEX(G892:R892,1,MATCH(Parametres!$B$3,G$1:R$1,0)-1)*IF(OR(F892="L",F892="S",F892="I"),-1,1),"")</f>
        <v>1783762.04</v>
      </c>
      <c r="AM892" s="905">
        <f t="shared" si="88"/>
        <v>0</v>
      </c>
      <c r="AN892" s="905">
        <f>INDEX(G892:R892,1,MATCH(Parametres!$B$3,G$1:R$1,0))*IF(OR(F892="L",F892="S",F892="I"),-1,1)</f>
        <v>1783762.04</v>
      </c>
      <c r="AO892" s="487" t="str">
        <f>+VLOOKUP($AJ892,Data_Validation!$A:$D,1,0)</f>
        <v>G63202</v>
      </c>
      <c r="AP892" s="487" t="str">
        <f>+VLOOKUP($AJ892,Data_Validation!$A:$D,3,0)</f>
        <v>Véhicules neufs</v>
      </c>
      <c r="AQ892" s="487" t="str">
        <f>+VLOOKUP($AJ892,Data_Validation!$A:$D,4,0)</f>
        <v>Camions détail</v>
      </c>
      <c r="AR892" s="487" t="s">
        <v>299</v>
      </c>
      <c r="AS892" s="487">
        <f>+VLOOKUP($AJ892,Data_Validation!$A:$E,5,0)</f>
        <v>0</v>
      </c>
      <c r="AT892" s="904" t="str">
        <f t="shared" si="89"/>
        <v>G63202</v>
      </c>
      <c r="AU892" s="488" t="str">
        <f t="shared" si="90"/>
        <v>COUT- CL 2500 SIERRA</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2741</v>
      </c>
      <c r="D893" s="706" t="s">
        <v>2742</v>
      </c>
      <c r="E893" s="706" t="s">
        <v>1143</v>
      </c>
      <c r="F893" s="706" t="s">
        <v>1152</v>
      </c>
      <c r="G893" s="706">
        <v>215186.38</v>
      </c>
      <c r="H893" s="706">
        <v>215186.38</v>
      </c>
      <c r="I893" s="706">
        <v>323067.49</v>
      </c>
      <c r="J893" s="706">
        <v>323067.49</v>
      </c>
      <c r="K893" s="706">
        <v>323067.49</v>
      </c>
      <c r="L893" s="706">
        <v>323067.49</v>
      </c>
      <c r="M893" s="706">
        <v>323067.49</v>
      </c>
      <c r="N893" s="706">
        <v>323067.49</v>
      </c>
      <c r="O893" s="706">
        <v>323067.49</v>
      </c>
      <c r="P893" s="706">
        <v>323067.49</v>
      </c>
      <c r="Q893" s="706">
        <v>0</v>
      </c>
      <c r="R893" s="706">
        <v>0</v>
      </c>
      <c r="S893" s="706">
        <v>35896.39</v>
      </c>
      <c r="T893" s="706">
        <v>35896.39</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G63203</v>
      </c>
      <c r="AK893" s="905" t="str">
        <f t="shared" si="87"/>
        <v>COUTANT - SIERRA 3500</v>
      </c>
      <c r="AL893" s="905">
        <f>IFERROR(INDEX(G893:R893,1,MATCH(Parametres!$B$3,G$1:R$1,0)-1)*IF(OR(F893="L",F893="S",F893="I"),-1,1),"")</f>
        <v>323067.49</v>
      </c>
      <c r="AM893" s="905">
        <f t="shared" si="88"/>
        <v>0</v>
      </c>
      <c r="AN893" s="905">
        <f>INDEX(G893:R893,1,MATCH(Parametres!$B$3,G$1:R$1,0))*IF(OR(F893="L",F893="S",F893="I"),-1,1)</f>
        <v>323067.49</v>
      </c>
      <c r="AO893" s="487" t="str">
        <f>+VLOOKUP($AJ893,Data_Validation!$A:$D,1,0)</f>
        <v>G63203</v>
      </c>
      <c r="AP893" s="487" t="str">
        <f>+VLOOKUP($AJ893,Data_Validation!$A:$D,3,0)</f>
        <v>Véhicules neufs</v>
      </c>
      <c r="AQ893" s="487" t="str">
        <f>+VLOOKUP($AJ893,Data_Validation!$A:$D,4,0)</f>
        <v>Camions détail</v>
      </c>
      <c r="AR893" s="487" t="s">
        <v>299</v>
      </c>
      <c r="AS893" s="487">
        <f>+VLOOKUP($AJ893,Data_Validation!$A:$E,5,0)</f>
        <v>0</v>
      </c>
      <c r="AT893" s="904" t="str">
        <f t="shared" si="89"/>
        <v>G63203</v>
      </c>
      <c r="AU893" s="488" t="str">
        <f t="shared" si="90"/>
        <v>COUTANT - SIERRA 3500</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2743</v>
      </c>
      <c r="D894" s="706" t="s">
        <v>2744</v>
      </c>
      <c r="E894" s="706" t="s">
        <v>1143</v>
      </c>
      <c r="F894" s="706" t="s">
        <v>1152</v>
      </c>
      <c r="G894" s="706">
        <v>0</v>
      </c>
      <c r="H894" s="706">
        <v>0</v>
      </c>
      <c r="I894" s="706">
        <v>0</v>
      </c>
      <c r="J894" s="706">
        <v>0</v>
      </c>
      <c r="K894" s="706">
        <v>0</v>
      </c>
      <c r="L894" s="706">
        <v>36856</v>
      </c>
      <c r="M894" s="706">
        <v>36856</v>
      </c>
      <c r="N894" s="706">
        <v>36856</v>
      </c>
      <c r="O894" s="706">
        <v>36856</v>
      </c>
      <c r="P894" s="706">
        <v>36856</v>
      </c>
      <c r="Q894" s="706">
        <v>0</v>
      </c>
      <c r="R894" s="706">
        <v>0</v>
      </c>
      <c r="S894" s="706">
        <v>4095.11</v>
      </c>
      <c r="T894" s="706">
        <v>4095.11</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G63300</v>
      </c>
      <c r="AK894" s="905" t="str">
        <f t="shared" si="87"/>
        <v>COUT-BLAZER</v>
      </c>
      <c r="AL894" s="905">
        <f>IFERROR(INDEX(G894:R894,1,MATCH(Parametres!$B$3,G$1:R$1,0)-1)*IF(OR(F894="L",F894="S",F894="I"),-1,1),"")</f>
        <v>36856</v>
      </c>
      <c r="AM894" s="905">
        <f t="shared" si="88"/>
        <v>0</v>
      </c>
      <c r="AN894" s="905">
        <f>INDEX(G894:R894,1,MATCH(Parametres!$B$3,G$1:R$1,0))*IF(OR(F894="L",F894="S",F894="I"),-1,1)</f>
        <v>36856</v>
      </c>
      <c r="AO894" s="487" t="str">
        <f>+VLOOKUP($AJ894,Data_Validation!$A:$D,1,0)</f>
        <v>G63300</v>
      </c>
      <c r="AP894" s="487" t="str">
        <f>+VLOOKUP($AJ894,Data_Validation!$A:$D,3,0)</f>
        <v>Véhicules neufs</v>
      </c>
      <c r="AQ894" s="487" t="str">
        <f>+VLOOKUP($AJ894,Data_Validation!$A:$D,4,0)</f>
        <v>Camions détail</v>
      </c>
      <c r="AR894" s="487" t="s">
        <v>299</v>
      </c>
      <c r="AS894" s="487">
        <f>+VLOOKUP($AJ894,Data_Validation!$A:$E,5,0)</f>
        <v>0</v>
      </c>
      <c r="AT894" s="904" t="str">
        <f t="shared" si="89"/>
        <v>G63300</v>
      </c>
      <c r="AU894" s="488" t="str">
        <f t="shared" si="90"/>
        <v>COUT-BLAZER</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hidden="1" customHeight="1">
      <c r="A895" s="706" t="s">
        <v>1148</v>
      </c>
      <c r="B895" s="706">
        <v>2026</v>
      </c>
      <c r="C895" s="706" t="s">
        <v>2745</v>
      </c>
      <c r="D895" s="706" t="s">
        <v>2746</v>
      </c>
      <c r="E895" s="706" t="s">
        <v>1143</v>
      </c>
      <c r="F895" s="706" t="s">
        <v>1152</v>
      </c>
      <c r="G895" s="706">
        <v>0</v>
      </c>
      <c r="H895" s="706">
        <v>0</v>
      </c>
      <c r="I895" s="706">
        <v>179333.38</v>
      </c>
      <c r="J895" s="706">
        <v>334500.34000000003</v>
      </c>
      <c r="K895" s="706">
        <v>449487.89</v>
      </c>
      <c r="L895" s="706">
        <v>449487.89</v>
      </c>
      <c r="M895" s="706">
        <v>449487.89</v>
      </c>
      <c r="N895" s="706">
        <v>449487.89</v>
      </c>
      <c r="O895" s="706">
        <v>509126.03</v>
      </c>
      <c r="P895" s="706">
        <v>509126.03</v>
      </c>
      <c r="Q895" s="706">
        <v>0</v>
      </c>
      <c r="R895" s="706">
        <v>0</v>
      </c>
      <c r="S895" s="706">
        <v>56569.56</v>
      </c>
      <c r="T895" s="706">
        <v>56569.56</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G63301</v>
      </c>
      <c r="AK895" s="905" t="str">
        <f t="shared" si="87"/>
        <v>COUT-BLAZER EV</v>
      </c>
      <c r="AL895" s="905">
        <f>IFERROR(INDEX(G895:R895,1,MATCH(Parametres!$B$3,G$1:R$1,0)-1)*IF(OR(F895="L",F895="S",F895="I"),-1,1),"")</f>
        <v>449487.89</v>
      </c>
      <c r="AM895" s="1047">
        <f t="shared" si="88"/>
        <v>59638.140000000014</v>
      </c>
      <c r="AN895" s="905">
        <f>INDEX(G895:R895,1,MATCH(Parametres!$B$3,G$1:R$1,0))*IF(OR(F895="L",F895="S",F895="I"),-1,1)</f>
        <v>509126.03</v>
      </c>
      <c r="AO895" s="487" t="str">
        <f>+VLOOKUP($AJ895,Data_Validation!$A:$D,1,0)</f>
        <v>G63301</v>
      </c>
      <c r="AP895" s="487" t="str">
        <f>+VLOOKUP($AJ895,Data_Validation!$A:$D,3,0)</f>
        <v>Véhicules neufs</v>
      </c>
      <c r="AQ895" s="487" t="str">
        <f>+VLOOKUP($AJ895,Data_Validation!$A:$D,4,0)</f>
        <v>Camions electriques</v>
      </c>
      <c r="AR895" s="487" t="s">
        <v>299</v>
      </c>
      <c r="AS895" s="487">
        <f>+VLOOKUP($AJ895,Data_Validation!$A:$E,5,0)</f>
        <v>0</v>
      </c>
      <c r="AT895" s="904" t="str">
        <f t="shared" si="89"/>
        <v>G63301</v>
      </c>
      <c r="AU895" s="488" t="str">
        <f t="shared" si="90"/>
        <v>COUT-BLAZER EV</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hidden="1" customHeight="1">
      <c r="A896" s="706" t="s">
        <v>1148</v>
      </c>
      <c r="B896" s="706">
        <v>2026</v>
      </c>
      <c r="C896" s="706" t="s">
        <v>2747</v>
      </c>
      <c r="D896" s="706" t="s">
        <v>2748</v>
      </c>
      <c r="E896" s="706" t="s">
        <v>1143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G63320</v>
      </c>
      <c r="AK896" s="905" t="str">
        <f t="shared" si="87"/>
        <v>COUT-CL 3500 SILVERAD-LOC</v>
      </c>
      <c r="AL896" s="905">
        <f>IFERROR(INDEX(G896:R896,1,MATCH(Parametres!$B$3,G$1:R$1,0)-1)*IF(OR(F896="L",F896="S",F896="I"),-1,1),"")</f>
        <v>0</v>
      </c>
      <c r="AM896" s="905">
        <f t="shared" si="88"/>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89"/>
        <v>G63320</v>
      </c>
      <c r="AU896" s="488" t="str">
        <f t="shared" si="90"/>
        <v>COUT-CL 3500 SILVERAD-LOC</v>
      </c>
      <c r="AV896" s="899">
        <f>IFERROR(INDEX(V896:AG896,1,MATCH(Parametres!$B$3,V$1:AG$1,0)-1)*IF(OR(C896="L",C896="S",C896="I"),-1,1),"")</f>
        <v>0</v>
      </c>
      <c r="AW896" s="899">
        <f t="shared" si="91"/>
        <v>0</v>
      </c>
      <c r="AX896" s="899">
        <f>INDEX(V896:AG896,1,MATCH(Parametres!$B$3,V$1:AG$1,0))*IF(OR(C896="L",C896="S",C896="I"),-1,1)</f>
        <v>0</v>
      </c>
      <c r="AY896" s="487" t="s">
        <v>337</v>
      </c>
      <c r="AZ896" s="487" t="e">
        <f>+VLOOKUP($AJ896,Data_Validation!$A:$E,5,0)</f>
        <v>#N/A</v>
      </c>
    </row>
    <row r="897" spans="1:52" ht="15" hidden="1" customHeight="1">
      <c r="A897" s="706" t="s">
        <v>1148</v>
      </c>
      <c r="B897" s="706">
        <v>2026</v>
      </c>
      <c r="C897" s="706" t="s">
        <v>2749</v>
      </c>
      <c r="D897" s="706" t="s">
        <v>2750</v>
      </c>
      <c r="E897" s="706" t="s">
        <v>1143</v>
      </c>
      <c r="F897" s="706" t="s">
        <v>1152</v>
      </c>
      <c r="G897" s="706">
        <v>82360.75</v>
      </c>
      <c r="H897" s="706">
        <v>169932.97</v>
      </c>
      <c r="I897" s="706">
        <v>216193.02</v>
      </c>
      <c r="J897" s="706">
        <v>256081.92000000001</v>
      </c>
      <c r="K897" s="706">
        <v>302252.92</v>
      </c>
      <c r="L897" s="706">
        <v>345066.99</v>
      </c>
      <c r="M897" s="706">
        <v>381754.99</v>
      </c>
      <c r="N897" s="706">
        <v>381754.99</v>
      </c>
      <c r="O897" s="706">
        <v>381754.99</v>
      </c>
      <c r="P897" s="706">
        <v>381754.99</v>
      </c>
      <c r="Q897" s="706">
        <v>0</v>
      </c>
      <c r="R897" s="706">
        <v>0</v>
      </c>
      <c r="S897" s="706">
        <v>42417.22</v>
      </c>
      <c r="T897" s="706">
        <v>42417.22</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G63400</v>
      </c>
      <c r="AK897" s="905" t="str">
        <f t="shared" si="87"/>
        <v>COUTANT EQUINOX</v>
      </c>
      <c r="AL897" s="905">
        <f>IFERROR(INDEX(G897:R897,1,MATCH(Parametres!$B$3,G$1:R$1,0)-1)*IF(OR(F897="L",F897="S",F897="I"),-1,1),"")</f>
        <v>381754.99</v>
      </c>
      <c r="AM897" s="905">
        <f t="shared" si="88"/>
        <v>0</v>
      </c>
      <c r="AN897" s="905">
        <f>INDEX(G897:R897,1,MATCH(Parametres!$B$3,G$1:R$1,0))*IF(OR(F897="L",F897="S",F897="I"),-1,1)</f>
        <v>381754.99</v>
      </c>
      <c r="AO897" s="487" t="str">
        <f>+VLOOKUP($AJ897,Data_Validation!$A:$D,1,0)</f>
        <v>G63400</v>
      </c>
      <c r="AP897" s="487" t="str">
        <f>+VLOOKUP($AJ897,Data_Validation!$A:$D,3,0)</f>
        <v>Véhicules neufs</v>
      </c>
      <c r="AQ897" s="487" t="str">
        <f>+VLOOKUP($AJ897,Data_Validation!$A:$D,4,0)</f>
        <v>Camions détail</v>
      </c>
      <c r="AR897" s="487" t="s">
        <v>299</v>
      </c>
      <c r="AS897" s="487">
        <f>+VLOOKUP($AJ897,Data_Validation!$A:$E,5,0)</f>
        <v>0</v>
      </c>
      <c r="AT897" s="904" t="str">
        <f t="shared" si="89"/>
        <v>G63400</v>
      </c>
      <c r="AU897" s="488" t="str">
        <f t="shared" si="90"/>
        <v>COUTANT EQUINOX</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hidden="1" customHeight="1">
      <c r="A898" s="706" t="s">
        <v>1148</v>
      </c>
      <c r="B898" s="706">
        <v>2026</v>
      </c>
      <c r="C898" s="706" t="s">
        <v>2751</v>
      </c>
      <c r="D898" s="706" t="s">
        <v>2752</v>
      </c>
      <c r="E898" s="706" t="s">
        <v>1143</v>
      </c>
      <c r="F898" s="706" t="s">
        <v>1152</v>
      </c>
      <c r="G898" s="706">
        <v>0</v>
      </c>
      <c r="H898" s="706">
        <v>109230.59</v>
      </c>
      <c r="I898" s="706">
        <v>343158.24</v>
      </c>
      <c r="J898" s="706">
        <v>1393624.66</v>
      </c>
      <c r="K898" s="706">
        <v>1540456.79</v>
      </c>
      <c r="L898" s="706">
        <v>1589977.28</v>
      </c>
      <c r="M898" s="706">
        <v>1906175.12</v>
      </c>
      <c r="N898" s="706">
        <v>2376988.5499999998</v>
      </c>
      <c r="O898" s="706">
        <v>2868880.15</v>
      </c>
      <c r="P898" s="706">
        <v>2914079.16</v>
      </c>
      <c r="Q898" s="706">
        <v>0</v>
      </c>
      <c r="R898" s="706">
        <v>0</v>
      </c>
      <c r="S898" s="706">
        <v>318764.46000000002</v>
      </c>
      <c r="T898" s="706">
        <v>318764.46000000002</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G63401</v>
      </c>
      <c r="AK898" s="905" t="str">
        <f t="shared" si="87"/>
        <v>COUT - EQUINOX EV</v>
      </c>
      <c r="AL898" s="905">
        <f>IFERROR(INDEX(G898:R898,1,MATCH(Parametres!$B$3,G$1:R$1,0)-1)*IF(OR(F898="L",F898="S",F898="I"),-1,1),"")</f>
        <v>2376988.5499999998</v>
      </c>
      <c r="AM898" s="905">
        <f t="shared" si="88"/>
        <v>491891.60000000009</v>
      </c>
      <c r="AN898" s="905">
        <f>INDEX(G898:R898,1,MATCH(Parametres!$B$3,G$1:R$1,0))*IF(OR(F898="L",F898="S",F898="I"),-1,1)</f>
        <v>2868880.15</v>
      </c>
      <c r="AO898" s="487" t="str">
        <f>+VLOOKUP($AJ898,Data_Validation!$A:$D,1,0)</f>
        <v>G63401</v>
      </c>
      <c r="AP898" s="487" t="str">
        <f>+VLOOKUP($AJ898,Data_Validation!$A:$D,3,0)</f>
        <v>Véhicules neufs</v>
      </c>
      <c r="AQ898" s="487" t="str">
        <f>+VLOOKUP($AJ898,Data_Validation!$A:$D,4,0)</f>
        <v>Camions electriques</v>
      </c>
      <c r="AR898" s="487" t="s">
        <v>299</v>
      </c>
      <c r="AS898" s="487">
        <f>+VLOOKUP($AJ898,Data_Validation!$A:$E,5,0)</f>
        <v>0</v>
      </c>
      <c r="AT898" s="904" t="str">
        <f t="shared" si="89"/>
        <v>G63401</v>
      </c>
      <c r="AU898" s="488" t="str">
        <f t="shared" si="90"/>
        <v>COUT - EQUINOX EV</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hidden="1" customHeight="1">
      <c r="A899" s="706" t="s">
        <v>1148</v>
      </c>
      <c r="B899" s="706">
        <v>2026</v>
      </c>
      <c r="C899" s="706" t="s">
        <v>2753</v>
      </c>
      <c r="D899" s="706" t="s">
        <v>2754</v>
      </c>
      <c r="E899" s="706" t="s">
        <v>1143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G63420</v>
      </c>
      <c r="AK899" s="905" t="str">
        <f t="shared" si="87"/>
        <v>COUT-TRACKER         -LOC</v>
      </c>
      <c r="AL899" s="905">
        <f>IFERROR(INDEX(G899:R899,1,MATCH(Parametres!$B$3,G$1:R$1,0)-1)*IF(OR(F899="L",F899="S",F899="I"),-1,1),"")</f>
        <v>0</v>
      </c>
      <c r="AM899" s="905">
        <f t="shared" si="88"/>
        <v>0</v>
      </c>
      <c r="AN899" s="905">
        <f>INDEX(G899:R899,1,MATCH(Parametres!$B$3,G$1:R$1,0))*IF(OR(F899="L",F899="S",F899="I"),-1,1)</f>
        <v>0</v>
      </c>
      <c r="AO899" s="487" t="e">
        <f>+VLOOKUP($AJ899,Data_Validation!$A:$D,1,0)</f>
        <v>#N/A</v>
      </c>
      <c r="AP899" s="487" t="e">
        <f>+VLOOKUP($AJ899,Data_Validation!$A:$D,3,0)</f>
        <v>#N/A</v>
      </c>
      <c r="AQ899" s="487" t="e">
        <f>+VLOOKUP($AJ899,Data_Validation!$A:$D,4,0)</f>
        <v>#N/A</v>
      </c>
      <c r="AR899" s="487" t="s">
        <v>299</v>
      </c>
      <c r="AS899" s="487" t="e">
        <f>+VLOOKUP($AJ899,Data_Validation!$A:$E,5,0)</f>
        <v>#N/A</v>
      </c>
      <c r="AT899" s="904" t="str">
        <f t="shared" si="89"/>
        <v>G63420</v>
      </c>
      <c r="AU899" s="488" t="str">
        <f t="shared" si="90"/>
        <v>COUT-TRACKER         -LOC</v>
      </c>
      <c r="AV899" s="899">
        <f>IFERROR(INDEX(V899:AG899,1,MATCH(Parametres!$B$3,V$1:AG$1,0)-1)*IF(OR(C899="L",C899="S",C899="I"),-1,1),"")</f>
        <v>0</v>
      </c>
      <c r="AW899" s="899">
        <f t="shared" si="91"/>
        <v>0</v>
      </c>
      <c r="AX899" s="899">
        <f>INDEX(V899:AG899,1,MATCH(Parametres!$B$3,V$1:AG$1,0))*IF(OR(C899="L",C899="S",C899="I"),-1,1)</f>
        <v>0</v>
      </c>
      <c r="AY899" s="487" t="s">
        <v>337</v>
      </c>
      <c r="AZ899" s="487" t="e">
        <f>+VLOOKUP($AJ899,Data_Validation!$A:$E,5,0)</f>
        <v>#N/A</v>
      </c>
    </row>
    <row r="900" spans="1:52" ht="15" hidden="1" customHeight="1">
      <c r="A900" s="706" t="s">
        <v>1148</v>
      </c>
      <c r="B900" s="706">
        <v>2026</v>
      </c>
      <c r="C900" s="706" t="s">
        <v>2755</v>
      </c>
      <c r="D900" s="706" t="s">
        <v>2756</v>
      </c>
      <c r="E900" s="706" t="s">
        <v>1143</v>
      </c>
      <c r="F900" s="706" t="s">
        <v>1152</v>
      </c>
      <c r="G900" s="706">
        <v>0</v>
      </c>
      <c r="H900" s="706">
        <v>0</v>
      </c>
      <c r="I900" s="706">
        <v>0</v>
      </c>
      <c r="J900" s="706">
        <v>0</v>
      </c>
      <c r="K900" s="706">
        <v>0</v>
      </c>
      <c r="L900" s="706">
        <v>0</v>
      </c>
      <c r="M900" s="706">
        <v>0</v>
      </c>
      <c r="N900" s="706">
        <v>0</v>
      </c>
      <c r="O900" s="706">
        <v>0</v>
      </c>
      <c r="P900" s="706">
        <v>0</v>
      </c>
      <c r="Q900" s="706">
        <v>0</v>
      </c>
      <c r="R900" s="706">
        <v>0</v>
      </c>
      <c r="S900" s="706">
        <v>0</v>
      </c>
      <c r="T900" s="706">
        <v>0</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G63500</v>
      </c>
      <c r="AK900" s="905" t="str">
        <f t="shared" si="87"/>
        <v>COUT CHEV CITY</v>
      </c>
      <c r="AL900" s="905">
        <f>IFERROR(INDEX(G900:R900,1,MATCH(Parametres!$B$3,G$1:R$1,0)-1)*IF(OR(F900="L",F900="S",F900="I"),-1,1),"")</f>
        <v>0</v>
      </c>
      <c r="AM900" s="905">
        <f t="shared" si="88"/>
        <v>0</v>
      </c>
      <c r="AN900" s="905">
        <f>INDEX(G900:R900,1,MATCH(Parametres!$B$3,G$1:R$1,0))*IF(OR(F900="L",F900="S",F900="I"),-1,1)</f>
        <v>0</v>
      </c>
      <c r="AO900" s="487" t="str">
        <f>+VLOOKUP($AJ900,Data_Validation!$A:$D,1,0)</f>
        <v>G63500</v>
      </c>
      <c r="AP900" s="487" t="str">
        <f>+VLOOKUP($AJ900,Data_Validation!$A:$D,3,0)</f>
        <v>Véhicules neufs</v>
      </c>
      <c r="AQ900" s="487" t="str">
        <f>+VLOOKUP($AJ900,Data_Validation!$A:$D,4,0)</f>
        <v>Camions détail</v>
      </c>
      <c r="AR900" s="487" t="s">
        <v>299</v>
      </c>
      <c r="AS900" s="487">
        <f>+VLOOKUP($AJ900,Data_Validation!$A:$E,5,0)</f>
        <v>0</v>
      </c>
      <c r="AT900" s="904" t="str">
        <f t="shared" si="89"/>
        <v>G63500</v>
      </c>
      <c r="AU900" s="488" t="str">
        <f t="shared" si="90"/>
        <v>COUT CHEV CITY</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2757</v>
      </c>
      <c r="D901" s="706" t="s">
        <v>2758</v>
      </c>
      <c r="E901" s="706" t="s">
        <v>1143</v>
      </c>
      <c r="F901" s="706" t="s">
        <v>1152</v>
      </c>
      <c r="G901" s="706">
        <v>0</v>
      </c>
      <c r="H901" s="706">
        <v>0</v>
      </c>
      <c r="I901" s="706">
        <v>0</v>
      </c>
      <c r="J901" s="706">
        <v>0</v>
      </c>
      <c r="K901" s="706">
        <v>0</v>
      </c>
      <c r="L901" s="706">
        <v>0</v>
      </c>
      <c r="M901" s="706">
        <v>126926.91</v>
      </c>
      <c r="N901" s="706">
        <v>126926.91</v>
      </c>
      <c r="O901" s="706">
        <v>257073.4</v>
      </c>
      <c r="P901" s="706">
        <v>257073.4</v>
      </c>
      <c r="Q901" s="706">
        <v>0</v>
      </c>
      <c r="R901" s="706">
        <v>0</v>
      </c>
      <c r="S901" s="706">
        <v>28563.71</v>
      </c>
      <c r="T901" s="706">
        <v>28563.71</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G63501</v>
      </c>
      <c r="AK901" s="905" t="str">
        <f t="shared" si="87"/>
        <v>COUT - HUMMER EV SUV</v>
      </c>
      <c r="AL901" s="905">
        <f>IFERROR(INDEX(G901:R901,1,MATCH(Parametres!$B$3,G$1:R$1,0)-1)*IF(OR(F901="L",F901="S",F901="I"),-1,1),"")</f>
        <v>126926.91</v>
      </c>
      <c r="AM901" s="905">
        <f t="shared" si="88"/>
        <v>130146.48999999999</v>
      </c>
      <c r="AN901" s="905">
        <f>INDEX(G901:R901,1,MATCH(Parametres!$B$3,G$1:R$1,0))*IF(OR(F901="L",F901="S",F901="I"),-1,1)</f>
        <v>257073.4</v>
      </c>
      <c r="AO901" s="487" t="str">
        <f>+VLOOKUP($AJ901,Data_Validation!$A:$D,1,0)</f>
        <v>G63501</v>
      </c>
      <c r="AP901" s="487" t="str">
        <f>+VLOOKUP($AJ901,Data_Validation!$A:$D,3,0)</f>
        <v>Véhicules neufs</v>
      </c>
      <c r="AQ901" s="487" t="str">
        <f>+VLOOKUP($AJ901,Data_Validation!$A:$D,4,0)</f>
        <v>Camions electriques</v>
      </c>
      <c r="AR901" s="487" t="s">
        <v>299</v>
      </c>
      <c r="AS901" s="487">
        <f>+VLOOKUP($AJ901,Data_Validation!$A:$E,5,0)</f>
        <v>0</v>
      </c>
      <c r="AT901" s="904" t="str">
        <f t="shared" si="89"/>
        <v>G63501</v>
      </c>
      <c r="AU901" s="488" t="str">
        <f t="shared" si="90"/>
        <v>COUT - HUMMER EV SUV</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hidden="1" customHeight="1">
      <c r="A902" s="706" t="s">
        <v>1148</v>
      </c>
      <c r="B902" s="706">
        <v>2026</v>
      </c>
      <c r="C902" s="706" t="s">
        <v>2759</v>
      </c>
      <c r="D902" s="706" t="s">
        <v>2760</v>
      </c>
      <c r="E902" s="706" t="s">
        <v>1143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G63520</v>
      </c>
      <c r="AK902" s="905" t="str">
        <f t="shared" si="87"/>
        <v>COUT-SSR             -LOC</v>
      </c>
      <c r="AL902" s="905">
        <f>IFERROR(INDEX(G902:R902,1,MATCH(Parametres!$B$3,G$1:R$1,0)-1)*IF(OR(F902="L",F902="S",F902="I"),-1,1),"")</f>
        <v>0</v>
      </c>
      <c r="AM902" s="905">
        <f t="shared" si="88"/>
        <v>0</v>
      </c>
      <c r="AN902" s="905">
        <f>INDEX(G902:R902,1,MATCH(Parametres!$B$3,G$1:R$1,0))*IF(OR(F902="L",F902="S",F902="I"),-1,1)</f>
        <v>0</v>
      </c>
      <c r="AO902" s="487" t="e">
        <f>+VLOOKUP($AJ902,Data_Validation!$A:$D,1,0)</f>
        <v>#N/A</v>
      </c>
      <c r="AP902" s="487" t="e">
        <f>+VLOOKUP($AJ902,Data_Validation!$A:$D,3,0)</f>
        <v>#N/A</v>
      </c>
      <c r="AQ902" s="487" t="e">
        <f>+VLOOKUP($AJ902,Data_Validation!$A:$D,4,0)</f>
        <v>#N/A</v>
      </c>
      <c r="AR902" s="487" t="s">
        <v>299</v>
      </c>
      <c r="AS902" s="487" t="e">
        <f>+VLOOKUP($AJ902,Data_Validation!$A:$E,5,0)</f>
        <v>#N/A</v>
      </c>
      <c r="AT902" s="904" t="str">
        <f t="shared" si="89"/>
        <v>G63520</v>
      </c>
      <c r="AU902" s="488" t="str">
        <f t="shared" si="90"/>
        <v>COUT-SSR             -LOC</v>
      </c>
      <c r="AV902" s="899">
        <f>IFERROR(INDEX(V902:AG902,1,MATCH(Parametres!$B$3,V$1:AG$1,0)-1)*IF(OR(C902="L",C902="S",C902="I"),-1,1),"")</f>
        <v>0</v>
      </c>
      <c r="AW902" s="899">
        <f t="shared" si="91"/>
        <v>0</v>
      </c>
      <c r="AX902" s="899">
        <f>INDEX(V902:AG902,1,MATCH(Parametres!$B$3,V$1:AG$1,0))*IF(OR(C902="L",C902="S",C902="I"),-1,1)</f>
        <v>0</v>
      </c>
      <c r="AY902" s="487" t="s">
        <v>337</v>
      </c>
      <c r="AZ902" s="487" t="e">
        <f>+VLOOKUP($AJ902,Data_Validation!$A:$E,5,0)</f>
        <v>#N/A</v>
      </c>
    </row>
    <row r="903" spans="1:52" ht="15" hidden="1" customHeight="1">
      <c r="A903" s="706" t="s">
        <v>1148</v>
      </c>
      <c r="B903" s="706">
        <v>2026</v>
      </c>
      <c r="C903" s="706" t="s">
        <v>2761</v>
      </c>
      <c r="D903" s="706" t="s">
        <v>2762</v>
      </c>
      <c r="E903" s="706" t="s">
        <v>1143</v>
      </c>
      <c r="F903" s="706" t="s">
        <v>1152</v>
      </c>
      <c r="G903" s="706">
        <v>39482.629999999997</v>
      </c>
      <c r="H903" s="706">
        <v>72151.679999999993</v>
      </c>
      <c r="I903" s="706">
        <v>72151.679999999993</v>
      </c>
      <c r="J903" s="706">
        <v>72151.679999999993</v>
      </c>
      <c r="K903" s="706">
        <v>109007.67999999999</v>
      </c>
      <c r="L903" s="706">
        <v>109007.67999999999</v>
      </c>
      <c r="M903" s="706">
        <v>109007.67999999999</v>
      </c>
      <c r="N903" s="706">
        <v>143709.98000000001</v>
      </c>
      <c r="O903" s="706">
        <v>222145.06</v>
      </c>
      <c r="P903" s="706">
        <v>222145.06</v>
      </c>
      <c r="Q903" s="706">
        <v>0</v>
      </c>
      <c r="R903" s="706">
        <v>0</v>
      </c>
      <c r="S903" s="706">
        <v>24682.78</v>
      </c>
      <c r="T903" s="706">
        <v>24682.78</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G63600</v>
      </c>
      <c r="AK903" s="905" t="str">
        <f t="shared" si="87"/>
        <v>COUT-TRAIL BLAZER</v>
      </c>
      <c r="AL903" s="905">
        <f>IFERROR(INDEX(G903:R903,1,MATCH(Parametres!$B$3,G$1:R$1,0)-1)*IF(OR(F903="L",F903="S",F903="I"),-1,1),"")</f>
        <v>143709.98000000001</v>
      </c>
      <c r="AM903" s="905">
        <f t="shared" si="88"/>
        <v>78435.079999999987</v>
      </c>
      <c r="AN903" s="905">
        <f>INDEX(G903:R903,1,MATCH(Parametres!$B$3,G$1:R$1,0))*IF(OR(F903="L",F903="S",F903="I"),-1,1)</f>
        <v>222145.06</v>
      </c>
      <c r="AO903" s="487" t="str">
        <f>+VLOOKUP($AJ903,Data_Validation!$A:$D,1,0)</f>
        <v>G63600</v>
      </c>
      <c r="AP903" s="487" t="str">
        <f>+VLOOKUP($AJ903,Data_Validation!$A:$D,3,0)</f>
        <v>Véhicules neufs</v>
      </c>
      <c r="AQ903" s="487" t="str">
        <f>+VLOOKUP($AJ903,Data_Validation!$A:$D,4,0)</f>
        <v>Camions détail</v>
      </c>
      <c r="AR903" s="487" t="s">
        <v>299</v>
      </c>
      <c r="AS903" s="487">
        <f>+VLOOKUP($AJ903,Data_Validation!$A:$E,5,0)</f>
        <v>0</v>
      </c>
      <c r="AT903" s="904" t="str">
        <f t="shared" si="89"/>
        <v>G63600</v>
      </c>
      <c r="AU903" s="488" t="str">
        <f t="shared" si="90"/>
        <v>COUT-TRAIL BLAZER</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hidden="1" customHeight="1">
      <c r="A904" s="706" t="s">
        <v>1148</v>
      </c>
      <c r="B904" s="706">
        <v>2026</v>
      </c>
      <c r="C904" s="706" t="s">
        <v>2763</v>
      </c>
      <c r="D904" s="706" t="s">
        <v>2764</v>
      </c>
      <c r="E904" s="706" t="s">
        <v>1143</v>
      </c>
      <c r="F904" s="706" t="s">
        <v>1152</v>
      </c>
      <c r="G904" s="706">
        <v>0</v>
      </c>
      <c r="H904" s="706">
        <v>0</v>
      </c>
      <c r="I904" s="706">
        <v>63923</v>
      </c>
      <c r="J904" s="706">
        <v>128882.14</v>
      </c>
      <c r="K904" s="706">
        <v>193939.26</v>
      </c>
      <c r="L904" s="706">
        <v>193939.26</v>
      </c>
      <c r="M904" s="706">
        <v>193939.26</v>
      </c>
      <c r="N904" s="706">
        <v>193939.26</v>
      </c>
      <c r="O904" s="706">
        <v>265512.26</v>
      </c>
      <c r="P904" s="706">
        <v>265512.26</v>
      </c>
      <c r="Q904" s="706">
        <v>0</v>
      </c>
      <c r="R904" s="706">
        <v>0</v>
      </c>
      <c r="S904" s="706">
        <v>29501.360000000001</v>
      </c>
      <c r="T904" s="706">
        <v>29501.360000000001</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G63602</v>
      </c>
      <c r="AK904" s="905" t="str">
        <f t="shared" si="87"/>
        <v>COÛT- GMC  ACADIA</v>
      </c>
      <c r="AL904" s="905">
        <f>IFERROR(INDEX(G904:R904,1,MATCH(Parametres!$B$3,G$1:R$1,0)-1)*IF(OR(F904="L",F904="S",F904="I"),-1,1),"")</f>
        <v>193939.26</v>
      </c>
      <c r="AM904" s="905">
        <f t="shared" si="88"/>
        <v>71573</v>
      </c>
      <c r="AN904" s="905">
        <f>INDEX(G904:R904,1,MATCH(Parametres!$B$3,G$1:R$1,0))*IF(OR(F904="L",F904="S",F904="I"),-1,1)</f>
        <v>265512.26</v>
      </c>
      <c r="AO904" s="487" t="str">
        <f>+VLOOKUP($AJ904,Data_Validation!$A:$D,1,0)</f>
        <v>G63602</v>
      </c>
      <c r="AP904" s="487" t="str">
        <f>+VLOOKUP($AJ904,Data_Validation!$A:$D,3,0)</f>
        <v>Véhicules neufs</v>
      </c>
      <c r="AQ904" s="487" t="str">
        <f>+VLOOKUP($AJ904,Data_Validation!$A:$D,4,0)</f>
        <v>Camions détail</v>
      </c>
      <c r="AR904" s="487" t="s">
        <v>299</v>
      </c>
      <c r="AS904" s="487">
        <f>+VLOOKUP($AJ904,Data_Validation!$A:$E,5,0)</f>
        <v>0</v>
      </c>
      <c r="AT904" s="904" t="str">
        <f t="shared" si="89"/>
        <v>G63602</v>
      </c>
      <c r="AU904" s="488" t="str">
        <f t="shared" si="90"/>
        <v>COÛT- GMC  ACADIA</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hidden="1" customHeight="1">
      <c r="A905" s="706" t="s">
        <v>1148</v>
      </c>
      <c r="B905" s="706">
        <v>2026</v>
      </c>
      <c r="C905" s="706" t="s">
        <v>2765</v>
      </c>
      <c r="D905" s="706" t="s">
        <v>2766</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G63800</v>
      </c>
      <c r="AK905" s="905" t="str">
        <f t="shared" si="87"/>
        <v>COUT-CHEV CAMION AUTRE</v>
      </c>
      <c r="AL905" s="905">
        <f>IFERROR(INDEX(G905:R905,1,MATCH(Parametres!$B$3,G$1:R$1,0)-1)*IF(OR(F905="L",F905="S",F905="I"),-1,1),"")</f>
        <v>0</v>
      </c>
      <c r="AM905" s="1047">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G63800</v>
      </c>
      <c r="AU905" s="488" t="str">
        <f t="shared" si="90"/>
        <v>COUT-CHEV CAMION AUTRE</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hidden="1" customHeight="1">
      <c r="A906" s="706" t="s">
        <v>1148</v>
      </c>
      <c r="B906" s="706">
        <v>2026</v>
      </c>
      <c r="C906" s="706" t="s">
        <v>2767</v>
      </c>
      <c r="D906" s="706" t="s">
        <v>2768</v>
      </c>
      <c r="E906" s="706" t="s">
        <v>1143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G63820</v>
      </c>
      <c r="AK906" s="905" t="str">
        <f t="shared" si="87"/>
        <v>COUT-CHEV CAMION AUTR-LOC</v>
      </c>
      <c r="AL906" s="905">
        <f>IFERROR(INDEX(G906:R906,1,MATCH(Parametres!$B$3,G$1:R$1,0)-1)*IF(OR(F906="L",F906="S",F906="I"),-1,1),"")</f>
        <v>0</v>
      </c>
      <c r="AM906" s="1047">
        <f t="shared" si="88"/>
        <v>0</v>
      </c>
      <c r="AN906" s="905">
        <f>INDEX(G906:R906,1,MATCH(Parametres!$B$3,G$1:R$1,0))*IF(OR(F906="L",F906="S",F906="I"),-1,1)</f>
        <v>0</v>
      </c>
      <c r="AO906" s="487" t="e">
        <f>+VLOOKUP($AJ906,Data_Validation!$A:$D,1,0)</f>
        <v>#N/A</v>
      </c>
      <c r="AP906" s="487" t="e">
        <f>+VLOOKUP($AJ906,Data_Validation!$A:$D,3,0)</f>
        <v>#N/A</v>
      </c>
      <c r="AQ906" s="487" t="e">
        <f>+VLOOKUP($AJ906,Data_Validation!$A:$D,4,0)</f>
        <v>#N/A</v>
      </c>
      <c r="AR906" s="487" t="s">
        <v>299</v>
      </c>
      <c r="AS906" s="487" t="e">
        <f>+VLOOKUP($AJ906,Data_Validation!$A:$E,5,0)</f>
        <v>#N/A</v>
      </c>
      <c r="AT906" s="904" t="str">
        <f t="shared" si="89"/>
        <v>G63820</v>
      </c>
      <c r="AU906" s="488" t="str">
        <f t="shared" si="90"/>
        <v>COUT-CHEV CAMION AUTR-LOC</v>
      </c>
      <c r="AV906" s="899">
        <f>IFERROR(INDEX(V906:AG906,1,MATCH(Parametres!$B$3,V$1:AG$1,0)-1)*IF(OR(C906="L",C906="S",C906="I"),-1,1),"")</f>
        <v>0</v>
      </c>
      <c r="AW906" s="899">
        <f t="shared" si="91"/>
        <v>0</v>
      </c>
      <c r="AX906" s="899">
        <f>INDEX(V906:AG906,1,MATCH(Parametres!$B$3,V$1:AG$1,0))*IF(OR(C906="L",C906="S",C906="I"),-1,1)</f>
        <v>0</v>
      </c>
      <c r="AY906" s="487" t="s">
        <v>337</v>
      </c>
      <c r="AZ906" s="487" t="e">
        <f>+VLOOKUP($AJ906,Data_Validation!$A:$E,5,0)</f>
        <v>#N/A</v>
      </c>
    </row>
    <row r="907" spans="1:52" ht="15" hidden="1" customHeight="1">
      <c r="A907" s="706" t="s">
        <v>1148</v>
      </c>
      <c r="B907" s="706">
        <v>2026</v>
      </c>
      <c r="C907" s="706" t="s">
        <v>2769</v>
      </c>
      <c r="D907" s="706" t="s">
        <v>2770</v>
      </c>
      <c r="E907" s="706" t="s">
        <v>1143</v>
      </c>
      <c r="F907" s="706" t="s">
        <v>1152</v>
      </c>
      <c r="G907" s="706">
        <v>7273301.1699999999</v>
      </c>
      <c r="H907" s="706">
        <v>16037449.73</v>
      </c>
      <c r="I907" s="706">
        <v>23829594.66</v>
      </c>
      <c r="J907" s="706">
        <v>34920405.240000002</v>
      </c>
      <c r="K907" s="706">
        <v>46295704.060000002</v>
      </c>
      <c r="L907" s="706">
        <v>55008871.770000003</v>
      </c>
      <c r="M907" s="706">
        <v>59070315.450000003</v>
      </c>
      <c r="N907" s="706">
        <v>61573545.5</v>
      </c>
      <c r="O907" s="706">
        <v>64661209.979999997</v>
      </c>
      <c r="P907" s="706">
        <v>64661209.979999997</v>
      </c>
      <c r="Q907" s="706">
        <v>0</v>
      </c>
      <c r="R907" s="706">
        <v>0</v>
      </c>
      <c r="S907" s="706">
        <v>7184578.8899999997</v>
      </c>
      <c r="T907" s="706">
        <v>7184578.8899999997</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G64000</v>
      </c>
      <c r="AK907" s="905" t="str">
        <f t="shared" si="87"/>
        <v>COÛTANT PARC CAMIONS</v>
      </c>
      <c r="AL907" s="905">
        <f>IFERROR(INDEX(G907:R907,1,MATCH(Parametres!$B$3,G$1:R$1,0)-1)*IF(OR(F907="L",F907="S",F907="I"),-1,1),"")</f>
        <v>61573545.5</v>
      </c>
      <c r="AM907" s="1047">
        <f t="shared" si="88"/>
        <v>3087664.4799999967</v>
      </c>
      <c r="AN907" s="905">
        <f>INDEX(G907:R907,1,MATCH(Parametres!$B$3,G$1:R$1,0))*IF(OR(F907="L",F907="S",F907="I"),-1,1)</f>
        <v>64661209.979999997</v>
      </c>
      <c r="AO907" s="487" t="str">
        <f>+VLOOKUP($AJ907,Data_Validation!$A:$D,1,0)</f>
        <v>G64000</v>
      </c>
      <c r="AP907" s="487" t="str">
        <f>+VLOOKUP($AJ907,Data_Validation!$A:$D,3,0)</f>
        <v>Véhicules neufs</v>
      </c>
      <c r="AQ907" s="487" t="str">
        <f>+VLOOKUP($AJ907,Data_Validation!$A:$D,4,0)</f>
        <v>Flottes</v>
      </c>
      <c r="AR907" s="487" t="s">
        <v>299</v>
      </c>
      <c r="AS907" s="487">
        <f>+VLOOKUP($AJ907,Data_Validation!$A:$E,5,0)</f>
        <v>0</v>
      </c>
      <c r="AT907" s="904" t="str">
        <f t="shared" si="89"/>
        <v>G64000</v>
      </c>
      <c r="AU907" s="488" t="str">
        <f t="shared" si="90"/>
        <v>COÛTANT PARC CAMIONS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2771</v>
      </c>
      <c r="D908" s="706" t="s">
        <v>2772</v>
      </c>
      <c r="E908" s="706" t="s">
        <v>1143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G64100</v>
      </c>
      <c r="AK908" s="905" t="str">
        <f t="shared" si="87"/>
        <v>COUT-CAMIONS INTERNE</v>
      </c>
      <c r="AL908" s="905">
        <f>IFERROR(INDEX(G908:R908,1,MATCH(Parametres!$B$3,G$1:R$1,0)-1)*IF(OR(F908="L",F908="S",F908="I"),-1,1),"")</f>
        <v>0</v>
      </c>
      <c r="AM908" s="905">
        <f t="shared" si="88"/>
        <v>0</v>
      </c>
      <c r="AN908" s="905">
        <f>INDEX(G908:R908,1,MATCH(Parametres!$B$3,G$1:R$1,0))*IF(OR(F908="L",F908="S",F908="I"),-1,1)</f>
        <v>0</v>
      </c>
      <c r="AO908" s="487" t="str">
        <f>+VLOOKUP($AJ908,Data_Validation!$A:$D,1,0)</f>
        <v>G64100</v>
      </c>
      <c r="AP908" s="487" t="str">
        <f>+VLOOKUP($AJ908,Data_Validation!$A:$D,3,0)</f>
        <v>Véhicules neufs</v>
      </c>
      <c r="AQ908" s="487" t="str">
        <f>+VLOOKUP($AJ908,Data_Validation!$A:$D,4,0)</f>
        <v>Flottes</v>
      </c>
      <c r="AR908" s="487" t="s">
        <v>299</v>
      </c>
      <c r="AS908" s="487">
        <f>+VLOOKUP($AJ908,Data_Validation!$A:$E,5,0)</f>
        <v>0</v>
      </c>
      <c r="AT908" s="904" t="str">
        <f t="shared" si="89"/>
        <v>G64100</v>
      </c>
      <c r="AU908" s="488" t="str">
        <f t="shared" si="90"/>
        <v>COUT-CAMIONS INTERNE</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hidden="1" customHeight="1">
      <c r="A909" s="706" t="s">
        <v>1148</v>
      </c>
      <c r="B909" s="706">
        <v>2026</v>
      </c>
      <c r="C909" s="706" t="s">
        <v>3380</v>
      </c>
      <c r="D909" s="706" t="s">
        <v>3381</v>
      </c>
      <c r="E909" s="706" t="s">
        <v>333</v>
      </c>
      <c r="F909" s="706" t="s">
        <v>1152</v>
      </c>
      <c r="G909" s="706">
        <v>0</v>
      </c>
      <c r="H909" s="706">
        <v>0</v>
      </c>
      <c r="I909" s="706">
        <v>0</v>
      </c>
      <c r="J909" s="706">
        <v>0</v>
      </c>
      <c r="K909" s="706">
        <v>0</v>
      </c>
      <c r="L909" s="706">
        <v>0</v>
      </c>
      <c r="M909" s="706">
        <v>0</v>
      </c>
      <c r="N909" s="706">
        <v>0</v>
      </c>
      <c r="O909" s="706">
        <v>0</v>
      </c>
      <c r="P909" s="706">
        <v>0</v>
      </c>
      <c r="Q909" s="706">
        <v>0</v>
      </c>
      <c r="R909" s="706">
        <v>0</v>
      </c>
      <c r="S909" s="706">
        <v>0</v>
      </c>
      <c r="T909" s="706">
        <v>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G64140</v>
      </c>
      <c r="AK909" s="905" t="str">
        <f t="shared" si="87"/>
        <v>COUT - M.O LOURD -SAAQ</v>
      </c>
      <c r="AL909" s="905">
        <f>IFERROR(INDEX(G909:R909,1,MATCH(Parametres!$B$3,G$1:R$1,0)-1)*IF(OR(F909="L",F909="S",F909="I"),-1,1),"")</f>
        <v>0</v>
      </c>
      <c r="AM909" s="1047">
        <f t="shared" si="88"/>
        <v>0</v>
      </c>
      <c r="AN909" s="905">
        <f>INDEX(G909:R909,1,MATCH(Parametres!$B$3,G$1:R$1,0))*IF(OR(F909="L",F909="S",F909="I"),-1,1)</f>
        <v>0</v>
      </c>
      <c r="AO909" s="487" t="e">
        <f>+VLOOKUP($AJ909,Data_Validation!$A:$D,1,0)</f>
        <v>#N/A</v>
      </c>
      <c r="AP909" s="487" t="e">
        <f>+VLOOKUP($AJ909,Data_Validation!$A:$D,3,0)</f>
        <v>#N/A</v>
      </c>
      <c r="AQ909" s="487" t="e">
        <f>+VLOOKUP($AJ909,Data_Validation!$A:$D,4,0)</f>
        <v>#N/A</v>
      </c>
      <c r="AR909" s="487" t="s">
        <v>299</v>
      </c>
      <c r="AS909" s="487" t="e">
        <f>+VLOOKUP($AJ909,Data_Validation!$A:$E,5,0)</f>
        <v>#N/A</v>
      </c>
      <c r="AT909" s="904" t="str">
        <f t="shared" si="89"/>
        <v>G64140</v>
      </c>
      <c r="AU909" s="488" t="str">
        <f t="shared" si="90"/>
        <v>COUT - M.O LOURD -SAAQ</v>
      </c>
      <c r="AV909" s="899">
        <f>IFERROR(INDEX(V909:AG909,1,MATCH(Parametres!$B$3,V$1:AG$1,0)-1)*IF(OR(C909="L",C909="S",C909="I"),-1,1),"")</f>
        <v>0</v>
      </c>
      <c r="AW909" s="899">
        <f t="shared" si="91"/>
        <v>0</v>
      </c>
      <c r="AX909" s="899">
        <f>INDEX(V909:AG909,1,MATCH(Parametres!$B$3,V$1:AG$1,0))*IF(OR(C909="L",C909="S",C909="I"),-1,1)</f>
        <v>0</v>
      </c>
      <c r="AY909" s="487" t="s">
        <v>337</v>
      </c>
      <c r="AZ909" s="487" t="e">
        <f>+VLOOKUP($AJ909,Data_Validation!$A:$E,5,0)</f>
        <v>#N/A</v>
      </c>
    </row>
    <row r="910" spans="1:52" ht="15" hidden="1" customHeight="1">
      <c r="A910" s="706" t="s">
        <v>1148</v>
      </c>
      <c r="B910" s="706">
        <v>2026</v>
      </c>
      <c r="C910" s="706" t="s">
        <v>2773</v>
      </c>
      <c r="D910" s="706" t="s">
        <v>2774</v>
      </c>
      <c r="E910" s="706" t="s">
        <v>333</v>
      </c>
      <c r="F910" s="706" t="s">
        <v>1152</v>
      </c>
      <c r="G910" s="706">
        <v>34529.760000000002</v>
      </c>
      <c r="H910" s="706">
        <v>53306.91</v>
      </c>
      <c r="I910" s="706">
        <v>79327.56</v>
      </c>
      <c r="J910" s="706">
        <v>136672.56</v>
      </c>
      <c r="K910" s="706">
        <v>162823.12</v>
      </c>
      <c r="L910" s="706">
        <v>190841.3</v>
      </c>
      <c r="M910" s="706">
        <v>225746.73</v>
      </c>
      <c r="N910" s="706">
        <v>253685.05</v>
      </c>
      <c r="O910" s="706">
        <v>302603.09000000003</v>
      </c>
      <c r="P910" s="706">
        <v>309587.52</v>
      </c>
      <c r="Q910" s="706">
        <v>0</v>
      </c>
      <c r="R910" s="706">
        <v>0</v>
      </c>
      <c r="S910" s="706">
        <v>33622.57</v>
      </c>
      <c r="T910" s="706">
        <v>33622.57</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G64300</v>
      </c>
      <c r="AK910" s="905" t="str">
        <f t="shared" si="87"/>
        <v>COUT-PLAN PROTECTION</v>
      </c>
      <c r="AL910" s="905">
        <f>IFERROR(INDEX(G910:R910,1,MATCH(Parametres!$B$3,G$1:R$1,0)-1)*IF(OR(F910="L",F910="S",F910="I"),-1,1),"")</f>
        <v>253685.05</v>
      </c>
      <c r="AM910" s="905">
        <f t="shared" si="88"/>
        <v>48918.040000000037</v>
      </c>
      <c r="AN910" s="905">
        <f>INDEX(G910:R910,1,MATCH(Parametres!$B$3,G$1:R$1,0))*IF(OR(F910="L",F910="S",F910="I"),-1,1)</f>
        <v>302603.09000000003</v>
      </c>
      <c r="AO910" s="487" t="str">
        <f>+VLOOKUP($AJ910,Data_Validation!$A:$D,1,0)</f>
        <v>G64300</v>
      </c>
      <c r="AP910" s="487" t="str">
        <f>+VLOOKUP($AJ910,Data_Validation!$A:$D,3,0)</f>
        <v>Véhicules neufs</v>
      </c>
      <c r="AQ910" s="487" t="str">
        <f>+VLOOKUP($AJ910,Data_Validation!$A:$D,4,0)</f>
        <v>Rev. Protections</v>
      </c>
      <c r="AR910" s="487" t="s">
        <v>299</v>
      </c>
      <c r="AS910" s="487">
        <f>+VLOOKUP($AJ910,Data_Validation!$A:$E,5,0)</f>
        <v>0</v>
      </c>
      <c r="AT910" s="904" t="str">
        <f t="shared" si="89"/>
        <v>G64300</v>
      </c>
      <c r="AU910" s="488" t="str">
        <f t="shared" si="90"/>
        <v>COUT-PLAN PROTECTION</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hidden="1" customHeight="1">
      <c r="A911" s="706" t="s">
        <v>1148</v>
      </c>
      <c r="B911" s="706">
        <v>2026</v>
      </c>
      <c r="C911" s="706" t="s">
        <v>3505</v>
      </c>
      <c r="D911" s="706" t="s">
        <v>3506</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G64301</v>
      </c>
      <c r="AK911" s="905" t="str">
        <f t="shared" si="87"/>
        <v>COUT -PRT NOMAD NEUF</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G64301</v>
      </c>
      <c r="AU911" s="488" t="str">
        <f t="shared" si="90"/>
        <v>COUT -PRT NOMAD NEUF</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hidden="1" customHeight="1">
      <c r="A912" s="706" t="s">
        <v>1148</v>
      </c>
      <c r="B912" s="706">
        <v>2026</v>
      </c>
      <c r="C912" s="706" t="s">
        <v>3507</v>
      </c>
      <c r="D912" s="706" t="s">
        <v>3508</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G64310</v>
      </c>
      <c r="AK912" s="905" t="str">
        <f t="shared" si="87"/>
        <v>COUT -PL PROTECT GM NEUFS</v>
      </c>
      <c r="AL912" s="905">
        <f>IFERROR(INDEX(G912:R912,1,MATCH(Parametres!$B$3,G$1:R$1,0)-1)*IF(OR(F912="L",F912="S",F912="I"),-1,1),"")</f>
        <v>0</v>
      </c>
      <c r="AM912" s="905">
        <f t="shared" si="88"/>
        <v>0</v>
      </c>
      <c r="AN912" s="905">
        <f>INDEX(G912:R912,1,MATCH(Parametres!$B$3,G$1:R$1,0))*IF(OR(F912="L",F912="S",F912="I"),-1,1)</f>
        <v>0</v>
      </c>
      <c r="AO912" s="487" t="e">
        <f>+VLOOKUP($AJ912,Data_Validation!$A:$D,1,0)</f>
        <v>#N/A</v>
      </c>
      <c r="AP912" s="487" t="e">
        <f>+VLOOKUP($AJ912,Data_Validation!$A:$D,3,0)</f>
        <v>#N/A</v>
      </c>
      <c r="AQ912" s="487" t="e">
        <f>+VLOOKUP($AJ912,Data_Validation!$A:$D,4,0)</f>
        <v>#N/A</v>
      </c>
      <c r="AR912" s="487" t="s">
        <v>299</v>
      </c>
      <c r="AS912" s="487" t="e">
        <f>+VLOOKUP($AJ912,Data_Validation!$A:$E,5,0)</f>
        <v>#N/A</v>
      </c>
      <c r="AT912" s="904" t="str">
        <f t="shared" si="89"/>
        <v>G64310</v>
      </c>
      <c r="AU912" s="488" t="str">
        <f t="shared" si="90"/>
        <v>COUT -PL PROTECT GM NEUFS</v>
      </c>
      <c r="AV912" s="899">
        <f>IFERROR(INDEX(V912:AG912,1,MATCH(Parametres!$B$3,V$1:AG$1,0)-1)*IF(OR(C912="L",C912="S",C912="I"),-1,1),"")</f>
        <v>0</v>
      </c>
      <c r="AW912" s="899">
        <f t="shared" si="91"/>
        <v>0</v>
      </c>
      <c r="AX912" s="899">
        <f>INDEX(V912:AG912,1,MATCH(Parametres!$B$3,V$1:AG$1,0))*IF(OR(C912="L",C912="S",C912="I"),-1,1)</f>
        <v>0</v>
      </c>
      <c r="AY912" s="487" t="s">
        <v>337</v>
      </c>
      <c r="AZ912" s="487" t="e">
        <f>+VLOOKUP($AJ912,Data_Validation!$A:$E,5,0)</f>
        <v>#N/A</v>
      </c>
    </row>
    <row r="913" spans="1:52" ht="15" hidden="1" customHeight="1">
      <c r="A913" s="706" t="s">
        <v>1148</v>
      </c>
      <c r="B913" s="706">
        <v>2026</v>
      </c>
      <c r="C913" s="706" t="s">
        <v>3509</v>
      </c>
      <c r="D913" s="706" t="s">
        <v>3510</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G64311</v>
      </c>
      <c r="AK913" s="905" t="str">
        <f t="shared" si="87"/>
        <v>COUT -PR PNEUS-JANTE NEUF</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G64311</v>
      </c>
      <c r="AU913" s="488" t="str">
        <f t="shared" si="90"/>
        <v>COUT -PR PNEUS-JANTE NEUF</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hidden="1" customHeight="1">
      <c r="A914" s="706" t="s">
        <v>1148</v>
      </c>
      <c r="B914" s="706">
        <v>2026</v>
      </c>
      <c r="C914" s="706" t="s">
        <v>3511</v>
      </c>
      <c r="D914" s="706" t="s">
        <v>3512</v>
      </c>
      <c r="E914" s="706" t="s">
        <v>333</v>
      </c>
      <c r="F914" s="706" t="s">
        <v>1152</v>
      </c>
      <c r="G914" s="706">
        <v>0</v>
      </c>
      <c r="H914" s="706">
        <v>0</v>
      </c>
      <c r="I914" s="706">
        <v>0</v>
      </c>
      <c r="J914" s="706">
        <v>0</v>
      </c>
      <c r="K914" s="706">
        <v>0</v>
      </c>
      <c r="L914" s="706">
        <v>0</v>
      </c>
      <c r="M914" s="706">
        <v>0</v>
      </c>
      <c r="N914" s="706">
        <v>0</v>
      </c>
      <c r="O914" s="706">
        <v>0</v>
      </c>
      <c r="P914" s="706">
        <v>0</v>
      </c>
      <c r="Q914" s="706">
        <v>0</v>
      </c>
      <c r="R914" s="706">
        <v>0</v>
      </c>
      <c r="S914" s="706">
        <v>0</v>
      </c>
      <c r="T914" s="706">
        <v>0</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G64312</v>
      </c>
      <c r="AK914" s="905" t="str">
        <f t="shared" si="87"/>
        <v>COUT -PROT A L'ECART NEUF</v>
      </c>
      <c r="AL914" s="905">
        <f>IFERROR(INDEX(G914:R914,1,MATCH(Parametres!$B$3,G$1:R$1,0)-1)*IF(OR(F914="L",F914="S",F914="I"),-1,1),"")</f>
        <v>0</v>
      </c>
      <c r="AM914" s="905">
        <f t="shared" si="88"/>
        <v>0</v>
      </c>
      <c r="AN914" s="905">
        <f>INDEX(G914:R914,1,MATCH(Parametres!$B$3,G$1:R$1,0))*IF(OR(F914="L",F914="S",F914="I"),-1,1)</f>
        <v>0</v>
      </c>
      <c r="AO914" s="487" t="e">
        <f>+VLOOKUP($AJ914,Data_Validation!$A:$D,1,0)</f>
        <v>#N/A</v>
      </c>
      <c r="AP914" s="487" t="e">
        <f>+VLOOKUP($AJ914,Data_Validation!$A:$D,3,0)</f>
        <v>#N/A</v>
      </c>
      <c r="AQ914" s="487" t="e">
        <f>+VLOOKUP($AJ914,Data_Validation!$A:$D,4,0)</f>
        <v>#N/A</v>
      </c>
      <c r="AR914" s="487" t="s">
        <v>299</v>
      </c>
      <c r="AS914" s="487" t="e">
        <f>+VLOOKUP($AJ914,Data_Validation!$A:$E,5,0)</f>
        <v>#N/A</v>
      </c>
      <c r="AT914" s="904" t="str">
        <f t="shared" si="89"/>
        <v>G64312</v>
      </c>
      <c r="AU914" s="488" t="str">
        <f t="shared" si="90"/>
        <v>COUT -PROT A L'ECART NEUF</v>
      </c>
      <c r="AV914" s="899">
        <f>IFERROR(INDEX(V914:AG914,1,MATCH(Parametres!$B$3,V$1:AG$1,0)-1)*IF(OR(C914="L",C914="S",C914="I"),-1,1),"")</f>
        <v>0</v>
      </c>
      <c r="AW914" s="899">
        <f t="shared" si="91"/>
        <v>0</v>
      </c>
      <c r="AX914" s="899">
        <f>INDEX(V914:AG914,1,MATCH(Parametres!$B$3,V$1:AG$1,0))*IF(OR(C914="L",C914="S",C914="I"),-1,1)</f>
        <v>0</v>
      </c>
      <c r="AY914" s="487" t="s">
        <v>337</v>
      </c>
      <c r="AZ914" s="487" t="e">
        <f>+VLOOKUP($AJ914,Data_Validation!$A:$E,5,0)</f>
        <v>#N/A</v>
      </c>
    </row>
    <row r="915" spans="1:52" ht="15" hidden="1" customHeight="1">
      <c r="A915" s="706" t="s">
        <v>1148</v>
      </c>
      <c r="B915" s="706">
        <v>2026</v>
      </c>
      <c r="C915" s="706" t="s">
        <v>3513</v>
      </c>
      <c r="D915" s="706" t="s">
        <v>3514</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G64313</v>
      </c>
      <c r="AK915" s="905" t="str">
        <f t="shared" si="87"/>
        <v>COUT -MULTI PROTECT NEUFS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G64313</v>
      </c>
      <c r="AU915" s="488" t="str">
        <f t="shared" si="90"/>
        <v>COUT -MULTI PROTECT NEUFS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hidden="1" customHeight="1">
      <c r="A916" s="706" t="s">
        <v>1148</v>
      </c>
      <c r="B916" s="706">
        <v>2026</v>
      </c>
      <c r="C916" s="706" t="s">
        <v>3515</v>
      </c>
      <c r="D916" s="706" t="s">
        <v>3516</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G64314</v>
      </c>
      <c r="AK916" s="905" t="str">
        <f t="shared" si="87"/>
        <v>COUT -PRT USURE NEUFS</v>
      </c>
      <c r="AL916" s="905">
        <f>IFERROR(INDEX(G916:R916,1,MATCH(Parametres!$B$3,G$1:R$1,0)-1)*IF(OR(F916="L",F916="S",F916="I"),-1,1),"")</f>
        <v>0</v>
      </c>
      <c r="AM916" s="905">
        <f t="shared" si="88"/>
        <v>0</v>
      </c>
      <c r="AN916" s="905">
        <f>INDEX(G916:R916,1,MATCH(Parametres!$B$3,G$1:R$1,0))*IF(OR(F916="L",F916="S",F916="I"),-1,1)</f>
        <v>0</v>
      </c>
      <c r="AO916" s="487" t="e">
        <f>+VLOOKUP($AJ916,Data_Validation!$A:$D,1,0)</f>
        <v>#N/A</v>
      </c>
      <c r="AP916" s="487" t="e">
        <f>+VLOOKUP($AJ916,Data_Validation!$A:$D,3,0)</f>
        <v>#N/A</v>
      </c>
      <c r="AQ916" s="487" t="e">
        <f>+VLOOKUP($AJ916,Data_Validation!$A:$D,4,0)</f>
        <v>#N/A</v>
      </c>
      <c r="AR916" s="487" t="s">
        <v>299</v>
      </c>
      <c r="AS916" s="487" t="e">
        <f>+VLOOKUP($AJ916,Data_Validation!$A:$E,5,0)</f>
        <v>#N/A</v>
      </c>
      <c r="AT916" s="904" t="str">
        <f t="shared" si="89"/>
        <v>G64314</v>
      </c>
      <c r="AU916" s="488" t="str">
        <f t="shared" si="90"/>
        <v>COUT -PRT USURE NEUFS</v>
      </c>
      <c r="AV916" s="899">
        <f>IFERROR(INDEX(V916:AG916,1,MATCH(Parametres!$B$3,V$1:AG$1,0)-1)*IF(OR(C916="L",C916="S",C916="I"),-1,1),"")</f>
        <v>0</v>
      </c>
      <c r="AW916" s="899">
        <f t="shared" si="91"/>
        <v>0</v>
      </c>
      <c r="AX916" s="899">
        <f>INDEX(V916:AG916,1,MATCH(Parametres!$B$3,V$1:AG$1,0))*IF(OR(C916="L",C916="S",C916="I"),-1,1)</f>
        <v>0</v>
      </c>
      <c r="AY916" s="487" t="s">
        <v>337</v>
      </c>
      <c r="AZ916" s="487" t="e">
        <f>+VLOOKUP($AJ916,Data_Validation!$A:$E,5,0)</f>
        <v>#N/A</v>
      </c>
    </row>
    <row r="917" spans="1:52" ht="15" hidden="1" customHeight="1">
      <c r="A917" s="706" t="s">
        <v>1148</v>
      </c>
      <c r="B917" s="706">
        <v>2026</v>
      </c>
      <c r="C917" s="706" t="s">
        <v>2775</v>
      </c>
      <c r="D917" s="706" t="s">
        <v>2776</v>
      </c>
      <c r="E917" s="706" t="s">
        <v>333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G64400</v>
      </c>
      <c r="AK917" s="905" t="str">
        <f t="shared" si="87"/>
        <v>COÛTANT PROTECTION PLUS</v>
      </c>
      <c r="AL917" s="905">
        <f>IFERROR(INDEX(G917:R917,1,MATCH(Parametres!$B$3,G$1:R$1,0)-1)*IF(OR(F917="L",F917="S",F917="I"),-1,1),"")</f>
        <v>0</v>
      </c>
      <c r="AM917" s="1047">
        <f t="shared" si="88"/>
        <v>0</v>
      </c>
      <c r="AN917" s="905">
        <f>INDEX(G917:R917,1,MATCH(Parametres!$B$3,G$1:R$1,0))*IF(OR(F917="L",F917="S",F917="I"),-1,1)</f>
        <v>0</v>
      </c>
      <c r="AO917" s="487" t="str">
        <f>+VLOOKUP($AJ917,Data_Validation!$A:$D,1,0)</f>
        <v>G64400</v>
      </c>
      <c r="AP917" s="487" t="str">
        <f>+VLOOKUP($AJ917,Data_Validation!$A:$D,3,0)</f>
        <v>Véhicules neufs</v>
      </c>
      <c r="AQ917" s="487" t="str">
        <f>+VLOOKUP($AJ917,Data_Validation!$A:$D,4,0)</f>
        <v>Rev. Protections</v>
      </c>
      <c r="AR917" s="487" t="s">
        <v>299</v>
      </c>
      <c r="AS917" s="487">
        <f>+VLOOKUP($AJ917,Data_Validation!$A:$E,5,0)</f>
        <v>0</v>
      </c>
      <c r="AT917" s="904" t="str">
        <f t="shared" si="89"/>
        <v>G64400</v>
      </c>
      <c r="AU917" s="488" t="str">
        <f t="shared" si="90"/>
        <v>COÛTANT PROTECTION PLUS</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hidden="1" customHeight="1">
      <c r="A918" s="706" t="s">
        <v>1148</v>
      </c>
      <c r="B918" s="706">
        <v>2026</v>
      </c>
      <c r="C918" s="706" t="s">
        <v>3517</v>
      </c>
      <c r="D918" s="706" t="s">
        <v>3518</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G64410</v>
      </c>
      <c r="AK918" s="905" t="str">
        <f t="shared" si="87"/>
        <v>COUT -PRT SERV VEH NEUFS</v>
      </c>
      <c r="AL918" s="905">
        <f>IFERROR(INDEX(G918:R918,1,MATCH(Parametres!$B$3,G$1:R$1,0)-1)*IF(OR(F918="L",F918="S",F918="I"),-1,1),"")</f>
        <v>0</v>
      </c>
      <c r="AM918" s="1047">
        <f t="shared" si="88"/>
        <v>0</v>
      </c>
      <c r="AN918" s="905">
        <f>INDEX(G918:R918,1,MATCH(Parametres!$B$3,G$1:R$1,0))*IF(OR(F918="L",F918="S",F918="I"),-1,1)</f>
        <v>0</v>
      </c>
      <c r="AO918" s="487" t="e">
        <f>+VLOOKUP($AJ918,Data_Validation!$A:$D,1,0)</f>
        <v>#N/A</v>
      </c>
      <c r="AP918" s="487" t="e">
        <f>+VLOOKUP($AJ918,Data_Validation!$A:$D,3,0)</f>
        <v>#N/A</v>
      </c>
      <c r="AQ918" s="487" t="e">
        <f>+VLOOKUP($AJ918,Data_Validation!$A:$D,4,0)</f>
        <v>#N/A</v>
      </c>
      <c r="AR918" s="487" t="s">
        <v>299</v>
      </c>
      <c r="AS918" s="487" t="e">
        <f>+VLOOKUP($AJ918,Data_Validation!$A:$E,5,0)</f>
        <v>#N/A</v>
      </c>
      <c r="AT918" s="904" t="str">
        <f t="shared" si="89"/>
        <v>G64410</v>
      </c>
      <c r="AU918" s="488" t="str">
        <f t="shared" si="90"/>
        <v>COUT -PRT SERV VEH NEUFS</v>
      </c>
      <c r="AV918" s="899">
        <f>IFERROR(INDEX(V918:AG918,1,MATCH(Parametres!$B$3,V$1:AG$1,0)-1)*IF(OR(C918="L",C918="S",C918="I"),-1,1),"")</f>
        <v>0</v>
      </c>
      <c r="AW918" s="899">
        <f t="shared" si="91"/>
        <v>0</v>
      </c>
      <c r="AX918" s="899">
        <f>INDEX(V918:AG918,1,MATCH(Parametres!$B$3,V$1:AG$1,0))*IF(OR(C918="L",C918="S",C918="I"),-1,1)</f>
        <v>0</v>
      </c>
      <c r="AY918" s="487" t="s">
        <v>337</v>
      </c>
      <c r="AZ918" s="487" t="e">
        <f>+VLOOKUP($AJ918,Data_Validation!$A:$E,5,0)</f>
        <v>#N/A</v>
      </c>
    </row>
    <row r="919" spans="1:52" ht="15" hidden="1" customHeight="1">
      <c r="A919" s="706" t="s">
        <v>1148</v>
      </c>
      <c r="B919" s="706">
        <v>2026</v>
      </c>
      <c r="C919" s="706" t="s">
        <v>3519</v>
      </c>
      <c r="D919" s="706" t="s">
        <v>3520</v>
      </c>
      <c r="E919" s="706" t="s">
        <v>333</v>
      </c>
      <c r="F919" s="706" t="s">
        <v>1152</v>
      </c>
      <c r="G919" s="706">
        <v>0</v>
      </c>
      <c r="H919" s="706">
        <v>0</v>
      </c>
      <c r="I919" s="706">
        <v>0</v>
      </c>
      <c r="J919" s="706">
        <v>0</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G64411</v>
      </c>
      <c r="AK919" s="905" t="str">
        <f t="shared" si="87"/>
        <v>COUT -PRT PNEUS -JA NEUFS</v>
      </c>
      <c r="AL919" s="905">
        <f>IFERROR(INDEX(G919:R919,1,MATCH(Parametres!$B$3,G$1:R$1,0)-1)*IF(OR(F919="L",F919="S",F919="I"),-1,1),"")</f>
        <v>0</v>
      </c>
      <c r="AM919" s="1047">
        <f t="shared" si="88"/>
        <v>0</v>
      </c>
      <c r="AN919" s="905">
        <f>INDEX(G919:R919,1,MATCH(Parametres!$B$3,G$1:R$1,0))*IF(OR(F919="L",F919="S",F919="I"),-1,1)</f>
        <v>0</v>
      </c>
      <c r="AO919" s="487" t="e">
        <f>+VLOOKUP($AJ919,Data_Validation!$A:$D,1,0)</f>
        <v>#N/A</v>
      </c>
      <c r="AP919" s="487" t="e">
        <f>+VLOOKUP($AJ919,Data_Validation!$A:$D,3,0)</f>
        <v>#N/A</v>
      </c>
      <c r="AQ919" s="487" t="e">
        <f>+VLOOKUP($AJ919,Data_Validation!$A:$D,4,0)</f>
        <v>#N/A</v>
      </c>
      <c r="AR919" s="487" t="s">
        <v>299</v>
      </c>
      <c r="AS919" s="487" t="e">
        <f>+VLOOKUP($AJ919,Data_Validation!$A:$E,5,0)</f>
        <v>#N/A</v>
      </c>
      <c r="AT919" s="904" t="str">
        <f t="shared" si="89"/>
        <v>G64411</v>
      </c>
      <c r="AU919" s="488" t="str">
        <f t="shared" si="90"/>
        <v>COUT -PRT PNEUS -JA NEUFS</v>
      </c>
      <c r="AV919" s="899">
        <f>IFERROR(INDEX(V919:AG919,1,MATCH(Parametres!$B$3,V$1:AG$1,0)-1)*IF(OR(C919="L",C919="S",C919="I"),-1,1),"")</f>
        <v>0</v>
      </c>
      <c r="AW919" s="899">
        <f t="shared" si="91"/>
        <v>0</v>
      </c>
      <c r="AX919" s="899">
        <f>INDEX(V919:AG919,1,MATCH(Parametres!$B$3,V$1:AG$1,0))*IF(OR(C919="L",C919="S",C919="I"),-1,1)</f>
        <v>0</v>
      </c>
      <c r="AY919" s="487" t="s">
        <v>337</v>
      </c>
      <c r="AZ919" s="487" t="e">
        <f>+VLOOKUP($AJ919,Data_Validation!$A:$E,5,0)</f>
        <v>#N/A</v>
      </c>
    </row>
    <row r="920" spans="1:52" ht="15" hidden="1" customHeight="1">
      <c r="A920" s="706" t="s">
        <v>1148</v>
      </c>
      <c r="B920" s="706">
        <v>2026</v>
      </c>
      <c r="C920" s="706" t="s">
        <v>3521</v>
      </c>
      <c r="D920" s="706" t="s">
        <v>3522</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G64412</v>
      </c>
      <c r="AK920" s="905" t="str">
        <f t="shared" ref="AK920:AK983" si="93">D920</f>
        <v>COUT -PRT PERTE TOT NEUFS</v>
      </c>
      <c r="AL920" s="905">
        <f>IFERROR(INDEX(G920:R920,1,MATCH(Parametres!$B$3,G$1:R$1,0)-1)*IF(OR(F920="L",F920="S",F920="I"),-1,1),"")</f>
        <v>0</v>
      </c>
      <c r="AM920" s="905">
        <f t="shared" ref="AM920:AM983" si="94">AN920-AL920</f>
        <v>0</v>
      </c>
      <c r="AN920" s="905">
        <f>INDEX(G920:R920,1,MATCH(Parametres!$B$3,G$1:R$1,0))*IF(OR(F920="L",F920="S",F920="I"),-1,1)</f>
        <v>0</v>
      </c>
      <c r="AO920" s="487" t="e">
        <f>+VLOOKUP($AJ920,Data_Validation!$A:$D,1,0)</f>
        <v>#N/A</v>
      </c>
      <c r="AP920" s="487" t="e">
        <f>+VLOOKUP($AJ920,Data_Validation!$A:$D,3,0)</f>
        <v>#N/A</v>
      </c>
      <c r="AQ920" s="487" t="e">
        <f>+VLOOKUP($AJ920,Data_Validation!$A:$D,4,0)</f>
        <v>#N/A</v>
      </c>
      <c r="AR920" s="487" t="s">
        <v>299</v>
      </c>
      <c r="AS920" s="487" t="e">
        <f>+VLOOKUP($AJ920,Data_Validation!$A:$E,5,0)</f>
        <v>#N/A</v>
      </c>
      <c r="AT920" s="904" t="str">
        <f t="shared" ref="AT920:AT983" si="95">C920</f>
        <v>G64412</v>
      </c>
      <c r="AU920" s="488" t="str">
        <f t="shared" ref="AU920:AU983" si="96">D920</f>
        <v>COUT -PRT PERTE TOT NEUFS</v>
      </c>
      <c r="AV920" s="899">
        <f>IFERROR(INDEX(V920:AG920,1,MATCH(Parametres!$B$3,V$1:AG$1,0)-1)*IF(OR(C920="L",C920="S",C920="I"),-1,1),"")</f>
        <v>0</v>
      </c>
      <c r="AW920" s="899">
        <f t="shared" ref="AW920:AW983" si="97">AX920-AV920</f>
        <v>0</v>
      </c>
      <c r="AX920" s="899">
        <f>INDEX(V920:AG920,1,MATCH(Parametres!$B$3,V$1:AG$1,0))*IF(OR(C920="L",C920="S",C920="I"),-1,1)</f>
        <v>0</v>
      </c>
      <c r="AY920" s="487" t="s">
        <v>337</v>
      </c>
      <c r="AZ920" s="487" t="e">
        <f>+VLOOKUP($AJ920,Data_Validation!$A:$E,5,0)</f>
        <v>#N/A</v>
      </c>
    </row>
    <row r="921" spans="1:52" ht="15" hidden="1" customHeight="1">
      <c r="A921" s="706" t="s">
        <v>1148</v>
      </c>
      <c r="B921" s="706">
        <v>2026</v>
      </c>
      <c r="C921" s="706" t="s">
        <v>3523</v>
      </c>
      <c r="D921" s="706" t="s">
        <v>3524</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G64413</v>
      </c>
      <c r="AK921" s="905" t="str">
        <f t="shared" si="93"/>
        <v>COUT -PRT REMPL CLE-NEUFS</v>
      </c>
      <c r="AL921" s="905">
        <f>IFERROR(INDEX(G921:R921,1,MATCH(Parametres!$B$3,G$1:R$1,0)-1)*IF(OR(F921="L",F921="S",F921="I"),-1,1),"")</f>
        <v>0</v>
      </c>
      <c r="AM921" s="905">
        <f t="shared" si="94"/>
        <v>0</v>
      </c>
      <c r="AN921" s="905">
        <f>INDEX(G921:R921,1,MATCH(Parametres!$B$3,G$1:R$1,0))*IF(OR(F921="L",F921="S",F921="I"),-1,1)</f>
        <v>0</v>
      </c>
      <c r="AO921" s="487" t="e">
        <f>+VLOOKUP($AJ921,Data_Validation!$A:$D,1,0)</f>
        <v>#N/A</v>
      </c>
      <c r="AP921" s="487" t="e">
        <f>+VLOOKUP($AJ921,Data_Validation!$A:$D,3,0)</f>
        <v>#N/A</v>
      </c>
      <c r="AQ921" s="487" t="e">
        <f>+VLOOKUP($AJ921,Data_Validation!$A:$D,4,0)</f>
        <v>#N/A</v>
      </c>
      <c r="AR921" s="487" t="s">
        <v>299</v>
      </c>
      <c r="AS921" s="487" t="e">
        <f>+VLOOKUP($AJ921,Data_Validation!$A:$E,5,0)</f>
        <v>#N/A</v>
      </c>
      <c r="AT921" s="904" t="str">
        <f t="shared" si="95"/>
        <v>G64413</v>
      </c>
      <c r="AU921" s="488" t="str">
        <f t="shared" si="96"/>
        <v>COUT -PRT REMPL CLE-NEUFS</v>
      </c>
      <c r="AV921" s="899">
        <f>IFERROR(INDEX(V921:AG921,1,MATCH(Parametres!$B$3,V$1:AG$1,0)-1)*IF(OR(C921="L",C921="S",C921="I"),-1,1),"")</f>
        <v>0</v>
      </c>
      <c r="AW921" s="899">
        <f t="shared" si="97"/>
        <v>0</v>
      </c>
      <c r="AX921" s="899">
        <f>INDEX(V921:AG921,1,MATCH(Parametres!$B$3,V$1:AG$1,0))*IF(OR(C921="L",C921="S",C921="I"),-1,1)</f>
        <v>0</v>
      </c>
      <c r="AY921" s="487" t="s">
        <v>337</v>
      </c>
      <c r="AZ921" s="487" t="e">
        <f>+VLOOKUP($AJ921,Data_Validation!$A:$E,5,0)</f>
        <v>#N/A</v>
      </c>
    </row>
    <row r="922" spans="1:52" ht="15" hidden="1" customHeight="1">
      <c r="A922" s="706" t="s">
        <v>1148</v>
      </c>
      <c r="B922" s="706">
        <v>2026</v>
      </c>
      <c r="C922" s="706" t="s">
        <v>3525</v>
      </c>
      <c r="D922" s="706" t="s">
        <v>3526</v>
      </c>
      <c r="E922" s="706" t="s">
        <v>333</v>
      </c>
      <c r="F922" s="706" t="s">
        <v>1152</v>
      </c>
      <c r="G922" s="706">
        <v>0</v>
      </c>
      <c r="H922" s="706">
        <v>0</v>
      </c>
      <c r="I922" s="706">
        <v>0</v>
      </c>
      <c r="J922" s="706">
        <v>0</v>
      </c>
      <c r="K922" s="706">
        <v>0</v>
      </c>
      <c r="L922" s="706">
        <v>0</v>
      </c>
      <c r="M922" s="706">
        <v>0</v>
      </c>
      <c r="N922" s="706">
        <v>0</v>
      </c>
      <c r="O922" s="706">
        <v>0</v>
      </c>
      <c r="P922" s="706">
        <v>0</v>
      </c>
      <c r="Q922" s="706">
        <v>0</v>
      </c>
      <c r="R922" s="706">
        <v>0</v>
      </c>
      <c r="S922" s="706">
        <v>0</v>
      </c>
      <c r="T922" s="706">
        <v>0</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G64500</v>
      </c>
      <c r="AK922" s="905" t="str">
        <f t="shared" si="93"/>
        <v>COUT- AUTRES PROT NEUFS</v>
      </c>
      <c r="AL922" s="905">
        <f>IFERROR(INDEX(G922:R922,1,MATCH(Parametres!$B$3,G$1:R$1,0)-1)*IF(OR(F922="L",F922="S",F922="I"),-1,1),"")</f>
        <v>0</v>
      </c>
      <c r="AM922" s="905">
        <f t="shared" si="94"/>
        <v>0</v>
      </c>
      <c r="AN922" s="905">
        <f>INDEX(G922:R922,1,MATCH(Parametres!$B$3,G$1:R$1,0))*IF(OR(F922="L",F922="S",F922="I"),-1,1)</f>
        <v>0</v>
      </c>
      <c r="AO922" s="487" t="e">
        <f>+VLOOKUP($AJ922,Data_Validation!$A:$D,1,0)</f>
        <v>#N/A</v>
      </c>
      <c r="AP922" s="487" t="e">
        <f>+VLOOKUP($AJ922,Data_Validation!$A:$D,3,0)</f>
        <v>#N/A</v>
      </c>
      <c r="AQ922" s="487" t="e">
        <f>+VLOOKUP($AJ922,Data_Validation!$A:$D,4,0)</f>
        <v>#N/A</v>
      </c>
      <c r="AR922" s="487" t="s">
        <v>299</v>
      </c>
      <c r="AS922" s="487" t="e">
        <f>+VLOOKUP($AJ922,Data_Validation!$A:$E,5,0)</f>
        <v>#N/A</v>
      </c>
      <c r="AT922" s="904" t="str">
        <f t="shared" si="95"/>
        <v>G64500</v>
      </c>
      <c r="AU922" s="488" t="str">
        <f t="shared" si="96"/>
        <v>COUT- AUTRES PROT NEUFS</v>
      </c>
      <c r="AV922" s="899">
        <f>IFERROR(INDEX(V922:AG922,1,MATCH(Parametres!$B$3,V$1:AG$1,0)-1)*IF(OR(C922="L",C922="S",C922="I"),-1,1),"")</f>
        <v>0</v>
      </c>
      <c r="AW922" s="899">
        <f t="shared" si="97"/>
        <v>0</v>
      </c>
      <c r="AX922" s="899">
        <f>INDEX(V922:AG922,1,MATCH(Parametres!$B$3,V$1:AG$1,0))*IF(OR(C922="L",C922="S",C922="I"),-1,1)</f>
        <v>0</v>
      </c>
      <c r="AY922" s="487" t="s">
        <v>337</v>
      </c>
      <c r="AZ922" s="487" t="e">
        <f>+VLOOKUP($AJ922,Data_Validation!$A:$E,5,0)</f>
        <v>#N/A</v>
      </c>
    </row>
    <row r="923" spans="1:52" ht="15" hidden="1" customHeight="1">
      <c r="A923" s="706" t="s">
        <v>1148</v>
      </c>
      <c r="B923" s="706">
        <v>2026</v>
      </c>
      <c r="C923" s="706" t="s">
        <v>2777</v>
      </c>
      <c r="D923" s="706" t="s">
        <v>3382</v>
      </c>
      <c r="E923" s="706" t="s">
        <v>333</v>
      </c>
      <c r="F923" s="706" t="s">
        <v>1152</v>
      </c>
      <c r="G923" s="706">
        <v>600.12</v>
      </c>
      <c r="H923" s="706">
        <v>1014.6</v>
      </c>
      <c r="I923" s="706">
        <v>1618.72</v>
      </c>
      <c r="J923" s="706">
        <v>3268.99</v>
      </c>
      <c r="K923" s="706">
        <v>6581.72</v>
      </c>
      <c r="L923" s="706">
        <v>8073.78</v>
      </c>
      <c r="M923" s="706">
        <v>12615.9</v>
      </c>
      <c r="N923" s="706">
        <v>13343.59</v>
      </c>
      <c r="O923" s="706">
        <v>14093.59</v>
      </c>
      <c r="P923" s="706">
        <v>14093.59</v>
      </c>
      <c r="Q923" s="706">
        <v>0</v>
      </c>
      <c r="R923" s="706">
        <v>0</v>
      </c>
      <c r="S923" s="706">
        <v>1565.95</v>
      </c>
      <c r="T923" s="706">
        <v>1565.95</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G64501</v>
      </c>
      <c r="AK923" s="905" t="str">
        <f t="shared" si="93"/>
        <v>COUT-ANTIROUILLE - NF</v>
      </c>
      <c r="AL923" s="905">
        <f>IFERROR(INDEX(G923:R923,1,MATCH(Parametres!$B$3,G$1:R$1,0)-1)*IF(OR(F923="L",F923="S",F923="I"),-1,1),"")</f>
        <v>13343.59</v>
      </c>
      <c r="AM923" s="905">
        <f t="shared" si="94"/>
        <v>750</v>
      </c>
      <c r="AN923" s="905">
        <f>INDEX(G923:R923,1,MATCH(Parametres!$B$3,G$1:R$1,0))*IF(OR(F923="L",F923="S",F923="I"),-1,1)</f>
        <v>14093.59</v>
      </c>
      <c r="AO923" s="487" t="str">
        <f>+VLOOKUP($AJ923,Data_Validation!$A:$D,1,0)</f>
        <v>G64501</v>
      </c>
      <c r="AP923" s="487" t="str">
        <f>+VLOOKUP($AJ923,Data_Validation!$A:$D,3,0)</f>
        <v>Véhicules neufs</v>
      </c>
      <c r="AQ923" s="487" t="str">
        <f>+VLOOKUP($AJ923,Data_Validation!$A:$D,4,0)</f>
        <v>Rev. Autres</v>
      </c>
      <c r="AR923" s="487" t="s">
        <v>299</v>
      </c>
      <c r="AS923" s="487">
        <f>+VLOOKUP($AJ923,Data_Validation!$A:$E,5,0)</f>
        <v>0</v>
      </c>
      <c r="AT923" s="904" t="str">
        <f t="shared" si="95"/>
        <v>G64501</v>
      </c>
      <c r="AU923" s="488" t="str">
        <f t="shared" si="96"/>
        <v>COUT-ANTIROUILLE - NF</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hidden="1" customHeight="1">
      <c r="A924" s="706" t="s">
        <v>1148</v>
      </c>
      <c r="B924" s="706">
        <v>2026</v>
      </c>
      <c r="C924" s="706" t="s">
        <v>2779</v>
      </c>
      <c r="D924" s="706" t="s">
        <v>2387</v>
      </c>
      <c r="E924" s="706" t="s">
        <v>333</v>
      </c>
      <c r="F924" s="706" t="s">
        <v>1152</v>
      </c>
      <c r="G924" s="706">
        <v>231.14</v>
      </c>
      <c r="H924" s="706">
        <v>940.47</v>
      </c>
      <c r="I924" s="706">
        <v>778.47</v>
      </c>
      <c r="J924" s="706">
        <v>1525.75</v>
      </c>
      <c r="K924" s="706">
        <v>2854.78</v>
      </c>
      <c r="L924" s="706">
        <v>4784.18</v>
      </c>
      <c r="M924" s="706">
        <v>7563.45</v>
      </c>
      <c r="N924" s="706">
        <v>11758.45</v>
      </c>
      <c r="O924" s="706">
        <v>12608.45</v>
      </c>
      <c r="P924" s="706">
        <v>12778.45</v>
      </c>
      <c r="Q924" s="706">
        <v>0</v>
      </c>
      <c r="R924" s="706">
        <v>0</v>
      </c>
      <c r="S924" s="706">
        <v>1400.94</v>
      </c>
      <c r="T924" s="706">
        <v>1400.94</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G64503</v>
      </c>
      <c r="AK924" s="905" t="str">
        <f t="shared" si="93"/>
        <v>V.TEINTÉE-PEINTURE-TISSUS</v>
      </c>
      <c r="AL924" s="905">
        <f>IFERROR(INDEX(G924:R924,1,MATCH(Parametres!$B$3,G$1:R$1,0)-1)*IF(OR(F924="L",F924="S",F924="I"),-1,1),"")</f>
        <v>11758.45</v>
      </c>
      <c r="AM924" s="905">
        <f t="shared" si="94"/>
        <v>850</v>
      </c>
      <c r="AN924" s="905">
        <f>INDEX(G924:R924,1,MATCH(Parametres!$B$3,G$1:R$1,0))*IF(OR(F924="L",F924="S",F924="I"),-1,1)</f>
        <v>12608.45</v>
      </c>
      <c r="AO924" s="487" t="str">
        <f>+VLOOKUP($AJ924,Data_Validation!$A:$D,1,0)</f>
        <v>G64503</v>
      </c>
      <c r="AP924" s="487" t="str">
        <f>+VLOOKUP($AJ924,Data_Validation!$A:$D,3,0)</f>
        <v>Véhicules neufs</v>
      </c>
      <c r="AQ924" s="487" t="str">
        <f>+VLOOKUP($AJ924,Data_Validation!$A:$D,4,0)</f>
        <v>Rev. Autres</v>
      </c>
      <c r="AR924" s="487" t="s">
        <v>299</v>
      </c>
      <c r="AS924" s="487">
        <f>+VLOOKUP($AJ924,Data_Validation!$A:$E,5,0)</f>
        <v>0</v>
      </c>
      <c r="AT924" s="904" t="str">
        <f t="shared" si="95"/>
        <v>G64503</v>
      </c>
      <c r="AU924" s="488" t="str">
        <f t="shared" si="96"/>
        <v>V.TEINTÉE-PEINTURE-TISSUS</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hidden="1" customHeight="1">
      <c r="A925" s="706" t="s">
        <v>1148</v>
      </c>
      <c r="B925" s="706">
        <v>2026</v>
      </c>
      <c r="C925" s="706" t="s">
        <v>2780</v>
      </c>
      <c r="D925" s="706" t="s">
        <v>2781</v>
      </c>
      <c r="E925" s="706" t="s">
        <v>333</v>
      </c>
      <c r="F925" s="706" t="s">
        <v>1152</v>
      </c>
      <c r="G925" s="706">
        <v>0</v>
      </c>
      <c r="H925" s="706">
        <v>2838.5</v>
      </c>
      <c r="I925" s="706">
        <v>4779.7700000000004</v>
      </c>
      <c r="J925" s="706">
        <v>6961.67</v>
      </c>
      <c r="K925" s="706">
        <v>6961.67</v>
      </c>
      <c r="L925" s="706">
        <v>6961.67</v>
      </c>
      <c r="M925" s="706">
        <v>9299.67</v>
      </c>
      <c r="N925" s="706">
        <v>9299.67</v>
      </c>
      <c r="O925" s="706">
        <v>10637.37</v>
      </c>
      <c r="P925" s="706">
        <v>10637.37</v>
      </c>
      <c r="Q925" s="706">
        <v>0</v>
      </c>
      <c r="R925" s="706">
        <v>0</v>
      </c>
      <c r="S925" s="706">
        <v>1181.93</v>
      </c>
      <c r="T925" s="706">
        <v>1181.93</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G64504</v>
      </c>
      <c r="AK925" s="905" t="str">
        <f t="shared" si="93"/>
        <v>COUT-VALEUR REMPLACEMENT</v>
      </c>
      <c r="AL925" s="905">
        <f>IFERROR(INDEX(G925:R925,1,MATCH(Parametres!$B$3,G$1:R$1,0)-1)*IF(OR(F925="L",F925="S",F925="I"),-1,1),"")</f>
        <v>9299.67</v>
      </c>
      <c r="AM925" s="905">
        <f t="shared" si="94"/>
        <v>1337.7000000000007</v>
      </c>
      <c r="AN925" s="905">
        <f>INDEX(G925:R925,1,MATCH(Parametres!$B$3,G$1:R$1,0))*IF(OR(F925="L",F925="S",F925="I"),-1,1)</f>
        <v>10637.37</v>
      </c>
      <c r="AO925" s="487" t="str">
        <f>+VLOOKUP($AJ925,Data_Validation!$A:$D,1,0)</f>
        <v>G64504</v>
      </c>
      <c r="AP925" s="487" t="str">
        <f>+VLOOKUP($AJ925,Data_Validation!$A:$D,3,0)</f>
        <v>Véhicules neufs</v>
      </c>
      <c r="AQ925" s="487" t="str">
        <f>+VLOOKUP($AJ925,Data_Validation!$A:$D,4,0)</f>
        <v>Rev. Protections</v>
      </c>
      <c r="AR925" s="487" t="s">
        <v>299</v>
      </c>
      <c r="AS925" s="487">
        <f>+VLOOKUP($AJ925,Data_Validation!$A:$E,5,0)</f>
        <v>0</v>
      </c>
      <c r="AT925" s="904" t="str">
        <f t="shared" si="95"/>
        <v>G64504</v>
      </c>
      <c r="AU925" s="488" t="str">
        <f t="shared" si="96"/>
        <v>COUT-VALEUR REMPLACEMENT</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hidden="1" customHeight="1">
      <c r="A926" s="706" t="s">
        <v>1148</v>
      </c>
      <c r="B926" s="706">
        <v>2026</v>
      </c>
      <c r="C926" s="706" t="s">
        <v>2782</v>
      </c>
      <c r="D926" s="706" t="s">
        <v>3383</v>
      </c>
      <c r="E926" s="706" t="s">
        <v>333</v>
      </c>
      <c r="F926" s="706" t="s">
        <v>1152</v>
      </c>
      <c r="G926" s="706">
        <v>2360.92</v>
      </c>
      <c r="H926" s="706">
        <v>4670.92</v>
      </c>
      <c r="I926" s="706">
        <v>6700.24</v>
      </c>
      <c r="J926" s="706">
        <v>9714.4</v>
      </c>
      <c r="K926" s="706">
        <v>13158.88</v>
      </c>
      <c r="L926" s="706">
        <v>14463.4</v>
      </c>
      <c r="M926" s="706">
        <v>18053.560000000001</v>
      </c>
      <c r="N926" s="706">
        <v>20991.68</v>
      </c>
      <c r="O926" s="706">
        <v>20991.68</v>
      </c>
      <c r="P926" s="706">
        <v>20991.68</v>
      </c>
      <c r="Q926" s="706">
        <v>0</v>
      </c>
      <c r="R926" s="706">
        <v>0</v>
      </c>
      <c r="S926" s="706">
        <v>2332.41</v>
      </c>
      <c r="T926" s="706">
        <v>2332.41</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G64505</v>
      </c>
      <c r="AK926" s="905" t="str">
        <f t="shared" si="93"/>
        <v>COUT-ANTIVOL ET TAG-NF</v>
      </c>
      <c r="AL926" s="905">
        <f>IFERROR(INDEX(G926:R926,1,MATCH(Parametres!$B$3,G$1:R$1,0)-1)*IF(OR(F926="L",F926="S",F926="I"),-1,1),"")</f>
        <v>20991.68</v>
      </c>
      <c r="AM926" s="905">
        <f t="shared" si="94"/>
        <v>0</v>
      </c>
      <c r="AN926" s="905">
        <f>INDEX(G926:R926,1,MATCH(Parametres!$B$3,G$1:R$1,0))*IF(OR(F926="L",F926="S",F926="I"),-1,1)</f>
        <v>20991.68</v>
      </c>
      <c r="AO926" s="487" t="str">
        <f>+VLOOKUP($AJ926,Data_Validation!$A:$D,1,0)</f>
        <v>G64505</v>
      </c>
      <c r="AP926" s="487" t="str">
        <f>+VLOOKUP($AJ926,Data_Validation!$A:$D,3,0)</f>
        <v>Véhicules neufs</v>
      </c>
      <c r="AQ926" s="487" t="str">
        <f>+VLOOKUP($AJ926,Data_Validation!$A:$D,4,0)</f>
        <v>Rev. Autres</v>
      </c>
      <c r="AR926" s="487" t="s">
        <v>299</v>
      </c>
      <c r="AS926" s="487">
        <f>+VLOOKUP($AJ926,Data_Validation!$A:$E,5,0)</f>
        <v>0</v>
      </c>
      <c r="AT926" s="904" t="str">
        <f t="shared" si="95"/>
        <v>G64505</v>
      </c>
      <c r="AU926" s="488" t="str">
        <f t="shared" si="96"/>
        <v>COUT-ANTIVOL ET TAG-NF</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2784</v>
      </c>
      <c r="D927" s="706" t="s">
        <v>2785</v>
      </c>
      <c r="E927" s="706" t="s">
        <v>1143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G64600</v>
      </c>
      <c r="AK927" s="905" t="str">
        <f t="shared" si="93"/>
        <v>COUT-AUTO OCC.DET.OPTIMUM</v>
      </c>
      <c r="AL927" s="905">
        <f>IFERROR(INDEX(G927:R927,1,MATCH(Parametres!$B$3,G$1:R$1,0)-1)*IF(OR(F927="L",F927="S",F927="I"),-1,1),"")</f>
        <v>0</v>
      </c>
      <c r="AM927" s="905">
        <f t="shared" si="94"/>
        <v>0</v>
      </c>
      <c r="AN927" s="905">
        <f>INDEX(G927:R927,1,MATCH(Parametres!$B$3,G$1:R$1,0))*IF(OR(F927="L",F927="S",F927="I"),-1,1)</f>
        <v>0</v>
      </c>
      <c r="AO927" s="487" t="str">
        <f>+VLOOKUP($AJ927,Data_Validation!$A:$D,1,0)</f>
        <v>G64600</v>
      </c>
      <c r="AP927" s="487" t="str">
        <f>+VLOOKUP($AJ927,Data_Validation!$A:$D,3,0)</f>
        <v>Véhicules usagés</v>
      </c>
      <c r="AQ927" s="487" t="str">
        <f>+VLOOKUP($AJ927,Data_Validation!$A:$D,4,0)</f>
        <v>Certifié</v>
      </c>
      <c r="AR927" s="487" t="s">
        <v>299</v>
      </c>
      <c r="AS927" s="487">
        <f>+VLOOKUP($AJ927,Data_Validation!$A:$E,5,0)</f>
        <v>0</v>
      </c>
      <c r="AT927" s="904" t="str">
        <f t="shared" si="95"/>
        <v>G64600</v>
      </c>
      <c r="AU927" s="488" t="str">
        <f t="shared" si="96"/>
        <v>COUT-AUTO OCC.DET.OPTIMUM</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hidden="1" customHeight="1">
      <c r="A928" s="706" t="s">
        <v>1148</v>
      </c>
      <c r="B928" s="706">
        <v>2026</v>
      </c>
      <c r="C928" s="706" t="s">
        <v>2786</v>
      </c>
      <c r="D928" s="706" t="s">
        <v>3384</v>
      </c>
      <c r="E928" s="706" t="s">
        <v>1143</v>
      </c>
      <c r="F928" s="706" t="s">
        <v>1152</v>
      </c>
      <c r="G928" s="706">
        <v>85546.39</v>
      </c>
      <c r="H928" s="706">
        <v>148258.85999999999</v>
      </c>
      <c r="I928" s="706">
        <v>190675.95</v>
      </c>
      <c r="J928" s="706">
        <v>285157.03000000003</v>
      </c>
      <c r="K928" s="706">
        <v>386436.24</v>
      </c>
      <c r="L928" s="706">
        <v>462445.61</v>
      </c>
      <c r="M928" s="706">
        <v>607565.01</v>
      </c>
      <c r="N928" s="706">
        <v>621723.5</v>
      </c>
      <c r="O928" s="706">
        <v>688545.59</v>
      </c>
      <c r="P928" s="706">
        <v>688545.59</v>
      </c>
      <c r="Q928" s="706">
        <v>0</v>
      </c>
      <c r="R928" s="706">
        <v>0</v>
      </c>
      <c r="S928" s="706">
        <v>76505.070000000007</v>
      </c>
      <c r="T928" s="706">
        <v>76505.070000000007</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G64601</v>
      </c>
      <c r="AK928" s="905" t="str">
        <f t="shared" si="93"/>
        <v>COUT-AUTO OCC.GM N-CERT</v>
      </c>
      <c r="AL928" s="905">
        <f>IFERROR(INDEX(G928:R928,1,MATCH(Parametres!$B$3,G$1:R$1,0)-1)*IF(OR(F928="L",F928="S",F928="I"),-1,1),"")</f>
        <v>621723.5</v>
      </c>
      <c r="AM928" s="905">
        <f t="shared" si="94"/>
        <v>66822.089999999967</v>
      </c>
      <c r="AN928" s="905">
        <f>INDEX(G928:R928,1,MATCH(Parametres!$B$3,G$1:R$1,0))*IF(OR(F928="L",F928="S",F928="I"),-1,1)</f>
        <v>688545.59</v>
      </c>
      <c r="AO928" s="487" t="str">
        <f>+VLOOKUP($AJ928,Data_Validation!$A:$D,1,0)</f>
        <v>G64601</v>
      </c>
      <c r="AP928" s="487" t="str">
        <f>+VLOOKUP($AJ928,Data_Validation!$A:$D,3,0)</f>
        <v>Véhicules usagés</v>
      </c>
      <c r="AQ928" s="487" t="str">
        <f>+VLOOKUP($AJ928,Data_Validation!$A:$D,4,0)</f>
        <v>Non Certifié</v>
      </c>
      <c r="AR928" s="487" t="s">
        <v>299</v>
      </c>
      <c r="AS928" s="487">
        <f>+VLOOKUP($AJ928,Data_Validation!$A:$E,5,0)</f>
        <v>0</v>
      </c>
      <c r="AT928" s="904" t="str">
        <f t="shared" si="95"/>
        <v>G64601</v>
      </c>
      <c r="AU928" s="488" t="str">
        <f t="shared" si="96"/>
        <v>COUT-AUTO OCC.GM N-CERT</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3385</v>
      </c>
      <c r="D929" s="706" t="s">
        <v>3386</v>
      </c>
      <c r="E929" s="706" t="s">
        <v>1143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G64602</v>
      </c>
      <c r="AK929" s="905" t="str">
        <f t="shared" si="93"/>
        <v>COUT-AUTO AUTRE MARQ</v>
      </c>
      <c r="AL929" s="905">
        <f>IFERROR(INDEX(G929:R929,1,MATCH(Parametres!$B$3,G$1:R$1,0)-1)*IF(OR(F929="L",F929="S",F929="I"),-1,1),"")</f>
        <v>0</v>
      </c>
      <c r="AM929" s="905">
        <f t="shared" si="94"/>
        <v>0</v>
      </c>
      <c r="AN929" s="905">
        <f>INDEX(G929:R929,1,MATCH(Parametres!$B$3,G$1:R$1,0))*IF(OR(F929="L",F929="S",F929="I"),-1,1)</f>
        <v>0</v>
      </c>
      <c r="AO929" s="487" t="str">
        <f>+VLOOKUP($AJ929,Data_Validation!$A:$D,1,0)</f>
        <v>G64602</v>
      </c>
      <c r="AP929" s="487" t="str">
        <f>+VLOOKUP($AJ929,Data_Validation!$A:$D,3,0)</f>
        <v>Véhicules usagés</v>
      </c>
      <c r="AQ929" s="487" t="str">
        <f>+VLOOKUP($AJ929,Data_Validation!$A:$D,4,0)</f>
        <v>Autres Marques</v>
      </c>
      <c r="AR929" s="487" t="s">
        <v>299</v>
      </c>
      <c r="AS929" s="487">
        <f>+VLOOKUP($AJ929,Data_Validation!$A:$E,5,0)</f>
        <v>0</v>
      </c>
      <c r="AT929" s="904" t="str">
        <f t="shared" si="95"/>
        <v>G64602</v>
      </c>
      <c r="AU929" s="488" t="str">
        <f t="shared" si="96"/>
        <v>COUT-AUTO AUTRE MARQ</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hidden="1" customHeight="1">
      <c r="A930" s="706" t="s">
        <v>1148</v>
      </c>
      <c r="B930" s="706">
        <v>2026</v>
      </c>
      <c r="C930" s="706" t="s">
        <v>3146</v>
      </c>
      <c r="D930" s="706" t="s">
        <v>3147</v>
      </c>
      <c r="E930" s="706" t="s">
        <v>1143</v>
      </c>
      <c r="F930" s="706" t="s">
        <v>1152</v>
      </c>
      <c r="G930" s="706">
        <v>0</v>
      </c>
      <c r="H930" s="706">
        <v>0</v>
      </c>
      <c r="I930" s="706">
        <v>0</v>
      </c>
      <c r="J930" s="706">
        <v>0</v>
      </c>
      <c r="K930" s="706">
        <v>0</v>
      </c>
      <c r="L930" s="706">
        <v>7217.34</v>
      </c>
      <c r="M930" s="706">
        <v>7217.34</v>
      </c>
      <c r="N930" s="706">
        <v>7217.34</v>
      </c>
      <c r="O930" s="706">
        <v>7217.34</v>
      </c>
      <c r="P930" s="706">
        <v>7217.34</v>
      </c>
      <c r="Q930" s="706">
        <v>0</v>
      </c>
      <c r="R930" s="706">
        <v>0</v>
      </c>
      <c r="S930" s="706">
        <v>801.93</v>
      </c>
      <c r="T930" s="706">
        <v>801.93</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G64603</v>
      </c>
      <c r="AK930" s="905" t="str">
        <f t="shared" si="93"/>
        <v>COUT-RACHAT BAIL AUTO</v>
      </c>
      <c r="AL930" s="905">
        <f>IFERROR(INDEX(G930:R930,1,MATCH(Parametres!$B$3,G$1:R$1,0)-1)*IF(OR(F930="L",F930="S",F930="I"),-1,1),"")</f>
        <v>7217.34</v>
      </c>
      <c r="AM930" s="905">
        <f t="shared" si="94"/>
        <v>0</v>
      </c>
      <c r="AN930" s="905">
        <f>INDEX(G930:R930,1,MATCH(Parametres!$B$3,G$1:R$1,0))*IF(OR(F930="L",F930="S",F930="I"),-1,1)</f>
        <v>7217.34</v>
      </c>
      <c r="AO930" s="487" t="str">
        <f>+VLOOKUP($AJ930,Data_Validation!$A:$D,1,0)</f>
        <v>G64603</v>
      </c>
      <c r="AP930" s="487">
        <f>+VLOOKUP($AJ930,Data_Validation!$A:$D,3,0)</f>
        <v>0</v>
      </c>
      <c r="AQ930" s="487">
        <f>+VLOOKUP($AJ930,Data_Validation!$A:$D,4,0)</f>
        <v>0</v>
      </c>
      <c r="AR930" s="487" t="s">
        <v>299</v>
      </c>
      <c r="AS930" s="487">
        <f>+VLOOKUP($AJ930,Data_Validation!$A:$E,5,0)</f>
        <v>0</v>
      </c>
      <c r="AT930" s="904" t="str">
        <f t="shared" si="95"/>
        <v>G64603</v>
      </c>
      <c r="AU930" s="488" t="str">
        <f t="shared" si="96"/>
        <v>COUT-RACHAT BAIL AUTO</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hidden="1" customHeight="1">
      <c r="A931" s="706" t="s">
        <v>1148</v>
      </c>
      <c r="B931" s="706">
        <v>2026</v>
      </c>
      <c r="C931" s="706" t="s">
        <v>2788</v>
      </c>
      <c r="D931" s="706" t="s">
        <v>2789</v>
      </c>
      <c r="E931" s="706" t="s">
        <v>1143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G64620</v>
      </c>
      <c r="AK931" s="905" t="str">
        <f t="shared" si="93"/>
        <v>COUT-LOC.AUTO USAGE OPT.</v>
      </c>
      <c r="AL931" s="905">
        <f>IFERROR(INDEX(G931:R931,1,MATCH(Parametres!$B$3,G$1:R$1,0)-1)*IF(OR(F931="L",F931="S",F931="I"),-1,1),"")</f>
        <v>0</v>
      </c>
      <c r="AM931" s="905">
        <f t="shared" si="94"/>
        <v>0</v>
      </c>
      <c r="AN931" s="905">
        <f>INDEX(G931:R931,1,MATCH(Parametres!$B$3,G$1:R$1,0))*IF(OR(F931="L",F931="S",F931="I"),-1,1)</f>
        <v>0</v>
      </c>
      <c r="AO931" s="487" t="str">
        <f>+VLOOKUP($AJ931,Data_Validation!$A:$D,1,0)</f>
        <v>G64620</v>
      </c>
      <c r="AP931" s="487" t="str">
        <f>+VLOOKUP($AJ931,Data_Validation!$A:$D,3,0)</f>
        <v>Véhicules usagés</v>
      </c>
      <c r="AQ931" s="487" t="str">
        <f>+VLOOKUP($AJ931,Data_Validation!$A:$D,4,0)</f>
        <v>Certifié</v>
      </c>
      <c r="AR931" s="487" t="s">
        <v>299</v>
      </c>
      <c r="AS931" s="487">
        <f>+VLOOKUP($AJ931,Data_Validation!$A:$E,5,0)</f>
        <v>0</v>
      </c>
      <c r="AT931" s="904" t="str">
        <f t="shared" si="95"/>
        <v>G64620</v>
      </c>
      <c r="AU931" s="488" t="str">
        <f t="shared" si="96"/>
        <v>COUT-LOC.AUTO USAGE OPT.</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2790</v>
      </c>
      <c r="D932" s="706" t="s">
        <v>2791</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G64700</v>
      </c>
      <c r="AK932" s="905" t="str">
        <f t="shared" si="93"/>
        <v>REMISE NEUF VOIT.DET.OPT</v>
      </c>
      <c r="AL932" s="905">
        <f>IFERROR(INDEX(G932:R932,1,MATCH(Parametres!$B$3,G$1:R$1,0)-1)*IF(OR(F932="L",F932="S",F932="I"),-1,1),"")</f>
        <v>0</v>
      </c>
      <c r="AM932" s="905">
        <f t="shared" si="94"/>
        <v>0</v>
      </c>
      <c r="AN932" s="905">
        <f>INDEX(G932:R932,1,MATCH(Parametres!$B$3,G$1:R$1,0))*IF(OR(F932="L",F932="S",F932="I"),-1,1)</f>
        <v>0</v>
      </c>
      <c r="AO932" s="487" t="str">
        <f>+VLOOKUP($AJ932,Data_Validation!$A:$D,1,0)</f>
        <v>G64700</v>
      </c>
      <c r="AP932" s="487">
        <f>+VLOOKUP($AJ932,Data_Validation!$A:$D,3,0)</f>
        <v>0</v>
      </c>
      <c r="AQ932" s="487">
        <f>+VLOOKUP($AJ932,Data_Validation!$A:$D,4,0)</f>
        <v>0</v>
      </c>
      <c r="AR932" s="487" t="s">
        <v>299</v>
      </c>
      <c r="AS932" s="487">
        <f>+VLOOKUP($AJ932,Data_Validation!$A:$E,5,0)</f>
        <v>0</v>
      </c>
      <c r="AT932" s="904" t="str">
        <f t="shared" si="95"/>
        <v>G64700</v>
      </c>
      <c r="AU932" s="488" t="str">
        <f t="shared" si="96"/>
        <v>REMISE NEUF VOIT.DET.OPT</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hidden="1" customHeight="1">
      <c r="A933" s="706" t="s">
        <v>1148</v>
      </c>
      <c r="B933" s="706">
        <v>2026</v>
      </c>
      <c r="C933" s="706" t="s">
        <v>2792</v>
      </c>
      <c r="D933" s="706" t="s">
        <v>2793</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G64701</v>
      </c>
      <c r="AK933" s="905" t="str">
        <f t="shared" si="93"/>
        <v>REMISE NEUF VOIT.DET.AUTR</v>
      </c>
      <c r="AL933" s="905">
        <f>IFERROR(INDEX(G933:R933,1,MATCH(Parametres!$B$3,G$1:R$1,0)-1)*IF(OR(F933="L",F933="S",F933="I"),-1,1),"")</f>
        <v>0</v>
      </c>
      <c r="AM933" s="905">
        <f t="shared" si="94"/>
        <v>0</v>
      </c>
      <c r="AN933" s="905">
        <f>INDEX(G933:R933,1,MATCH(Parametres!$B$3,G$1:R$1,0))*IF(OR(F933="L",F933="S",F933="I"),-1,1)</f>
        <v>0</v>
      </c>
      <c r="AO933" s="487" t="str">
        <f>+VLOOKUP($AJ933,Data_Validation!$A:$D,1,0)</f>
        <v>G64701</v>
      </c>
      <c r="AP933" s="487">
        <f>+VLOOKUP($AJ933,Data_Validation!$A:$D,3,0)</f>
        <v>0</v>
      </c>
      <c r="AQ933" s="487">
        <f>+VLOOKUP($AJ933,Data_Validation!$A:$D,4,0)</f>
        <v>0</v>
      </c>
      <c r="AR933" s="487" t="s">
        <v>299</v>
      </c>
      <c r="AS933" s="487">
        <f>+VLOOKUP($AJ933,Data_Validation!$A:$E,5,0)</f>
        <v>0</v>
      </c>
      <c r="AT933" s="904" t="str">
        <f t="shared" si="95"/>
        <v>G64701</v>
      </c>
      <c r="AU933" s="488" t="str">
        <f t="shared" si="96"/>
        <v>REMISE NEUF VOIT.DET.AUTR</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hidden="1" customHeight="1">
      <c r="A934" s="706" t="s">
        <v>1148</v>
      </c>
      <c r="B934" s="706">
        <v>2026</v>
      </c>
      <c r="C934" s="706" t="s">
        <v>2794</v>
      </c>
      <c r="D934" s="706" t="s">
        <v>2795</v>
      </c>
      <c r="E934" s="706" t="s">
        <v>333</v>
      </c>
      <c r="F934" s="706" t="s">
        <v>1152</v>
      </c>
      <c r="G934" s="706">
        <v>0</v>
      </c>
      <c r="H934" s="706">
        <v>0</v>
      </c>
      <c r="I934" s="706">
        <v>0</v>
      </c>
      <c r="J934" s="706">
        <v>0</v>
      </c>
      <c r="K934" s="706">
        <v>0</v>
      </c>
      <c r="L934" s="706">
        <v>0</v>
      </c>
      <c r="M934" s="706">
        <v>0</v>
      </c>
      <c r="N934" s="706">
        <v>0</v>
      </c>
      <c r="O934" s="706">
        <v>0</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G64720</v>
      </c>
      <c r="AK934" s="905" t="str">
        <f t="shared" si="93"/>
        <v>REM.NEUF LOC.AUTO DET.OPT</v>
      </c>
      <c r="AL934" s="905">
        <f>IFERROR(INDEX(G934:R934,1,MATCH(Parametres!$B$3,G$1:R$1,0)-1)*IF(OR(F934="L",F934="S",F934="I"),-1,1),"")</f>
        <v>0</v>
      </c>
      <c r="AM934" s="905">
        <f t="shared" si="94"/>
        <v>0</v>
      </c>
      <c r="AN934" s="905">
        <f>INDEX(G934:R934,1,MATCH(Parametres!$B$3,G$1:R$1,0))*IF(OR(F934="L",F934="S",F934="I"),-1,1)</f>
        <v>0</v>
      </c>
      <c r="AO934" s="487" t="str">
        <f>+VLOOKUP($AJ934,Data_Validation!$A:$D,1,0)</f>
        <v>G64720</v>
      </c>
      <c r="AP934" s="487">
        <f>+VLOOKUP($AJ934,Data_Validation!$A:$D,3,0)</f>
        <v>0</v>
      </c>
      <c r="AQ934" s="487">
        <f>+VLOOKUP($AJ934,Data_Validation!$A:$D,4,0)</f>
        <v>0</v>
      </c>
      <c r="AR934" s="487" t="s">
        <v>299</v>
      </c>
      <c r="AS934" s="487">
        <f>+VLOOKUP($AJ934,Data_Validation!$A:$E,5,0)</f>
        <v>0</v>
      </c>
      <c r="AT934" s="904" t="str">
        <f t="shared" si="95"/>
        <v>G64720</v>
      </c>
      <c r="AU934" s="488" t="str">
        <f t="shared" si="96"/>
        <v>REM.NEUF LOC.AUTO DET.OPT</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2796</v>
      </c>
      <c r="D935" s="706" t="s">
        <v>2797</v>
      </c>
      <c r="E935" s="706" t="s">
        <v>1143</v>
      </c>
      <c r="F935" s="706" t="s">
        <v>1152</v>
      </c>
      <c r="G935" s="706">
        <v>8607.98</v>
      </c>
      <c r="H935" s="706">
        <v>117294.94</v>
      </c>
      <c r="I935" s="706">
        <v>305950.17</v>
      </c>
      <c r="J935" s="706">
        <v>398583.17</v>
      </c>
      <c r="K935" s="706">
        <v>349464.12</v>
      </c>
      <c r="L935" s="706">
        <v>442024.39</v>
      </c>
      <c r="M935" s="706">
        <v>479154.39</v>
      </c>
      <c r="N935" s="706">
        <v>575496.04</v>
      </c>
      <c r="O935" s="706">
        <v>740071.04</v>
      </c>
      <c r="P935" s="706">
        <v>740071.04</v>
      </c>
      <c r="Q935" s="706">
        <v>0</v>
      </c>
      <c r="R935" s="706">
        <v>0</v>
      </c>
      <c r="S935" s="706">
        <v>82230.12</v>
      </c>
      <c r="T935" s="706">
        <v>82230.12</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G64800</v>
      </c>
      <c r="AK935" s="905" t="str">
        <f t="shared" si="93"/>
        <v>COUT-AUTOS USAGES EN GROS</v>
      </c>
      <c r="AL935" s="905">
        <f>IFERROR(INDEX(G935:R935,1,MATCH(Parametres!$B$3,G$1:R$1,0)-1)*IF(OR(F935="L",F935="S",F935="I"),-1,1),"")</f>
        <v>575496.04</v>
      </c>
      <c r="AM935" s="905">
        <f t="shared" si="94"/>
        <v>164575</v>
      </c>
      <c r="AN935" s="905">
        <f>INDEX(G935:R935,1,MATCH(Parametres!$B$3,G$1:R$1,0))*IF(OR(F935="L",F935="S",F935="I"),-1,1)</f>
        <v>740071.04</v>
      </c>
      <c r="AO935" s="487" t="str">
        <f>+VLOOKUP($AJ935,Data_Validation!$A:$D,1,0)</f>
        <v>G64800</v>
      </c>
      <c r="AP935" s="487" t="str">
        <f>+VLOOKUP($AJ935,Data_Validation!$A:$D,3,0)</f>
        <v>Véhicules usagés</v>
      </c>
      <c r="AQ935" s="487" t="str">
        <f>+VLOOKUP($AJ935,Data_Validation!$A:$D,4,0)</f>
        <v>Ventes au Gros</v>
      </c>
      <c r="AR935" s="487" t="s">
        <v>299</v>
      </c>
      <c r="AS935" s="487">
        <f>+VLOOKUP($AJ935,Data_Validation!$A:$E,5,0)</f>
        <v>0</v>
      </c>
      <c r="AT935" s="904" t="str">
        <f t="shared" si="95"/>
        <v>G64800</v>
      </c>
      <c r="AU935" s="488" t="str">
        <f t="shared" si="96"/>
        <v>COUT-AUTOS USAGES EN GROS</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hidden="1" customHeight="1">
      <c r="A936" s="706" t="s">
        <v>1148</v>
      </c>
      <c r="B936" s="706">
        <v>2026</v>
      </c>
      <c r="C936" s="706" t="s">
        <v>2798</v>
      </c>
      <c r="D936" s="706" t="s">
        <v>2799</v>
      </c>
      <c r="E936" s="706" t="s">
        <v>333</v>
      </c>
      <c r="F936" s="706" t="s">
        <v>1152</v>
      </c>
      <c r="G936" s="706">
        <v>0</v>
      </c>
      <c r="H936" s="706">
        <v>0</v>
      </c>
      <c r="I936" s="706">
        <v>0</v>
      </c>
      <c r="J936" s="706">
        <v>0</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G64900</v>
      </c>
      <c r="AK936" s="905" t="str">
        <f t="shared" si="93"/>
        <v>RECTIFICATION STOCK AUTO</v>
      </c>
      <c r="AL936" s="905">
        <f>IFERROR(INDEX(G936:R936,1,MATCH(Parametres!$B$3,G$1:R$1,0)-1)*IF(OR(F936="L",F936="S",F936="I"),-1,1),"")</f>
        <v>0</v>
      </c>
      <c r="AM936" s="905">
        <f t="shared" si="94"/>
        <v>0</v>
      </c>
      <c r="AN936" s="905">
        <f>INDEX(G936:R936,1,MATCH(Parametres!$B$3,G$1:R$1,0))*IF(OR(F936="L",F936="S",F936="I"),-1,1)</f>
        <v>0</v>
      </c>
      <c r="AO936" s="487" t="str">
        <f>+VLOOKUP($AJ936,Data_Validation!$A:$D,1,0)</f>
        <v>G64900</v>
      </c>
      <c r="AP936" s="487">
        <f>+VLOOKUP($AJ936,Data_Validation!$A:$D,3,0)</f>
        <v>0</v>
      </c>
      <c r="AQ936" s="487">
        <f>+VLOOKUP($AJ936,Data_Validation!$A:$D,4,0)</f>
        <v>0</v>
      </c>
      <c r="AR936" s="487" t="s">
        <v>299</v>
      </c>
      <c r="AS936" s="487">
        <f>+VLOOKUP($AJ936,Data_Validation!$A:$E,5,0)</f>
        <v>0</v>
      </c>
      <c r="AT936" s="904" t="str">
        <f t="shared" si="95"/>
        <v>G64900</v>
      </c>
      <c r="AU936" s="488" t="str">
        <f t="shared" si="96"/>
        <v>RECTIFICATION STOCK AUTO</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hidden="1" customHeight="1">
      <c r="A937" s="706" t="s">
        <v>1148</v>
      </c>
      <c r="B937" s="706">
        <v>2026</v>
      </c>
      <c r="C937" s="706" t="s">
        <v>2800</v>
      </c>
      <c r="D937" s="706" t="s">
        <v>3387</v>
      </c>
      <c r="E937" s="706" t="s">
        <v>1143</v>
      </c>
      <c r="F937" s="706" t="s">
        <v>1152</v>
      </c>
      <c r="G937" s="706">
        <v>41059.599999999999</v>
      </c>
      <c r="H937" s="706">
        <v>349469.58</v>
      </c>
      <c r="I937" s="706">
        <v>1233604.7</v>
      </c>
      <c r="J937" s="706">
        <v>2065159.12</v>
      </c>
      <c r="K937" s="706">
        <v>0</v>
      </c>
      <c r="L937" s="706">
        <v>0</v>
      </c>
      <c r="M937" s="706">
        <v>0</v>
      </c>
      <c r="N937" s="706">
        <v>0</v>
      </c>
      <c r="O937" s="706">
        <v>0</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G65000</v>
      </c>
      <c r="AK937" s="905" t="str">
        <f t="shared" si="93"/>
        <v>COUT-OCC.CAMION DET CERTI</v>
      </c>
      <c r="AL937" s="905">
        <f>IFERROR(INDEX(G937:R937,1,MATCH(Parametres!$B$3,G$1:R$1,0)-1)*IF(OR(F937="L",F937="S",F937="I"),-1,1),"")</f>
        <v>0</v>
      </c>
      <c r="AM937" s="905">
        <f t="shared" si="94"/>
        <v>0</v>
      </c>
      <c r="AN937" s="905">
        <f>INDEX(G937:R937,1,MATCH(Parametres!$B$3,G$1:R$1,0))*IF(OR(F937="L",F937="S",F937="I"),-1,1)</f>
        <v>0</v>
      </c>
      <c r="AO937" s="487" t="str">
        <f>+VLOOKUP($AJ937,Data_Validation!$A:$D,1,0)</f>
        <v>G65000</v>
      </c>
      <c r="AP937" s="487" t="str">
        <f>+VLOOKUP($AJ937,Data_Validation!$A:$D,3,0)</f>
        <v>Véhicules usagés</v>
      </c>
      <c r="AQ937" s="487" t="str">
        <f>+VLOOKUP($AJ937,Data_Validation!$A:$D,4,0)</f>
        <v>Ventes au Gros</v>
      </c>
      <c r="AR937" s="487" t="s">
        <v>299</v>
      </c>
      <c r="AS937" s="487" t="str">
        <f>+VLOOKUP($AJ937,Data_Validation!$A:$E,5,0)</f>
        <v>Oui</v>
      </c>
      <c r="AT937" s="904" t="str">
        <f t="shared" si="95"/>
        <v>G65000</v>
      </c>
      <c r="AU937" s="488" t="str">
        <f t="shared" si="96"/>
        <v>COUT-OCC.CAMION DET CERTI</v>
      </c>
      <c r="AV937" s="899">
        <f>IFERROR(INDEX(V937:AG937,1,MATCH(Parametres!$B$3,V$1:AG$1,0)-1)*IF(OR(C937="L",C937="S",C937="I"),-1,1),"")</f>
        <v>0</v>
      </c>
      <c r="AW937" s="899">
        <f t="shared" si="97"/>
        <v>0</v>
      </c>
      <c r="AX937" s="899">
        <f>INDEX(V937:AG937,1,MATCH(Parametres!$B$3,V$1:AG$1,0))*IF(OR(C937="L",C937="S",C937="I"),-1,1)</f>
        <v>0</v>
      </c>
      <c r="AY937" s="487" t="s">
        <v>337</v>
      </c>
      <c r="AZ937" s="487" t="str">
        <f>+VLOOKUP($AJ937,Data_Validation!$A:$E,5,0)</f>
        <v>Oui</v>
      </c>
    </row>
    <row r="938" spans="1:52" ht="15" hidden="1" customHeight="1">
      <c r="A938" s="706" t="s">
        <v>1148</v>
      </c>
      <c r="B938" s="706">
        <v>2026</v>
      </c>
      <c r="C938" s="706" t="s">
        <v>2802</v>
      </c>
      <c r="D938" s="706" t="s">
        <v>3388</v>
      </c>
      <c r="E938" s="706" t="s">
        <v>1143</v>
      </c>
      <c r="F938" s="706" t="s">
        <v>1152</v>
      </c>
      <c r="G938" s="706">
        <v>437492.78</v>
      </c>
      <c r="H938" s="706">
        <v>686180.56</v>
      </c>
      <c r="I938" s="706">
        <v>1224288.25</v>
      </c>
      <c r="J938" s="706">
        <v>2082692.23</v>
      </c>
      <c r="K938" s="706">
        <v>2979869.09</v>
      </c>
      <c r="L938" s="706">
        <v>3600566.98</v>
      </c>
      <c r="M938" s="706">
        <v>4301841.68</v>
      </c>
      <c r="N938" s="706">
        <v>5077999.76</v>
      </c>
      <c r="O938" s="706">
        <v>5579518.1799999997</v>
      </c>
      <c r="P938" s="706">
        <v>5617520.4900000002</v>
      </c>
      <c r="Q938" s="706">
        <v>0</v>
      </c>
      <c r="R938" s="706">
        <v>0</v>
      </c>
      <c r="S938" s="706">
        <v>619946.46</v>
      </c>
      <c r="T938" s="706">
        <v>619946.46</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G65001</v>
      </c>
      <c r="AK938" s="905" t="str">
        <f t="shared" si="93"/>
        <v>COUT-CAMION OCC.GM N-CERT</v>
      </c>
      <c r="AL938" s="905">
        <f>IFERROR(INDEX(G938:R938,1,MATCH(Parametres!$B$3,G$1:R$1,0)-1)*IF(OR(F938="L",F938="S",F938="I"),-1,1),"")</f>
        <v>5077999.76</v>
      </c>
      <c r="AM938" s="905">
        <f t="shared" si="94"/>
        <v>501518.41999999993</v>
      </c>
      <c r="AN938" s="905">
        <f>INDEX(G938:R938,1,MATCH(Parametres!$B$3,G$1:R$1,0))*IF(OR(F938="L",F938="S",F938="I"),-1,1)</f>
        <v>5579518.1799999997</v>
      </c>
      <c r="AO938" s="487" t="str">
        <f>+VLOOKUP($AJ938,Data_Validation!$A:$D,1,0)</f>
        <v>G65001</v>
      </c>
      <c r="AP938" s="487" t="str">
        <f>+VLOOKUP($AJ938,Data_Validation!$A:$D,3,0)</f>
        <v>Véhicules usagés</v>
      </c>
      <c r="AQ938" s="487" t="str">
        <f>+VLOOKUP($AJ938,Data_Validation!$A:$D,4,0)</f>
        <v>Non Certifié</v>
      </c>
      <c r="AR938" s="487" t="s">
        <v>299</v>
      </c>
      <c r="AS938" s="487">
        <f>+VLOOKUP($AJ938,Data_Validation!$A:$E,5,0)</f>
        <v>0</v>
      </c>
      <c r="AT938" s="904" t="str">
        <f t="shared" si="95"/>
        <v>G65001</v>
      </c>
      <c r="AU938" s="488" t="str">
        <f t="shared" si="96"/>
        <v>COUT-CAMION OCC.GM N-CERT</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hidden="1" customHeight="1">
      <c r="A939" s="706" t="s">
        <v>1148</v>
      </c>
      <c r="B939" s="706">
        <v>2026</v>
      </c>
      <c r="C939" s="706" t="s">
        <v>3389</v>
      </c>
      <c r="D939" s="706" t="s">
        <v>3390</v>
      </c>
      <c r="E939" s="706" t="s">
        <v>1143</v>
      </c>
      <c r="F939" s="706" t="s">
        <v>1152</v>
      </c>
      <c r="G939" s="706">
        <v>0</v>
      </c>
      <c r="H939" s="706">
        <v>0</v>
      </c>
      <c r="I939" s="706">
        <v>0</v>
      </c>
      <c r="J939" s="706">
        <v>0</v>
      </c>
      <c r="K939" s="706">
        <v>0</v>
      </c>
      <c r="L939" s="706">
        <v>0</v>
      </c>
      <c r="M939" s="706">
        <v>0</v>
      </c>
      <c r="N939" s="706">
        <v>0</v>
      </c>
      <c r="O939" s="706">
        <v>0</v>
      </c>
      <c r="P939" s="706">
        <v>0</v>
      </c>
      <c r="Q939" s="706">
        <v>0</v>
      </c>
      <c r="R939" s="706">
        <v>0</v>
      </c>
      <c r="S939" s="706">
        <v>0</v>
      </c>
      <c r="T939" s="706">
        <v>0</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G65002</v>
      </c>
      <c r="AK939" s="905" t="str">
        <f t="shared" si="93"/>
        <v>COUT- CAMION AUTRE MARQ</v>
      </c>
      <c r="AL939" s="905">
        <f>IFERROR(INDEX(G939:R939,1,MATCH(Parametres!$B$3,G$1:R$1,0)-1)*IF(OR(F939="L",F939="S",F939="I"),-1,1),"")</f>
        <v>0</v>
      </c>
      <c r="AM939" s="905">
        <f t="shared" si="94"/>
        <v>0</v>
      </c>
      <c r="AN939" s="905">
        <f>INDEX(G939:R939,1,MATCH(Parametres!$B$3,G$1:R$1,0))*IF(OR(F939="L",F939="S",F939="I"),-1,1)</f>
        <v>0</v>
      </c>
      <c r="AO939" s="487" t="str">
        <f>+VLOOKUP($AJ939,Data_Validation!$A:$D,1,0)</f>
        <v>G65002</v>
      </c>
      <c r="AP939" s="487" t="str">
        <f>+VLOOKUP($AJ939,Data_Validation!$A:$D,3,0)</f>
        <v>Véhicules usagés</v>
      </c>
      <c r="AQ939" s="487" t="str">
        <f>+VLOOKUP($AJ939,Data_Validation!$A:$D,4,0)</f>
        <v>Autres Marques</v>
      </c>
      <c r="AR939" s="487" t="s">
        <v>299</v>
      </c>
      <c r="AS939" s="487">
        <f>+VLOOKUP($AJ939,Data_Validation!$A:$E,5,0)</f>
        <v>0</v>
      </c>
      <c r="AT939" s="904" t="str">
        <f t="shared" si="95"/>
        <v>G65002</v>
      </c>
      <c r="AU939" s="488" t="str">
        <f t="shared" si="96"/>
        <v>COUT- CAMION AUTRE MARQ</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3391</v>
      </c>
      <c r="D940" s="706" t="s">
        <v>3392</v>
      </c>
      <c r="E940" s="706" t="s">
        <v>1143</v>
      </c>
      <c r="F940" s="706" t="s">
        <v>1152</v>
      </c>
      <c r="G940" s="706">
        <v>0</v>
      </c>
      <c r="H940" s="706">
        <v>0</v>
      </c>
      <c r="I940" s="706">
        <v>0</v>
      </c>
      <c r="J940" s="706">
        <v>0</v>
      </c>
      <c r="K940" s="706">
        <v>0</v>
      </c>
      <c r="L940" s="706">
        <v>0</v>
      </c>
      <c r="M940" s="706">
        <v>163049.32</v>
      </c>
      <c r="N940" s="706">
        <v>336173.43</v>
      </c>
      <c r="O940" s="706">
        <v>336173.43</v>
      </c>
      <c r="P940" s="706">
        <v>336173.43</v>
      </c>
      <c r="Q940" s="706">
        <v>0</v>
      </c>
      <c r="R940" s="706">
        <v>0</v>
      </c>
      <c r="S940" s="706">
        <v>37352.6</v>
      </c>
      <c r="T940" s="706">
        <v>37352.6</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G65003</v>
      </c>
      <c r="AK940" s="905" t="str">
        <f t="shared" si="93"/>
        <v>COUT-RACHAT BAIL CAMION</v>
      </c>
      <c r="AL940" s="905">
        <f>IFERROR(INDEX(G940:R940,1,MATCH(Parametres!$B$3,G$1:R$1,0)-1)*IF(OR(F940="L",F940="S",F940="I"),-1,1),"")</f>
        <v>336173.43</v>
      </c>
      <c r="AM940" s="905">
        <f t="shared" si="94"/>
        <v>0</v>
      </c>
      <c r="AN940" s="905">
        <f>INDEX(G940:R940,1,MATCH(Parametres!$B$3,G$1:R$1,0))*IF(OR(F940="L",F940="S",F940="I"),-1,1)</f>
        <v>336173.43</v>
      </c>
      <c r="AO940" s="487" t="str">
        <f>+VLOOKUP($AJ940,Data_Validation!$A:$D,1,0)</f>
        <v>G65003</v>
      </c>
      <c r="AP940" s="487" t="str">
        <f>+VLOOKUP($AJ940,Data_Validation!$A:$D,3,0)</f>
        <v>Véhicules usagés</v>
      </c>
      <c r="AQ940" s="487" t="str">
        <f>+VLOOKUP($AJ940,Data_Validation!$A:$D,4,0)</f>
        <v>Rachat bail</v>
      </c>
      <c r="AR940" s="487" t="s">
        <v>299</v>
      </c>
      <c r="AS940" s="487">
        <f>+VLOOKUP($AJ940,Data_Validation!$A:$E,5,0)</f>
        <v>0</v>
      </c>
      <c r="AT940" s="904" t="str">
        <f t="shared" si="95"/>
        <v>G65003</v>
      </c>
      <c r="AU940" s="488" t="str">
        <f t="shared" si="96"/>
        <v>COUT-RACHAT BAIL CAMION</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hidden="1" customHeight="1">
      <c r="A941" s="706" t="s">
        <v>1148</v>
      </c>
      <c r="B941" s="706">
        <v>2026</v>
      </c>
      <c r="C941" s="706" t="s">
        <v>2804</v>
      </c>
      <c r="D941" s="706" t="s">
        <v>2805</v>
      </c>
      <c r="E941" s="706" t="s">
        <v>1143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G65020</v>
      </c>
      <c r="AK941" s="905" t="str">
        <f t="shared" si="93"/>
        <v>COUT-LOC.CAM.USAGE OPT.</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G65020</v>
      </c>
      <c r="AU941" s="488" t="str">
        <f t="shared" si="96"/>
        <v>COUT-LOC.CAM.USAGE OPT.</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hidden="1" customHeight="1">
      <c r="A942" s="706" t="s">
        <v>1148</v>
      </c>
      <c r="B942" s="706">
        <v>2026</v>
      </c>
      <c r="C942" s="706" t="s">
        <v>2806</v>
      </c>
      <c r="D942" s="706" t="s">
        <v>2807</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G65100</v>
      </c>
      <c r="AK942" s="905" t="str">
        <f t="shared" si="93"/>
        <v>REMISE NEUF CAM.DET.OPT.</v>
      </c>
      <c r="AL942" s="905">
        <f>IFERROR(INDEX(G942:R942,1,MATCH(Parametres!$B$3,G$1:R$1,0)-1)*IF(OR(F942="L",F942="S",F942="I"),-1,1),"")</f>
        <v>0</v>
      </c>
      <c r="AM942" s="905">
        <f t="shared" si="94"/>
        <v>0</v>
      </c>
      <c r="AN942" s="905">
        <f>INDEX(G942:R942,1,MATCH(Parametres!$B$3,G$1:R$1,0))*IF(OR(F942="L",F942="S",F942="I"),-1,1)</f>
        <v>0</v>
      </c>
      <c r="AO942" s="487" t="str">
        <f>+VLOOKUP($AJ942,Data_Validation!$A:$D,1,0)</f>
        <v>G65100</v>
      </c>
      <c r="AP942" s="487">
        <f>+VLOOKUP($AJ942,Data_Validation!$A:$D,3,0)</f>
        <v>0</v>
      </c>
      <c r="AQ942" s="487">
        <f>+VLOOKUP($AJ942,Data_Validation!$A:$D,4,0)</f>
        <v>0</v>
      </c>
      <c r="AR942" s="487" t="s">
        <v>299</v>
      </c>
      <c r="AS942" s="487">
        <f>+VLOOKUP($AJ942,Data_Validation!$A:$E,5,0)</f>
        <v>0</v>
      </c>
      <c r="AT942" s="904" t="str">
        <f t="shared" si="95"/>
        <v>G65100</v>
      </c>
      <c r="AU942" s="488" t="str">
        <f t="shared" si="96"/>
        <v>REMISE NEUF CAM.DET.OPT.</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2808</v>
      </c>
      <c r="D943" s="706" t="s">
        <v>2809</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G65101</v>
      </c>
      <c r="AK943" s="905" t="str">
        <f t="shared" si="93"/>
        <v>REMISE NEUF CAM.DET.AUTRE</v>
      </c>
      <c r="AL943" s="905">
        <f>IFERROR(INDEX(G943:R943,1,MATCH(Parametres!$B$3,G$1:R$1,0)-1)*IF(OR(F943="L",F943="S",F943="I"),-1,1),"")</f>
        <v>0</v>
      </c>
      <c r="AM943" s="905">
        <f t="shared" si="94"/>
        <v>0</v>
      </c>
      <c r="AN943" s="905">
        <f>INDEX(G943:R943,1,MATCH(Parametres!$B$3,G$1:R$1,0))*IF(OR(F943="L",F943="S",F943="I"),-1,1)</f>
        <v>0</v>
      </c>
      <c r="AO943" s="487" t="str">
        <f>+VLOOKUP($AJ943,Data_Validation!$A:$D,1,0)</f>
        <v>G65101</v>
      </c>
      <c r="AP943" s="487">
        <f>+VLOOKUP($AJ943,Data_Validation!$A:$D,3,0)</f>
        <v>0</v>
      </c>
      <c r="AQ943" s="487">
        <f>+VLOOKUP($AJ943,Data_Validation!$A:$D,4,0)</f>
        <v>0</v>
      </c>
      <c r="AR943" s="487" t="s">
        <v>299</v>
      </c>
      <c r="AS943" s="487">
        <f>+VLOOKUP($AJ943,Data_Validation!$A:$E,5,0)</f>
        <v>0</v>
      </c>
      <c r="AT943" s="904" t="str">
        <f t="shared" si="95"/>
        <v>G65101</v>
      </c>
      <c r="AU943" s="488" t="str">
        <f t="shared" si="96"/>
        <v>REMISE NEUF CAM.DET.AUTRE</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hidden="1" customHeight="1">
      <c r="A944" s="706" t="s">
        <v>1148</v>
      </c>
      <c r="B944" s="706">
        <v>2026</v>
      </c>
      <c r="C944" s="706" t="s">
        <v>2810</v>
      </c>
      <c r="D944" s="706" t="s">
        <v>2811</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G65120</v>
      </c>
      <c r="AK944" s="905" t="str">
        <f t="shared" si="93"/>
        <v>REM.NEUF LOC.CAM.DET.OPT.</v>
      </c>
      <c r="AL944" s="905">
        <f>IFERROR(INDEX(G944:R944,1,MATCH(Parametres!$B$3,G$1:R$1,0)-1)*IF(OR(F944="L",F944="S",F944="I"),-1,1),"")</f>
        <v>0</v>
      </c>
      <c r="AM944" s="905">
        <f t="shared" si="94"/>
        <v>0</v>
      </c>
      <c r="AN944" s="905">
        <f>INDEX(G944:R944,1,MATCH(Parametres!$B$3,G$1:R$1,0))*IF(OR(F944="L",F944="S",F944="I"),-1,1)</f>
        <v>0</v>
      </c>
      <c r="AO944" s="487" t="str">
        <f>+VLOOKUP($AJ944,Data_Validation!$A:$D,1,0)</f>
        <v>G65120</v>
      </c>
      <c r="AP944" s="487">
        <f>+VLOOKUP($AJ944,Data_Validation!$A:$D,3,0)</f>
        <v>0</v>
      </c>
      <c r="AQ944" s="487">
        <f>+VLOOKUP($AJ944,Data_Validation!$A:$D,4,0)</f>
        <v>0</v>
      </c>
      <c r="AR944" s="487" t="s">
        <v>299</v>
      </c>
      <c r="AS944" s="487">
        <f>+VLOOKUP($AJ944,Data_Validation!$A:$E,5,0)</f>
        <v>0</v>
      </c>
      <c r="AT944" s="904" t="str">
        <f t="shared" si="95"/>
        <v>G65120</v>
      </c>
      <c r="AU944" s="488" t="str">
        <f t="shared" si="96"/>
        <v>REM.NEUF LOC.CAM.DET.OPT.</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2812</v>
      </c>
      <c r="D945" s="706" t="s">
        <v>2813</v>
      </c>
      <c r="E945" s="706" t="s">
        <v>1143</v>
      </c>
      <c r="F945" s="706" t="s">
        <v>1152</v>
      </c>
      <c r="G945" s="706">
        <v>2051010.87</v>
      </c>
      <c r="H945" s="706">
        <v>3639591.88</v>
      </c>
      <c r="I945" s="706">
        <v>6799634.4299999997</v>
      </c>
      <c r="J945" s="706">
        <v>9640410.0500000007</v>
      </c>
      <c r="K945" s="706">
        <v>4652358.87</v>
      </c>
      <c r="L945" s="706">
        <v>5323087.83</v>
      </c>
      <c r="M945" s="706">
        <v>5849809.9699999997</v>
      </c>
      <c r="N945" s="706">
        <v>6790500.3099999996</v>
      </c>
      <c r="O945" s="706">
        <v>7424150.0099999998</v>
      </c>
      <c r="P945" s="706">
        <v>7442423.0099999998</v>
      </c>
      <c r="Q945" s="706">
        <v>0</v>
      </c>
      <c r="R945" s="706">
        <v>0</v>
      </c>
      <c r="S945" s="706">
        <v>824905.56</v>
      </c>
      <c r="T945" s="706">
        <v>824905.56</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G65200</v>
      </c>
      <c r="AK945" s="905" t="str">
        <f t="shared" si="93"/>
        <v>COUT-CAM. OCCASION GROS</v>
      </c>
      <c r="AL945" s="905">
        <f>IFERROR(INDEX(G945:R945,1,MATCH(Parametres!$B$3,G$1:R$1,0)-1)*IF(OR(F945="L",F945="S",F945="I"),-1,1),"")</f>
        <v>6790500.3099999996</v>
      </c>
      <c r="AM945" s="905">
        <f t="shared" si="94"/>
        <v>633649.70000000019</v>
      </c>
      <c r="AN945" s="905">
        <f>INDEX(G945:R945,1,MATCH(Parametres!$B$3,G$1:R$1,0))*IF(OR(F945="L",F945="S",F945="I"),-1,1)</f>
        <v>7424150.0099999998</v>
      </c>
      <c r="AO945" s="487" t="str">
        <f>+VLOOKUP($AJ945,Data_Validation!$A:$D,1,0)</f>
        <v>G65200</v>
      </c>
      <c r="AP945" s="487" t="str">
        <f>+VLOOKUP($AJ945,Data_Validation!$A:$D,3,0)</f>
        <v>Véhicules usagés</v>
      </c>
      <c r="AQ945" s="487" t="str">
        <f>+VLOOKUP($AJ945,Data_Validation!$A:$D,4,0)</f>
        <v>Ventes au Gros</v>
      </c>
      <c r="AR945" s="487" t="s">
        <v>299</v>
      </c>
      <c r="AS945" s="487">
        <f>+VLOOKUP($AJ945,Data_Validation!$A:$E,5,0)</f>
        <v>0</v>
      </c>
      <c r="AT945" s="904" t="str">
        <f t="shared" si="95"/>
        <v>G65200</v>
      </c>
      <c r="AU945" s="488" t="str">
        <f t="shared" si="96"/>
        <v>COUT-CAM. OCCASION GROS</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2814</v>
      </c>
      <c r="D946" s="706" t="s">
        <v>2815</v>
      </c>
      <c r="E946" s="706" t="s">
        <v>1143</v>
      </c>
      <c r="F946" s="706" t="s">
        <v>1152</v>
      </c>
      <c r="G946" s="706">
        <v>6696533.3300000001</v>
      </c>
      <c r="H946" s="706">
        <v>7234033.3300000001</v>
      </c>
      <c r="I946" s="706">
        <v>10174343.33</v>
      </c>
      <c r="J946" s="706">
        <v>15978053.33</v>
      </c>
      <c r="K946" s="706">
        <v>17890973.329999998</v>
      </c>
      <c r="L946" s="706">
        <v>19641398.329999998</v>
      </c>
      <c r="M946" s="706">
        <v>21384898.329999998</v>
      </c>
      <c r="N946" s="706">
        <v>22514263.329999998</v>
      </c>
      <c r="O946" s="706">
        <v>22886763.329999998</v>
      </c>
      <c r="P946" s="706">
        <v>22886763.329999998</v>
      </c>
      <c r="Q946" s="706">
        <v>0</v>
      </c>
      <c r="R946" s="706">
        <v>0</v>
      </c>
      <c r="S946" s="706">
        <v>2542973.7000000002</v>
      </c>
      <c r="T946" s="706">
        <v>2542973.7000000002</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G65201</v>
      </c>
      <c r="AK946" s="905" t="str">
        <f t="shared" si="93"/>
        <v>COUT - WHOLESALE W</v>
      </c>
      <c r="AL946" s="905">
        <f>IFERROR(INDEX(G946:R946,1,MATCH(Parametres!$B$3,G$1:R$1,0)-1)*IF(OR(F946="L",F946="S",F946="I"),-1,1),"")</f>
        <v>22514263.329999998</v>
      </c>
      <c r="AM946" s="905">
        <f t="shared" si="94"/>
        <v>372500</v>
      </c>
      <c r="AN946" s="905">
        <f>INDEX(G946:R946,1,MATCH(Parametres!$B$3,G$1:R$1,0))*IF(OR(F946="L",F946="S",F946="I"),-1,1)</f>
        <v>22886763.329999998</v>
      </c>
      <c r="AO946" s="487" t="str">
        <f>+VLOOKUP($AJ946,Data_Validation!$A:$D,1,0)</f>
        <v>G65201</v>
      </c>
      <c r="AP946" s="487" t="str">
        <f>+VLOOKUP($AJ946,Data_Validation!$A:$D,3,0)</f>
        <v>Wholesale autres</v>
      </c>
      <c r="AQ946" s="487" t="str">
        <f>+VLOOKUP($AJ946,Data_Validation!$A:$D,4,0)</f>
        <v>Wholesale Luxueux</v>
      </c>
      <c r="AR946" s="487" t="s">
        <v>299</v>
      </c>
      <c r="AS946" s="487">
        <f>+VLOOKUP($AJ946,Data_Validation!$A:$E,5,0)</f>
        <v>0</v>
      </c>
      <c r="AT946" s="904" t="str">
        <f t="shared" si="95"/>
        <v>G65201</v>
      </c>
      <c r="AU946" s="488" t="str">
        <f t="shared" si="96"/>
        <v>COUT - WHOLESALE W</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3157</v>
      </c>
      <c r="D947" s="706" t="s">
        <v>3156</v>
      </c>
      <c r="E947" s="706" t="s">
        <v>1143</v>
      </c>
      <c r="F947" s="706" t="s">
        <v>1152</v>
      </c>
      <c r="G947" s="706">
        <v>0</v>
      </c>
      <c r="H947" s="706">
        <v>0</v>
      </c>
      <c r="I947" s="706">
        <v>0</v>
      </c>
      <c r="J947" s="706">
        <v>0</v>
      </c>
      <c r="K947" s="706">
        <v>1473800</v>
      </c>
      <c r="L947" s="706">
        <v>2064800</v>
      </c>
      <c r="M947" s="706">
        <v>2064800</v>
      </c>
      <c r="N947" s="706">
        <v>2064800</v>
      </c>
      <c r="O947" s="706">
        <v>2064800</v>
      </c>
      <c r="P947" s="706">
        <v>2064800</v>
      </c>
      <c r="Q947" s="706">
        <v>0</v>
      </c>
      <c r="R947" s="706">
        <v>0</v>
      </c>
      <c r="S947" s="706">
        <v>229422.22</v>
      </c>
      <c r="T947" s="706">
        <v>229422.22</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G65202</v>
      </c>
      <c r="AK947" s="905" t="str">
        <f t="shared" si="93"/>
        <v>VTES- WHOLESALES M</v>
      </c>
      <c r="AL947" s="905">
        <f>IFERROR(INDEX(G947:R947,1,MATCH(Parametres!$B$3,G$1:R$1,0)-1)*IF(OR(F947="L",F947="S",F947="I"),-1,1),"")</f>
        <v>2064800</v>
      </c>
      <c r="AM947" s="905">
        <f t="shared" si="94"/>
        <v>0</v>
      </c>
      <c r="AN947" s="905">
        <f>INDEX(G947:R947,1,MATCH(Parametres!$B$3,G$1:R$1,0))*IF(OR(F947="L",F947="S",F947="I"),-1,1)</f>
        <v>2064800</v>
      </c>
      <c r="AO947" s="487" t="str">
        <f>+VLOOKUP($AJ947,Data_Validation!$A:$D,1,0)</f>
        <v>G65202</v>
      </c>
      <c r="AP947" s="487" t="str">
        <f>+VLOOKUP($AJ947,Data_Validation!$A:$D,3,0)</f>
        <v>Wholesale autres</v>
      </c>
      <c r="AQ947" s="487" t="str">
        <f>+VLOOKUP($AJ947,Data_Validation!$A:$D,4,0)</f>
        <v>Wholesale Luxueux</v>
      </c>
      <c r="AR947" s="487" t="s">
        <v>299</v>
      </c>
      <c r="AS947" s="487">
        <f>+VLOOKUP($AJ947,Data_Validation!$A:$E,5,0)</f>
        <v>0</v>
      </c>
      <c r="AT947" s="904" t="str">
        <f t="shared" si="95"/>
        <v>G65202</v>
      </c>
      <c r="AU947" s="488" t="str">
        <f t="shared" si="96"/>
        <v>VTES- WHOLESALES M</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hidden="1" customHeight="1">
      <c r="A948" s="706" t="s">
        <v>1148</v>
      </c>
      <c r="B948" s="706">
        <v>2026</v>
      </c>
      <c r="C948" s="706" t="s">
        <v>2816</v>
      </c>
      <c r="D948" s="706" t="s">
        <v>2817</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G65300</v>
      </c>
      <c r="AK948" s="905" t="str">
        <f t="shared" si="93"/>
        <v>RECTIFICATION/STOCK/TRUCK</v>
      </c>
      <c r="AL948" s="905">
        <f>IFERROR(INDEX(G948:R948,1,MATCH(Parametres!$B$3,G$1:R$1,0)-1)*IF(OR(F948="L",F948="S",F948="I"),-1,1),"")</f>
        <v>0</v>
      </c>
      <c r="AM948" s="905">
        <f t="shared" si="94"/>
        <v>0</v>
      </c>
      <c r="AN948" s="905">
        <f>INDEX(G948:R948,1,MATCH(Parametres!$B$3,G$1:R$1,0))*IF(OR(F948="L",F948="S",F948="I"),-1,1)</f>
        <v>0</v>
      </c>
      <c r="AO948" s="487" t="str">
        <f>+VLOOKUP($AJ948,Data_Validation!$A:$D,1,0)</f>
        <v>G65300</v>
      </c>
      <c r="AP948" s="487">
        <f>+VLOOKUP($AJ948,Data_Validation!$A:$D,3,0)</f>
        <v>0</v>
      </c>
      <c r="AQ948" s="487">
        <f>+VLOOKUP($AJ948,Data_Validation!$A:$D,4,0)</f>
        <v>0</v>
      </c>
      <c r="AR948" s="487" t="s">
        <v>299</v>
      </c>
      <c r="AS948" s="487">
        <f>+VLOOKUP($AJ948,Data_Validation!$A:$E,5,0)</f>
        <v>0</v>
      </c>
      <c r="AT948" s="904" t="str">
        <f t="shared" si="95"/>
        <v>G65300</v>
      </c>
      <c r="AU948" s="488" t="str">
        <f t="shared" si="96"/>
        <v>RECTIFICATION/STOCK/TRUCK</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hidden="1" customHeight="1">
      <c r="A949" s="706" t="s">
        <v>1148</v>
      </c>
      <c r="B949" s="706">
        <v>2026</v>
      </c>
      <c r="C949" s="706" t="s">
        <v>3527</v>
      </c>
      <c r="D949" s="706" t="s">
        <v>3528</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G65301</v>
      </c>
      <c r="AK949" s="905" t="str">
        <f t="shared" si="93"/>
        <v>COUT- PRT ANTIROUILLE US</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G65301</v>
      </c>
      <c r="AU949" s="488" t="str">
        <f t="shared" si="96"/>
        <v>COUT- PRT ANTIROUILLE US</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hidden="1" customHeight="1">
      <c r="A950" s="706" t="s">
        <v>1148</v>
      </c>
      <c r="B950" s="706">
        <v>2026</v>
      </c>
      <c r="C950" s="706" t="s">
        <v>3529</v>
      </c>
      <c r="D950" s="706" t="s">
        <v>3530</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G65305</v>
      </c>
      <c r="AK950" s="905" t="str">
        <f t="shared" si="93"/>
        <v>COUT-PRT DOMINO-TAG USAGE</v>
      </c>
      <c r="AL950" s="905">
        <f>IFERROR(INDEX(G950:R950,1,MATCH(Parametres!$B$3,G$1:R$1,0)-1)*IF(OR(F950="L",F950="S",F950="I"),-1,1),"")</f>
        <v>0</v>
      </c>
      <c r="AM950" s="905">
        <f t="shared" si="94"/>
        <v>0</v>
      </c>
      <c r="AN950" s="905">
        <f>INDEX(G950:R950,1,MATCH(Parametres!$B$3,G$1:R$1,0))*IF(OR(F950="L",F950="S",F950="I"),-1,1)</f>
        <v>0</v>
      </c>
      <c r="AO950" s="487" t="e">
        <f>+VLOOKUP($AJ950,Data_Validation!$A:$D,1,0)</f>
        <v>#N/A</v>
      </c>
      <c r="AP950" s="487" t="e">
        <f>+VLOOKUP($AJ950,Data_Validation!$A:$D,3,0)</f>
        <v>#N/A</v>
      </c>
      <c r="AQ950" s="487" t="e">
        <f>+VLOOKUP($AJ950,Data_Validation!$A:$D,4,0)</f>
        <v>#N/A</v>
      </c>
      <c r="AR950" s="487" t="s">
        <v>299</v>
      </c>
      <c r="AS950" s="487" t="e">
        <f>+VLOOKUP($AJ950,Data_Validation!$A:$E,5,0)</f>
        <v>#N/A</v>
      </c>
      <c r="AT950" s="904" t="str">
        <f t="shared" si="95"/>
        <v>G65305</v>
      </c>
      <c r="AU950" s="488" t="str">
        <f t="shared" si="96"/>
        <v>COUT-PRT DOMINO-TAG USAGE</v>
      </c>
      <c r="AV950" s="899">
        <f>IFERROR(INDEX(V950:AG950,1,MATCH(Parametres!$B$3,V$1:AG$1,0)-1)*IF(OR(C950="L",C950="S",C950="I"),-1,1),"")</f>
        <v>0</v>
      </c>
      <c r="AW950" s="899">
        <f t="shared" si="97"/>
        <v>0</v>
      </c>
      <c r="AX950" s="899">
        <f>INDEX(V950:AG950,1,MATCH(Parametres!$B$3,V$1:AG$1,0))*IF(OR(C950="L",C950="S",C950="I"),-1,1)</f>
        <v>0</v>
      </c>
      <c r="AY950" s="487" t="s">
        <v>337</v>
      </c>
      <c r="AZ950" s="487" t="e">
        <f>+VLOOKUP($AJ950,Data_Validation!$A:$E,5,0)</f>
        <v>#N/A</v>
      </c>
    </row>
    <row r="951" spans="1:52" ht="15" hidden="1" customHeight="1">
      <c r="A951" s="706" t="s">
        <v>1148</v>
      </c>
      <c r="B951" s="706">
        <v>2026</v>
      </c>
      <c r="C951" s="706" t="s">
        <v>2818</v>
      </c>
      <c r="D951" s="706" t="s">
        <v>2819</v>
      </c>
      <c r="E951" s="706" t="s">
        <v>333</v>
      </c>
      <c r="F951" s="706" t="s">
        <v>1152</v>
      </c>
      <c r="G951" s="706">
        <v>18498</v>
      </c>
      <c r="H951" s="706">
        <v>22917.759999999998</v>
      </c>
      <c r="I951" s="706">
        <v>31986.76</v>
      </c>
      <c r="J951" s="706">
        <v>54598.76</v>
      </c>
      <c r="K951" s="706">
        <v>72597.759999999995</v>
      </c>
      <c r="L951" s="706">
        <v>89481.76</v>
      </c>
      <c r="M951" s="706">
        <v>89481.76</v>
      </c>
      <c r="N951" s="706">
        <v>99492.76</v>
      </c>
      <c r="O951" s="706">
        <v>100451.76</v>
      </c>
      <c r="P951" s="706">
        <v>100451.76</v>
      </c>
      <c r="Q951" s="706">
        <v>0</v>
      </c>
      <c r="R951" s="706">
        <v>0</v>
      </c>
      <c r="S951" s="706">
        <v>11161.31</v>
      </c>
      <c r="T951" s="706">
        <v>11161.31</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G65400</v>
      </c>
      <c r="AK951" s="905" t="str">
        <f t="shared" si="93"/>
        <v>COUT-PLAN PROTECTION USAG</v>
      </c>
      <c r="AL951" s="905">
        <f>IFERROR(INDEX(G951:R951,1,MATCH(Parametres!$B$3,G$1:R$1,0)-1)*IF(OR(F951="L",F951="S",F951="I"),-1,1),"")</f>
        <v>99492.76</v>
      </c>
      <c r="AM951" s="905">
        <f t="shared" si="94"/>
        <v>959</v>
      </c>
      <c r="AN951" s="905">
        <f>INDEX(G951:R951,1,MATCH(Parametres!$B$3,G$1:R$1,0))*IF(OR(F951="L",F951="S",F951="I"),-1,1)</f>
        <v>100451.76</v>
      </c>
      <c r="AO951" s="487" t="str">
        <f>+VLOOKUP($AJ951,Data_Validation!$A:$D,1,0)</f>
        <v>G65400</v>
      </c>
      <c r="AP951" s="487" t="str">
        <f>+VLOOKUP($AJ951,Data_Validation!$A:$D,3,0)</f>
        <v>Véhicules usagés</v>
      </c>
      <c r="AQ951" s="487" t="str">
        <f>+VLOOKUP($AJ951,Data_Validation!$A:$D,4,0)</f>
        <v>Rev. Protections</v>
      </c>
      <c r="AR951" s="487" t="s">
        <v>299</v>
      </c>
      <c r="AS951" s="487">
        <f>+VLOOKUP($AJ951,Data_Validation!$A:$E,5,0)</f>
        <v>0</v>
      </c>
      <c r="AT951" s="904" t="str">
        <f t="shared" si="95"/>
        <v>G65400</v>
      </c>
      <c r="AU951" s="488" t="str">
        <f t="shared" si="96"/>
        <v>COUT-PLAN PROTECTION USAG</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3393</v>
      </c>
      <c r="D952" s="706" t="s">
        <v>3394</v>
      </c>
      <c r="E952" s="706" t="s">
        <v>333</v>
      </c>
      <c r="F952" s="706" t="s">
        <v>1152</v>
      </c>
      <c r="G952" s="706">
        <v>0</v>
      </c>
      <c r="H952" s="706">
        <v>0</v>
      </c>
      <c r="I952" s="706">
        <v>0</v>
      </c>
      <c r="J952" s="706">
        <v>0</v>
      </c>
      <c r="K952" s="706">
        <v>0</v>
      </c>
      <c r="L952" s="706">
        <v>0</v>
      </c>
      <c r="M952" s="706">
        <v>5911</v>
      </c>
      <c r="N952" s="706">
        <v>6168.43</v>
      </c>
      <c r="O952" s="706">
        <v>6168.43</v>
      </c>
      <c r="P952" s="706">
        <v>6168.43</v>
      </c>
      <c r="Q952" s="706">
        <v>0</v>
      </c>
      <c r="R952" s="706">
        <v>0</v>
      </c>
      <c r="S952" s="706">
        <v>685.38</v>
      </c>
      <c r="T952" s="706">
        <v>685.38</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G65401</v>
      </c>
      <c r="AK952" s="905" t="str">
        <f t="shared" si="93"/>
        <v>COUT ANTIROUILLE USAGE</v>
      </c>
      <c r="AL952" s="905">
        <f>IFERROR(INDEX(G952:R952,1,MATCH(Parametres!$B$3,G$1:R$1,0)-1)*IF(OR(F952="L",F952="S",F952="I"),-1,1),"")</f>
        <v>6168.43</v>
      </c>
      <c r="AM952" s="905">
        <f t="shared" si="94"/>
        <v>0</v>
      </c>
      <c r="AN952" s="905">
        <f>INDEX(G952:R952,1,MATCH(Parametres!$B$3,G$1:R$1,0))*IF(OR(F952="L",F952="S",F952="I"),-1,1)</f>
        <v>6168.43</v>
      </c>
      <c r="AO952" s="487" t="str">
        <f>+VLOOKUP($AJ952,Data_Validation!$A:$D,1,0)</f>
        <v>G65401</v>
      </c>
      <c r="AP952" s="487" t="str">
        <f>+VLOOKUP($AJ952,Data_Validation!$A:$D,3,0)</f>
        <v>Véhicules usagés</v>
      </c>
      <c r="AQ952" s="487" t="str">
        <f>+VLOOKUP($AJ952,Data_Validation!$A:$D,4,0)</f>
        <v>Rev. Protections</v>
      </c>
      <c r="AR952" s="487" t="s">
        <v>299</v>
      </c>
      <c r="AS952" s="487">
        <f>+VLOOKUP($AJ952,Data_Validation!$A:$E,5,0)</f>
        <v>0</v>
      </c>
      <c r="AT952" s="904" t="str">
        <f t="shared" si="95"/>
        <v>G65401</v>
      </c>
      <c r="AU952" s="488" t="str">
        <f t="shared" si="96"/>
        <v>COUT ANTIROUILLE USAGE</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hidden="1" customHeight="1">
      <c r="A953" s="706" t="s">
        <v>1148</v>
      </c>
      <c r="B953" s="706">
        <v>2026</v>
      </c>
      <c r="C953" s="706" t="s">
        <v>3395</v>
      </c>
      <c r="D953" s="706" t="s">
        <v>3396</v>
      </c>
      <c r="E953" s="706" t="s">
        <v>333</v>
      </c>
      <c r="F953" s="706" t="s">
        <v>1152</v>
      </c>
      <c r="G953" s="706">
        <v>0</v>
      </c>
      <c r="H953" s="706">
        <v>0</v>
      </c>
      <c r="I953" s="706">
        <v>0</v>
      </c>
      <c r="J953" s="706">
        <v>0</v>
      </c>
      <c r="K953" s="706">
        <v>0</v>
      </c>
      <c r="L953" s="706">
        <v>0</v>
      </c>
      <c r="M953" s="706">
        <v>0</v>
      </c>
      <c r="N953" s="706">
        <v>0</v>
      </c>
      <c r="O953" s="706">
        <v>0</v>
      </c>
      <c r="P953" s="706">
        <v>0</v>
      </c>
      <c r="Q953" s="706">
        <v>0</v>
      </c>
      <c r="R953" s="706">
        <v>0</v>
      </c>
      <c r="S953" s="706">
        <v>0</v>
      </c>
      <c r="T953" s="706">
        <v>0</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G65403</v>
      </c>
      <c r="AK953" s="905" t="str">
        <f t="shared" si="93"/>
        <v>COUT VITRE-PEINT-TISS- US</v>
      </c>
      <c r="AL953" s="905">
        <f>IFERROR(INDEX(G953:R953,1,MATCH(Parametres!$B$3,G$1:R$1,0)-1)*IF(OR(F953="L",F953="S",F953="I"),-1,1),"")</f>
        <v>0</v>
      </c>
      <c r="AM953" s="905">
        <f t="shared" si="94"/>
        <v>0</v>
      </c>
      <c r="AN953" s="905">
        <f>INDEX(G953:R953,1,MATCH(Parametres!$B$3,G$1:R$1,0))*IF(OR(F953="L",F953="S",F953="I"),-1,1)</f>
        <v>0</v>
      </c>
      <c r="AO953" s="487" t="e">
        <f>+VLOOKUP($AJ953,Data_Validation!$A:$D,1,0)</f>
        <v>#N/A</v>
      </c>
      <c r="AP953" s="487" t="e">
        <f>+VLOOKUP($AJ953,Data_Validation!$A:$D,3,0)</f>
        <v>#N/A</v>
      </c>
      <c r="AQ953" s="487" t="e">
        <f>+VLOOKUP($AJ953,Data_Validation!$A:$D,4,0)</f>
        <v>#N/A</v>
      </c>
      <c r="AR953" s="487" t="s">
        <v>299</v>
      </c>
      <c r="AS953" s="487" t="e">
        <f>+VLOOKUP($AJ953,Data_Validation!$A:$E,5,0)</f>
        <v>#N/A</v>
      </c>
      <c r="AT953" s="904" t="str">
        <f t="shared" si="95"/>
        <v>G65403</v>
      </c>
      <c r="AU953" s="488" t="str">
        <f t="shared" si="96"/>
        <v>COUT VITRE-PEINT-TISS- US</v>
      </c>
      <c r="AV953" s="899">
        <f>IFERROR(INDEX(V953:AG953,1,MATCH(Parametres!$B$3,V$1:AG$1,0)-1)*IF(OR(C953="L",C953="S",C953="I"),-1,1),"")</f>
        <v>0</v>
      </c>
      <c r="AW953" s="899">
        <f t="shared" si="97"/>
        <v>0</v>
      </c>
      <c r="AX953" s="899">
        <f>INDEX(V953:AG953,1,MATCH(Parametres!$B$3,V$1:AG$1,0))*IF(OR(C953="L",C953="S",C953="I"),-1,1)</f>
        <v>0</v>
      </c>
      <c r="AY953" s="487" t="s">
        <v>337</v>
      </c>
      <c r="AZ953" s="487" t="e">
        <f>+VLOOKUP($AJ953,Data_Validation!$A:$E,5,0)</f>
        <v>#N/A</v>
      </c>
    </row>
    <row r="954" spans="1:52" ht="15" hidden="1" customHeight="1">
      <c r="A954" s="706" t="s">
        <v>1148</v>
      </c>
      <c r="B954" s="706">
        <v>2026</v>
      </c>
      <c r="C954" s="706" t="s">
        <v>3397</v>
      </c>
      <c r="D954" s="706" t="s">
        <v>3398</v>
      </c>
      <c r="E954" s="706" t="s">
        <v>333</v>
      </c>
      <c r="F954" s="706" t="s">
        <v>1152</v>
      </c>
      <c r="G954" s="706">
        <v>0</v>
      </c>
      <c r="H954" s="706">
        <v>0</v>
      </c>
      <c r="I954" s="706">
        <v>0</v>
      </c>
      <c r="J954" s="706">
        <v>0</v>
      </c>
      <c r="K954" s="706">
        <v>0</v>
      </c>
      <c r="L954" s="706">
        <v>0</v>
      </c>
      <c r="M954" s="706">
        <v>760</v>
      </c>
      <c r="N954" s="706">
        <v>760</v>
      </c>
      <c r="O954" s="706">
        <v>760</v>
      </c>
      <c r="P954" s="706">
        <v>760</v>
      </c>
      <c r="Q954" s="706">
        <v>0</v>
      </c>
      <c r="R954" s="706">
        <v>0</v>
      </c>
      <c r="S954" s="706">
        <v>84.44</v>
      </c>
      <c r="T954" s="706">
        <v>84.44</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G65405</v>
      </c>
      <c r="AK954" s="905" t="str">
        <f t="shared" si="93"/>
        <v>COUT ANTIVOL-TAG -OCC</v>
      </c>
      <c r="AL954" s="905">
        <f>IFERROR(INDEX(G954:R954,1,MATCH(Parametres!$B$3,G$1:R$1,0)-1)*IF(OR(F954="L",F954="S",F954="I"),-1,1),"")</f>
        <v>760</v>
      </c>
      <c r="AM954" s="905">
        <f t="shared" si="94"/>
        <v>0</v>
      </c>
      <c r="AN954" s="905">
        <f>INDEX(G954:R954,1,MATCH(Parametres!$B$3,G$1:R$1,0))*IF(OR(F954="L",F954="S",F954="I"),-1,1)</f>
        <v>760</v>
      </c>
      <c r="AO954" s="487" t="str">
        <f>+VLOOKUP($AJ954,Data_Validation!$A:$D,1,0)</f>
        <v>G65405</v>
      </c>
      <c r="AP954" s="487" t="str">
        <f>+VLOOKUP($AJ954,Data_Validation!$A:$D,3,0)</f>
        <v>Véhicules usagés</v>
      </c>
      <c r="AQ954" s="487" t="str">
        <f>+VLOOKUP($AJ954,Data_Validation!$A:$D,4,0)</f>
        <v>Rev. Protections</v>
      </c>
      <c r="AR954" s="487" t="s">
        <v>299</v>
      </c>
      <c r="AS954" s="487">
        <f>+VLOOKUP($AJ954,Data_Validation!$A:$E,5,0)</f>
        <v>0</v>
      </c>
      <c r="AT954" s="904" t="str">
        <f t="shared" si="95"/>
        <v>G65405</v>
      </c>
      <c r="AU954" s="488" t="str">
        <f t="shared" si="96"/>
        <v>COUT ANTIVOL-TAG -OCC</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hidden="1" customHeight="1">
      <c r="A955" s="706" t="s">
        <v>1148</v>
      </c>
      <c r="B955" s="706">
        <v>2026</v>
      </c>
      <c r="C955" s="706" t="s">
        <v>3531</v>
      </c>
      <c r="D955" s="706" t="s">
        <v>3532</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G65410</v>
      </c>
      <c r="AK955" s="905" t="str">
        <f t="shared" si="93"/>
        <v>C/V - PL PROTECT GM USAGE</v>
      </c>
      <c r="AL955" s="905">
        <f>IFERROR(INDEX(G955:R955,1,MATCH(Parametres!$B$3,G$1:R$1,0)-1)*IF(OR(F955="L",F955="S",F955="I"),-1,1),"")</f>
        <v>0</v>
      </c>
      <c r="AM955" s="905">
        <f t="shared" si="94"/>
        <v>0</v>
      </c>
      <c r="AN955" s="905">
        <f>INDEX(G955:R955,1,MATCH(Parametres!$B$3,G$1:R$1,0))*IF(OR(F955="L",F955="S",F955="I"),-1,1)</f>
        <v>0</v>
      </c>
      <c r="AO955" s="487" t="e">
        <f>+VLOOKUP($AJ955,Data_Validation!$A:$D,1,0)</f>
        <v>#N/A</v>
      </c>
      <c r="AP955" s="487" t="e">
        <f>+VLOOKUP($AJ955,Data_Validation!$A:$D,3,0)</f>
        <v>#N/A</v>
      </c>
      <c r="AQ955" s="487" t="e">
        <f>+VLOOKUP($AJ955,Data_Validation!$A:$D,4,0)</f>
        <v>#N/A</v>
      </c>
      <c r="AR955" s="487" t="s">
        <v>299</v>
      </c>
      <c r="AS955" s="487" t="e">
        <f>+VLOOKUP($AJ955,Data_Validation!$A:$E,5,0)</f>
        <v>#N/A</v>
      </c>
      <c r="AT955" s="904" t="str">
        <f t="shared" si="95"/>
        <v>G65410</v>
      </c>
      <c r="AU955" s="488" t="str">
        <f t="shared" si="96"/>
        <v>C/V - PL PROTECT GM USAGE</v>
      </c>
      <c r="AV955" s="899">
        <f>IFERROR(INDEX(V955:AG955,1,MATCH(Parametres!$B$3,V$1:AG$1,0)-1)*IF(OR(C955="L",C955="S",C955="I"),-1,1),"")</f>
        <v>0</v>
      </c>
      <c r="AW955" s="899">
        <f t="shared" si="97"/>
        <v>0</v>
      </c>
      <c r="AX955" s="899">
        <f>INDEX(V955:AG955,1,MATCH(Parametres!$B$3,V$1:AG$1,0))*IF(OR(C955="L",C955="S",C955="I"),-1,1)</f>
        <v>0</v>
      </c>
      <c r="AY955" s="487" t="s">
        <v>337</v>
      </c>
      <c r="AZ955" s="487" t="e">
        <f>+VLOOKUP($AJ955,Data_Validation!$A:$E,5,0)</f>
        <v>#N/A</v>
      </c>
    </row>
    <row r="956" spans="1:52" ht="15" hidden="1" customHeight="1">
      <c r="A956" s="706" t="s">
        <v>1148</v>
      </c>
      <c r="B956" s="706">
        <v>2026</v>
      </c>
      <c r="C956" s="706" t="s">
        <v>3533</v>
      </c>
      <c r="D956" s="706" t="s">
        <v>3534</v>
      </c>
      <c r="E956" s="706" t="s">
        <v>333</v>
      </c>
      <c r="F956" s="706" t="s">
        <v>1152</v>
      </c>
      <c r="G956" s="706">
        <v>0</v>
      </c>
      <c r="H956" s="706">
        <v>0</v>
      </c>
      <c r="I956" s="706">
        <v>0</v>
      </c>
      <c r="J956" s="706">
        <v>0</v>
      </c>
      <c r="K956" s="706">
        <v>0</v>
      </c>
      <c r="L956" s="706">
        <v>0</v>
      </c>
      <c r="M956" s="706">
        <v>0</v>
      </c>
      <c r="N956" s="706">
        <v>0</v>
      </c>
      <c r="O956" s="706">
        <v>0</v>
      </c>
      <c r="P956" s="706">
        <v>0</v>
      </c>
      <c r="Q956" s="706">
        <v>0</v>
      </c>
      <c r="R956" s="706">
        <v>0</v>
      </c>
      <c r="S956" s="706">
        <v>0</v>
      </c>
      <c r="T956" s="706">
        <v>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G65411</v>
      </c>
      <c r="AK956" s="905" t="str">
        <f t="shared" si="93"/>
        <v>COUT -PR PNEUS-JANTE USAG</v>
      </c>
      <c r="AL956" s="905">
        <f>IFERROR(INDEX(G956:R956,1,MATCH(Parametres!$B$3,G$1:R$1,0)-1)*IF(OR(F956="L",F956="S",F956="I"),-1,1),"")</f>
        <v>0</v>
      </c>
      <c r="AM956" s="905">
        <f t="shared" si="94"/>
        <v>0</v>
      </c>
      <c r="AN956" s="905">
        <f>INDEX(G956:R956,1,MATCH(Parametres!$B$3,G$1:R$1,0))*IF(OR(F956="L",F956="S",F956="I"),-1,1)</f>
        <v>0</v>
      </c>
      <c r="AO956" s="487" t="e">
        <f>+VLOOKUP($AJ956,Data_Validation!$A:$D,1,0)</f>
        <v>#N/A</v>
      </c>
      <c r="AP956" s="487" t="e">
        <f>+VLOOKUP($AJ956,Data_Validation!$A:$D,3,0)</f>
        <v>#N/A</v>
      </c>
      <c r="AQ956" s="487" t="e">
        <f>+VLOOKUP($AJ956,Data_Validation!$A:$D,4,0)</f>
        <v>#N/A</v>
      </c>
      <c r="AR956" s="487" t="s">
        <v>299</v>
      </c>
      <c r="AS956" s="487" t="e">
        <f>+VLOOKUP($AJ956,Data_Validation!$A:$E,5,0)</f>
        <v>#N/A</v>
      </c>
      <c r="AT956" s="904" t="str">
        <f t="shared" si="95"/>
        <v>G65411</v>
      </c>
      <c r="AU956" s="488" t="str">
        <f t="shared" si="96"/>
        <v>COUT -PR PNEUS-JANTE USAG</v>
      </c>
      <c r="AV956" s="899">
        <f>IFERROR(INDEX(V956:AG956,1,MATCH(Parametres!$B$3,V$1:AG$1,0)-1)*IF(OR(C956="L",C956="S",C956="I"),-1,1),"")</f>
        <v>0</v>
      </c>
      <c r="AW956" s="899">
        <f t="shared" si="97"/>
        <v>0</v>
      </c>
      <c r="AX956" s="899">
        <f>INDEX(V956:AG956,1,MATCH(Parametres!$B$3,V$1:AG$1,0))*IF(OR(C956="L",C956="S",C956="I"),-1,1)</f>
        <v>0</v>
      </c>
      <c r="AY956" s="487" t="s">
        <v>337</v>
      </c>
      <c r="AZ956" s="487" t="e">
        <f>+VLOOKUP($AJ956,Data_Validation!$A:$E,5,0)</f>
        <v>#N/A</v>
      </c>
    </row>
    <row r="957" spans="1:52" ht="15" hidden="1" customHeight="1">
      <c r="A957" s="706" t="s">
        <v>1148</v>
      </c>
      <c r="B957" s="706">
        <v>2026</v>
      </c>
      <c r="C957" s="706" t="s">
        <v>3535</v>
      </c>
      <c r="D957" s="706" t="s">
        <v>3536</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G65412</v>
      </c>
      <c r="AK957" s="905" t="str">
        <f t="shared" si="93"/>
        <v>COUT -PROT A L'ECART USAG</v>
      </c>
      <c r="AL957" s="905">
        <f>IFERROR(INDEX(G957:R957,1,MATCH(Parametres!$B$3,G$1:R$1,0)-1)*IF(OR(F957="L",F957="S",F957="I"),-1,1),"")</f>
        <v>0</v>
      </c>
      <c r="AM957" s="905">
        <f t="shared" si="94"/>
        <v>0</v>
      </c>
      <c r="AN957" s="905">
        <f>INDEX(G957:R957,1,MATCH(Parametres!$B$3,G$1:R$1,0))*IF(OR(F957="L",F957="S",F957="I"),-1,1)</f>
        <v>0</v>
      </c>
      <c r="AO957" s="487" t="e">
        <f>+VLOOKUP($AJ957,Data_Validation!$A:$D,1,0)</f>
        <v>#N/A</v>
      </c>
      <c r="AP957" s="487" t="e">
        <f>+VLOOKUP($AJ957,Data_Validation!$A:$D,3,0)</f>
        <v>#N/A</v>
      </c>
      <c r="AQ957" s="487" t="e">
        <f>+VLOOKUP($AJ957,Data_Validation!$A:$D,4,0)</f>
        <v>#N/A</v>
      </c>
      <c r="AR957" s="487" t="s">
        <v>299</v>
      </c>
      <c r="AS957" s="487" t="e">
        <f>+VLOOKUP($AJ957,Data_Validation!$A:$E,5,0)</f>
        <v>#N/A</v>
      </c>
      <c r="AT957" s="904" t="str">
        <f t="shared" si="95"/>
        <v>G65412</v>
      </c>
      <c r="AU957" s="488" t="str">
        <f t="shared" si="96"/>
        <v>COUT -PROT A L'ECART USAG</v>
      </c>
      <c r="AV957" s="899">
        <f>IFERROR(INDEX(V957:AG957,1,MATCH(Parametres!$B$3,V$1:AG$1,0)-1)*IF(OR(C957="L",C957="S",C957="I"),-1,1),"")</f>
        <v>0</v>
      </c>
      <c r="AW957" s="899">
        <f t="shared" si="97"/>
        <v>0</v>
      </c>
      <c r="AX957" s="899">
        <f>INDEX(V957:AG957,1,MATCH(Parametres!$B$3,V$1:AG$1,0))*IF(OR(C957="L",C957="S",C957="I"),-1,1)</f>
        <v>0</v>
      </c>
      <c r="AY957" s="487" t="s">
        <v>337</v>
      </c>
      <c r="AZ957" s="487" t="e">
        <f>+VLOOKUP($AJ957,Data_Validation!$A:$E,5,0)</f>
        <v>#N/A</v>
      </c>
    </row>
    <row r="958" spans="1:52" ht="15" hidden="1" customHeight="1">
      <c r="A958" s="706" t="s">
        <v>1148</v>
      </c>
      <c r="B958" s="706">
        <v>2026</v>
      </c>
      <c r="C958" s="706" t="s">
        <v>3537</v>
      </c>
      <c r="D958" s="706" t="s">
        <v>3538</v>
      </c>
      <c r="E958" s="706" t="s">
        <v>333</v>
      </c>
      <c r="F958" s="706" t="s">
        <v>1152</v>
      </c>
      <c r="G958" s="706">
        <v>0</v>
      </c>
      <c r="H958" s="706">
        <v>0</v>
      </c>
      <c r="I958" s="706">
        <v>0</v>
      </c>
      <c r="J958" s="706">
        <v>0</v>
      </c>
      <c r="K958" s="706">
        <v>0</v>
      </c>
      <c r="L958" s="706">
        <v>0</v>
      </c>
      <c r="M958" s="706">
        <v>0</v>
      </c>
      <c r="N958" s="706">
        <v>0</v>
      </c>
      <c r="O958" s="706">
        <v>0</v>
      </c>
      <c r="P958" s="706">
        <v>0</v>
      </c>
      <c r="Q958" s="706">
        <v>0</v>
      </c>
      <c r="R958" s="706">
        <v>0</v>
      </c>
      <c r="S958" s="706">
        <v>0</v>
      </c>
      <c r="T958" s="706">
        <v>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G65413</v>
      </c>
      <c r="AK958" s="905" t="str">
        <f t="shared" si="93"/>
        <v>COUT -MULTI PROTECT USAGE</v>
      </c>
      <c r="AL958" s="905">
        <f>IFERROR(INDEX(G958:R958,1,MATCH(Parametres!$B$3,G$1:R$1,0)-1)*IF(OR(F958="L",F958="S",F958="I"),-1,1),"")</f>
        <v>0</v>
      </c>
      <c r="AM958" s="905">
        <f t="shared" si="94"/>
        <v>0</v>
      </c>
      <c r="AN958" s="905">
        <f>INDEX(G958:R958,1,MATCH(Parametres!$B$3,G$1:R$1,0))*IF(OR(F958="L",F958="S",F958="I"),-1,1)</f>
        <v>0</v>
      </c>
      <c r="AO958" s="487" t="e">
        <f>+VLOOKUP($AJ958,Data_Validation!$A:$D,1,0)</f>
        <v>#N/A</v>
      </c>
      <c r="AP958" s="487" t="e">
        <f>+VLOOKUP($AJ958,Data_Validation!$A:$D,3,0)</f>
        <v>#N/A</v>
      </c>
      <c r="AQ958" s="487" t="e">
        <f>+VLOOKUP($AJ958,Data_Validation!$A:$D,4,0)</f>
        <v>#N/A</v>
      </c>
      <c r="AR958" s="487" t="s">
        <v>299</v>
      </c>
      <c r="AS958" s="487" t="e">
        <f>+VLOOKUP($AJ958,Data_Validation!$A:$E,5,0)</f>
        <v>#N/A</v>
      </c>
      <c r="AT958" s="904" t="str">
        <f t="shared" si="95"/>
        <v>G65413</v>
      </c>
      <c r="AU958" s="488" t="str">
        <f t="shared" si="96"/>
        <v>COUT -MULTI PROTECT USAGE</v>
      </c>
      <c r="AV958" s="899">
        <f>IFERROR(INDEX(V958:AG958,1,MATCH(Parametres!$B$3,V$1:AG$1,0)-1)*IF(OR(C958="L",C958="S",C958="I"),-1,1),"")</f>
        <v>0</v>
      </c>
      <c r="AW958" s="899">
        <f t="shared" si="97"/>
        <v>0</v>
      </c>
      <c r="AX958" s="899">
        <f>INDEX(V958:AG958,1,MATCH(Parametres!$B$3,V$1:AG$1,0))*IF(OR(C958="L",C958="S",C958="I"),-1,1)</f>
        <v>0</v>
      </c>
      <c r="AY958" s="487" t="s">
        <v>337</v>
      </c>
      <c r="AZ958" s="487" t="e">
        <f>+VLOOKUP($AJ958,Data_Validation!$A:$E,5,0)</f>
        <v>#N/A</v>
      </c>
    </row>
    <row r="959" spans="1:52" ht="15" hidden="1" customHeight="1">
      <c r="A959" s="706" t="s">
        <v>1148</v>
      </c>
      <c r="B959" s="706">
        <v>2026</v>
      </c>
      <c r="C959" s="706" t="s">
        <v>3539</v>
      </c>
      <c r="D959" s="706" t="s">
        <v>3540</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G65414</v>
      </c>
      <c r="AK959" s="905" t="str">
        <f t="shared" si="93"/>
        <v>COUT -PRT USURE USAGE</v>
      </c>
      <c r="AL959" s="905">
        <f>IFERROR(INDEX(G959:R959,1,MATCH(Parametres!$B$3,G$1:R$1,0)-1)*IF(OR(F959="L",F959="S",F959="I"),-1,1),"")</f>
        <v>0</v>
      </c>
      <c r="AM959" s="905">
        <f t="shared" si="94"/>
        <v>0</v>
      </c>
      <c r="AN959" s="905">
        <f>INDEX(G959:R959,1,MATCH(Parametres!$B$3,G$1:R$1,0))*IF(OR(F959="L",F959="S",F959="I"),-1,1)</f>
        <v>0</v>
      </c>
      <c r="AO959" s="487" t="e">
        <f>+VLOOKUP($AJ959,Data_Validation!$A:$D,1,0)</f>
        <v>#N/A</v>
      </c>
      <c r="AP959" s="487" t="e">
        <f>+VLOOKUP($AJ959,Data_Validation!$A:$D,3,0)</f>
        <v>#N/A</v>
      </c>
      <c r="AQ959" s="487" t="e">
        <f>+VLOOKUP($AJ959,Data_Validation!$A:$D,4,0)</f>
        <v>#N/A</v>
      </c>
      <c r="AR959" s="487" t="s">
        <v>299</v>
      </c>
      <c r="AS959" s="487" t="e">
        <f>+VLOOKUP($AJ959,Data_Validation!$A:$E,5,0)</f>
        <v>#N/A</v>
      </c>
      <c r="AT959" s="904" t="str">
        <f t="shared" si="95"/>
        <v>G65414</v>
      </c>
      <c r="AU959" s="488" t="str">
        <f t="shared" si="96"/>
        <v>COUT -PRT USURE USAGE</v>
      </c>
      <c r="AV959" s="899">
        <f>IFERROR(INDEX(V959:AG959,1,MATCH(Parametres!$B$3,V$1:AG$1,0)-1)*IF(OR(C959="L",C959="S",C959="I"),-1,1),"")</f>
        <v>0</v>
      </c>
      <c r="AW959" s="899">
        <f t="shared" si="97"/>
        <v>0</v>
      </c>
      <c r="AX959" s="899">
        <f>INDEX(V959:AG959,1,MATCH(Parametres!$B$3,V$1:AG$1,0))*IF(OR(C959="L",C959="S",C959="I"),-1,1)</f>
        <v>0</v>
      </c>
      <c r="AY959" s="487" t="s">
        <v>337</v>
      </c>
      <c r="AZ959" s="487" t="e">
        <f>+VLOOKUP($AJ959,Data_Validation!$A:$E,5,0)</f>
        <v>#N/A</v>
      </c>
    </row>
    <row r="960" spans="1:52" ht="15" hidden="1" customHeight="1">
      <c r="A960" s="706" t="s">
        <v>1148</v>
      </c>
      <c r="B960" s="706">
        <v>2026</v>
      </c>
      <c r="C960" s="706" t="s">
        <v>2820</v>
      </c>
      <c r="D960" s="706" t="s">
        <v>2821</v>
      </c>
      <c r="E960" s="706" t="s">
        <v>1143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G65500</v>
      </c>
      <c r="AK960" s="905" t="str">
        <f t="shared" si="93"/>
        <v>RETOUR DE LOCATION-COUT</v>
      </c>
      <c r="AL960" s="905">
        <f>IFERROR(INDEX(G960:R960,1,MATCH(Parametres!$B$3,G$1:R$1,0)-1)*IF(OR(F960="L",F960="S",F960="I"),-1,1),"")</f>
        <v>0</v>
      </c>
      <c r="AM960" s="905">
        <f t="shared" si="94"/>
        <v>0</v>
      </c>
      <c r="AN960" s="905">
        <f>INDEX(G960:R960,1,MATCH(Parametres!$B$3,G$1:R$1,0))*IF(OR(F960="L",F960="S",F960="I"),-1,1)</f>
        <v>0</v>
      </c>
      <c r="AO960" s="487" t="str">
        <f>+VLOOKUP($AJ960,Data_Validation!$A:$D,1,0)</f>
        <v>G65500</v>
      </c>
      <c r="AP960" s="487" t="str">
        <f>+VLOOKUP($AJ960,Data_Validation!$A:$D,3,0)</f>
        <v>Véhicules usagés</v>
      </c>
      <c r="AQ960" s="487" t="str">
        <f>+VLOOKUP($AJ960,Data_Validation!$A:$D,4,0)</f>
        <v>Rev. Protections</v>
      </c>
      <c r="AR960" s="487" t="s">
        <v>299</v>
      </c>
      <c r="AS960" s="487">
        <f>+VLOOKUP($AJ960,Data_Validation!$A:$E,5,0)</f>
        <v>0</v>
      </c>
      <c r="AT960" s="904" t="str">
        <f t="shared" si="95"/>
        <v>G65500</v>
      </c>
      <c r="AU960" s="488" t="str">
        <f t="shared" si="96"/>
        <v>RETOUR DE LOCATION-COUT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hidden="1" customHeight="1">
      <c r="A961" s="706" t="s">
        <v>1148</v>
      </c>
      <c r="B961" s="706">
        <v>2026</v>
      </c>
      <c r="C961" s="706" t="s">
        <v>3541</v>
      </c>
      <c r="D961" s="706" t="s">
        <v>3542</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G65510</v>
      </c>
      <c r="AK961" s="905" t="str">
        <f t="shared" si="93"/>
        <v>COUT -PRT SERV VEH USAGE</v>
      </c>
      <c r="AL961" s="905">
        <f>IFERROR(INDEX(G961:R961,1,MATCH(Parametres!$B$3,G$1:R$1,0)-1)*IF(OR(F961="L",F961="S",F961="I"),-1,1),"")</f>
        <v>0</v>
      </c>
      <c r="AM961" s="905">
        <f t="shared" si="94"/>
        <v>0</v>
      </c>
      <c r="AN961" s="905">
        <f>INDEX(G961:R961,1,MATCH(Parametres!$B$3,G$1:R$1,0))*IF(OR(F961="L",F961="S",F961="I"),-1,1)</f>
        <v>0</v>
      </c>
      <c r="AO961" s="487" t="e">
        <f>+VLOOKUP($AJ961,Data_Validation!$A:$D,1,0)</f>
        <v>#N/A</v>
      </c>
      <c r="AP961" s="487" t="e">
        <f>+VLOOKUP($AJ961,Data_Validation!$A:$D,3,0)</f>
        <v>#N/A</v>
      </c>
      <c r="AQ961" s="487" t="e">
        <f>+VLOOKUP($AJ961,Data_Validation!$A:$D,4,0)</f>
        <v>#N/A</v>
      </c>
      <c r="AR961" s="487" t="s">
        <v>299</v>
      </c>
      <c r="AS961" s="487" t="e">
        <f>+VLOOKUP($AJ961,Data_Validation!$A:$E,5,0)</f>
        <v>#N/A</v>
      </c>
      <c r="AT961" s="904" t="str">
        <f t="shared" si="95"/>
        <v>G65510</v>
      </c>
      <c r="AU961" s="488" t="str">
        <f t="shared" si="96"/>
        <v>COUT -PRT SERV VEH USAGE</v>
      </c>
      <c r="AV961" s="899">
        <f>IFERROR(INDEX(V961:AG961,1,MATCH(Parametres!$B$3,V$1:AG$1,0)-1)*IF(OR(C961="L",C961="S",C961="I"),-1,1),"")</f>
        <v>0</v>
      </c>
      <c r="AW961" s="899">
        <f t="shared" si="97"/>
        <v>0</v>
      </c>
      <c r="AX961" s="899">
        <f>INDEX(V961:AG961,1,MATCH(Parametres!$B$3,V$1:AG$1,0))*IF(OR(C961="L",C961="S",C961="I"),-1,1)</f>
        <v>0</v>
      </c>
      <c r="AY961" s="487" t="s">
        <v>337</v>
      </c>
      <c r="AZ961" s="487" t="e">
        <f>+VLOOKUP($AJ961,Data_Validation!$A:$E,5,0)</f>
        <v>#N/A</v>
      </c>
    </row>
    <row r="962" spans="1:52" ht="15" hidden="1" customHeight="1">
      <c r="A962" s="706" t="s">
        <v>1148</v>
      </c>
      <c r="B962" s="706">
        <v>2026</v>
      </c>
      <c r="C962" s="706" t="s">
        <v>3543</v>
      </c>
      <c r="D962" s="706" t="s">
        <v>3544</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G65511</v>
      </c>
      <c r="AK962" s="905" t="str">
        <f t="shared" si="93"/>
        <v>COUT -PRT PNEUS -JA USAGE</v>
      </c>
      <c r="AL962" s="905">
        <f>IFERROR(INDEX(G962:R962,1,MATCH(Parametres!$B$3,G$1:R$1,0)-1)*IF(OR(F962="L",F962="S",F962="I"),-1,1),"")</f>
        <v>0</v>
      </c>
      <c r="AM962" s="905">
        <f t="shared" si="94"/>
        <v>0</v>
      </c>
      <c r="AN962" s="905">
        <f>INDEX(G962:R962,1,MATCH(Parametres!$B$3,G$1:R$1,0))*IF(OR(F962="L",F962="S",F962="I"),-1,1)</f>
        <v>0</v>
      </c>
      <c r="AO962" s="487" t="e">
        <f>+VLOOKUP($AJ962,Data_Validation!$A:$D,1,0)</f>
        <v>#N/A</v>
      </c>
      <c r="AP962" s="487" t="e">
        <f>+VLOOKUP($AJ962,Data_Validation!$A:$D,3,0)</f>
        <v>#N/A</v>
      </c>
      <c r="AQ962" s="487" t="e">
        <f>+VLOOKUP($AJ962,Data_Validation!$A:$D,4,0)</f>
        <v>#N/A</v>
      </c>
      <c r="AR962" s="487" t="s">
        <v>299</v>
      </c>
      <c r="AS962" s="487" t="e">
        <f>+VLOOKUP($AJ962,Data_Validation!$A:$E,5,0)</f>
        <v>#N/A</v>
      </c>
      <c r="AT962" s="904" t="str">
        <f t="shared" si="95"/>
        <v>G65511</v>
      </c>
      <c r="AU962" s="488" t="str">
        <f t="shared" si="96"/>
        <v>COUT -PRT PNEUS -JA USAGE</v>
      </c>
      <c r="AV962" s="899">
        <f>IFERROR(INDEX(V962:AG962,1,MATCH(Parametres!$B$3,V$1:AG$1,0)-1)*IF(OR(C962="L",C962="S",C962="I"),-1,1),"")</f>
        <v>0</v>
      </c>
      <c r="AW962" s="899">
        <f t="shared" si="97"/>
        <v>0</v>
      </c>
      <c r="AX962" s="899">
        <f>INDEX(V962:AG962,1,MATCH(Parametres!$B$3,V$1:AG$1,0))*IF(OR(C962="L",C962="S",C962="I"),-1,1)</f>
        <v>0</v>
      </c>
      <c r="AY962" s="487" t="s">
        <v>337</v>
      </c>
      <c r="AZ962" s="487" t="e">
        <f>+VLOOKUP($AJ962,Data_Validation!$A:$E,5,0)</f>
        <v>#N/A</v>
      </c>
    </row>
    <row r="963" spans="1:52" ht="15" hidden="1" customHeight="1">
      <c r="A963" s="706" t="s">
        <v>1148</v>
      </c>
      <c r="B963" s="706">
        <v>2026</v>
      </c>
      <c r="C963" s="706" t="s">
        <v>3545</v>
      </c>
      <c r="D963" s="706" t="s">
        <v>3546</v>
      </c>
      <c r="E963" s="706" t="s">
        <v>333</v>
      </c>
      <c r="F963" s="706" t="s">
        <v>1152</v>
      </c>
      <c r="G963" s="706">
        <v>0</v>
      </c>
      <c r="H963" s="706">
        <v>0</v>
      </c>
      <c r="I963" s="706">
        <v>0</v>
      </c>
      <c r="J963" s="706">
        <v>0</v>
      </c>
      <c r="K963" s="706">
        <v>0</v>
      </c>
      <c r="L963" s="706">
        <v>0</v>
      </c>
      <c r="M963" s="706">
        <v>0</v>
      </c>
      <c r="N963" s="706">
        <v>0</v>
      </c>
      <c r="O963" s="706">
        <v>0</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G65512</v>
      </c>
      <c r="AK963" s="905" t="str">
        <f t="shared" si="93"/>
        <v>COUT -PRT PERTE TOT USAGE</v>
      </c>
      <c r="AL963" s="905">
        <f>IFERROR(INDEX(G963:R963,1,MATCH(Parametres!$B$3,G$1:R$1,0)-1)*IF(OR(F963="L",F963="S",F963="I"),-1,1),"")</f>
        <v>0</v>
      </c>
      <c r="AM963" s="905">
        <f t="shared" si="94"/>
        <v>0</v>
      </c>
      <c r="AN963" s="905">
        <f>INDEX(G963:R963,1,MATCH(Parametres!$B$3,G$1:R$1,0))*IF(OR(F963="L",F963="S",F963="I"),-1,1)</f>
        <v>0</v>
      </c>
      <c r="AO963" s="487" t="e">
        <f>+VLOOKUP($AJ963,Data_Validation!$A:$D,1,0)</f>
        <v>#N/A</v>
      </c>
      <c r="AP963" s="487" t="e">
        <f>+VLOOKUP($AJ963,Data_Validation!$A:$D,3,0)</f>
        <v>#N/A</v>
      </c>
      <c r="AQ963" s="487" t="e">
        <f>+VLOOKUP($AJ963,Data_Validation!$A:$D,4,0)</f>
        <v>#N/A</v>
      </c>
      <c r="AR963" s="487" t="s">
        <v>299</v>
      </c>
      <c r="AS963" s="487" t="e">
        <f>+VLOOKUP($AJ963,Data_Validation!$A:$E,5,0)</f>
        <v>#N/A</v>
      </c>
      <c r="AT963" s="904" t="str">
        <f t="shared" si="95"/>
        <v>G65512</v>
      </c>
      <c r="AU963" s="488" t="str">
        <f t="shared" si="96"/>
        <v>COUT -PRT PERTE TOT USAGE</v>
      </c>
      <c r="AV963" s="899">
        <f>IFERROR(INDEX(V963:AG963,1,MATCH(Parametres!$B$3,V$1:AG$1,0)-1)*IF(OR(C963="L",C963="S",C963="I"),-1,1),"")</f>
        <v>0</v>
      </c>
      <c r="AW963" s="899">
        <f t="shared" si="97"/>
        <v>0</v>
      </c>
      <c r="AX963" s="899">
        <f>INDEX(V963:AG963,1,MATCH(Parametres!$B$3,V$1:AG$1,0))*IF(OR(C963="L",C963="S",C963="I"),-1,1)</f>
        <v>0</v>
      </c>
      <c r="AY963" s="487" t="s">
        <v>337</v>
      </c>
      <c r="AZ963" s="487" t="e">
        <f>+VLOOKUP($AJ963,Data_Validation!$A:$E,5,0)</f>
        <v>#N/A</v>
      </c>
    </row>
    <row r="964" spans="1:52" ht="15" hidden="1" customHeight="1">
      <c r="A964" s="706" t="s">
        <v>1148</v>
      </c>
      <c r="B964" s="706">
        <v>2026</v>
      </c>
      <c r="C964" s="706" t="s">
        <v>3547</v>
      </c>
      <c r="D964" s="706" t="s">
        <v>3548</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G65513</v>
      </c>
      <c r="AK964" s="905" t="str">
        <f t="shared" si="93"/>
        <v>COUT -PRT REMPL CLE-USAGE</v>
      </c>
      <c r="AL964" s="905">
        <f>IFERROR(INDEX(G964:R964,1,MATCH(Parametres!$B$3,G$1:R$1,0)-1)*IF(OR(F964="L",F964="S",F964="I"),-1,1),"")</f>
        <v>0</v>
      </c>
      <c r="AM964" s="905">
        <f t="shared" si="94"/>
        <v>0</v>
      </c>
      <c r="AN964" s="905">
        <f>INDEX(G964:R964,1,MATCH(Parametres!$B$3,G$1:R$1,0))*IF(OR(F964="L",F964="S",F964="I"),-1,1)</f>
        <v>0</v>
      </c>
      <c r="AO964" s="487" t="e">
        <f>+VLOOKUP($AJ964,Data_Validation!$A:$D,1,0)</f>
        <v>#N/A</v>
      </c>
      <c r="AP964" s="487" t="e">
        <f>+VLOOKUP($AJ964,Data_Validation!$A:$D,3,0)</f>
        <v>#N/A</v>
      </c>
      <c r="AQ964" s="487" t="e">
        <f>+VLOOKUP($AJ964,Data_Validation!$A:$D,4,0)</f>
        <v>#N/A</v>
      </c>
      <c r="AR964" s="487" t="s">
        <v>299</v>
      </c>
      <c r="AS964" s="487" t="e">
        <f>+VLOOKUP($AJ964,Data_Validation!$A:$E,5,0)</f>
        <v>#N/A</v>
      </c>
      <c r="AT964" s="904" t="str">
        <f t="shared" si="95"/>
        <v>G65513</v>
      </c>
      <c r="AU964" s="488" t="str">
        <f t="shared" si="96"/>
        <v>COUT -PRT REMPL CLE-USAGE</v>
      </c>
      <c r="AV964" s="899">
        <f>IFERROR(INDEX(V964:AG964,1,MATCH(Parametres!$B$3,V$1:AG$1,0)-1)*IF(OR(C964="L",C964="S",C964="I"),-1,1),"")</f>
        <v>0</v>
      </c>
      <c r="AW964" s="899">
        <f t="shared" si="97"/>
        <v>0</v>
      </c>
      <c r="AX964" s="899">
        <f>INDEX(V964:AG964,1,MATCH(Parametres!$B$3,V$1:AG$1,0))*IF(OR(C964="L",C964="S",C964="I"),-1,1)</f>
        <v>0</v>
      </c>
      <c r="AY964" s="487" t="s">
        <v>337</v>
      </c>
      <c r="AZ964" s="487" t="e">
        <f>+VLOOKUP($AJ964,Data_Validation!$A:$E,5,0)</f>
        <v>#N/A</v>
      </c>
    </row>
    <row r="965" spans="1:52" ht="15" hidden="1" customHeight="1">
      <c r="A965" s="706" t="s">
        <v>1148</v>
      </c>
      <c r="B965" s="706">
        <v>2026</v>
      </c>
      <c r="C965" s="706" t="s">
        <v>2822</v>
      </c>
      <c r="D965" s="706" t="s">
        <v>2823</v>
      </c>
      <c r="E965" s="706" t="s">
        <v>333</v>
      </c>
      <c r="F965" s="706" t="s">
        <v>1152</v>
      </c>
      <c r="G965" s="706">
        <v>1523.9</v>
      </c>
      <c r="H965" s="706">
        <v>1523.9</v>
      </c>
      <c r="I965" s="706">
        <v>2473.8000000000002</v>
      </c>
      <c r="J965" s="706">
        <v>2473.8000000000002</v>
      </c>
      <c r="K965" s="706">
        <v>2473.8000000000002</v>
      </c>
      <c r="L965" s="706">
        <v>2473.8000000000002</v>
      </c>
      <c r="M965" s="706">
        <v>2473.8000000000002</v>
      </c>
      <c r="N965" s="706">
        <v>6127.8</v>
      </c>
      <c r="O965" s="706">
        <v>6127.8</v>
      </c>
      <c r="P965" s="706">
        <v>6127.8</v>
      </c>
      <c r="Q965" s="706">
        <v>0</v>
      </c>
      <c r="R965" s="706">
        <v>0</v>
      </c>
      <c r="S965" s="706">
        <v>680.87</v>
      </c>
      <c r="T965" s="706">
        <v>680.87</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G65600</v>
      </c>
      <c r="AK965" s="905" t="str">
        <f t="shared" si="93"/>
        <v>COUT-REMPLACEMENT USAGES</v>
      </c>
      <c r="AL965" s="905">
        <f>IFERROR(INDEX(G965:R965,1,MATCH(Parametres!$B$3,G$1:R$1,0)-1)*IF(OR(F965="L",F965="S",F965="I"),-1,1),"")</f>
        <v>6127.8</v>
      </c>
      <c r="AM965" s="905">
        <f t="shared" si="94"/>
        <v>0</v>
      </c>
      <c r="AN965" s="905">
        <f>INDEX(G965:R965,1,MATCH(Parametres!$B$3,G$1:R$1,0))*IF(OR(F965="L",F965="S",F965="I"),-1,1)</f>
        <v>6127.8</v>
      </c>
      <c r="AO965" s="487" t="str">
        <f>+VLOOKUP($AJ965,Data_Validation!$A:$D,1,0)</f>
        <v>G65600</v>
      </c>
      <c r="AP965" s="487" t="str">
        <f>+VLOOKUP($AJ965,Data_Validation!$A:$D,3,0)</f>
        <v>Véhicules usagés</v>
      </c>
      <c r="AQ965" s="487" t="str">
        <f>+VLOOKUP($AJ965,Data_Validation!$A:$D,4,0)</f>
        <v>Rev. Protections</v>
      </c>
      <c r="AR965" s="487" t="s">
        <v>299</v>
      </c>
      <c r="AS965" s="487">
        <f>+VLOOKUP($AJ965,Data_Validation!$A:$E,5,0)</f>
        <v>0</v>
      </c>
      <c r="AT965" s="904" t="str">
        <f t="shared" si="95"/>
        <v>G65600</v>
      </c>
      <c r="AU965" s="488" t="str">
        <f t="shared" si="96"/>
        <v>COUT-REMPLACEMENT USAGES</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2824</v>
      </c>
      <c r="D966" s="706" t="s">
        <v>2825</v>
      </c>
      <c r="E966" s="706" t="s">
        <v>1152</v>
      </c>
      <c r="F966" s="706" t="s">
        <v>1152</v>
      </c>
      <c r="G966" s="706">
        <v>0</v>
      </c>
      <c r="H966" s="706">
        <v>11481.43</v>
      </c>
      <c r="I966" s="706">
        <v>11481.43</v>
      </c>
      <c r="J966" s="706">
        <v>11481.43</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G65601</v>
      </c>
      <c r="AK966" s="905" t="str">
        <f t="shared" si="93"/>
        <v>COUT VEH U.S.A</v>
      </c>
      <c r="AL966" s="905">
        <f>IFERROR(INDEX(G966:R966,1,MATCH(Parametres!$B$3,G$1:R$1,0)-1)*IF(OR(F966="L",F966="S",F966="I"),-1,1),"")</f>
        <v>0</v>
      </c>
      <c r="AM966" s="905">
        <f t="shared" si="94"/>
        <v>0</v>
      </c>
      <c r="AN966" s="905">
        <f>INDEX(G966:R966,1,MATCH(Parametres!$B$3,G$1:R$1,0))*IF(OR(F966="L",F966="S",F966="I"),-1,1)</f>
        <v>0</v>
      </c>
      <c r="AO966" s="487" t="str">
        <f>+VLOOKUP($AJ966,Data_Validation!$A:$D,1,0)</f>
        <v>G65601</v>
      </c>
      <c r="AP966" s="487" t="str">
        <f>+VLOOKUP($AJ966,Data_Validation!$A:$D,3,0)</f>
        <v>Wholesale autres</v>
      </c>
      <c r="AQ966" s="487" t="str">
        <f>+VLOOKUP($AJ966,Data_Validation!$A:$D,4,0)</f>
        <v>Wholesale USA</v>
      </c>
      <c r="AR966" s="487" t="s">
        <v>299</v>
      </c>
      <c r="AS966" s="487">
        <f>+VLOOKUP($AJ966,Data_Validation!$A:$E,5,0)</f>
        <v>0</v>
      </c>
      <c r="AT966" s="904" t="str">
        <f t="shared" si="95"/>
        <v>G65601</v>
      </c>
      <c r="AU966" s="488" t="str">
        <f t="shared" si="96"/>
        <v>COUT VEH U.S.A</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2826</v>
      </c>
      <c r="D967" s="706" t="s">
        <v>2827</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G65602</v>
      </c>
      <c r="AK967" s="905" t="str">
        <f t="shared" si="93"/>
        <v>COUT VENTE USA -AJUSTMENT</v>
      </c>
      <c r="AL967" s="905">
        <f>IFERROR(INDEX(G967:R967,1,MATCH(Parametres!$B$3,G$1:R$1,0)-1)*IF(OR(F967="L",F967="S",F967="I"),-1,1),"")</f>
        <v>0</v>
      </c>
      <c r="AM967" s="905">
        <f t="shared" si="94"/>
        <v>0</v>
      </c>
      <c r="AN967" s="905">
        <f>INDEX(G967:R967,1,MATCH(Parametres!$B$3,G$1:R$1,0))*IF(OR(F967="L",F967="S",F967="I"),-1,1)</f>
        <v>0</v>
      </c>
      <c r="AO967" s="487" t="str">
        <f>+VLOOKUP($AJ967,Data_Validation!$A:$D,1,0)</f>
        <v>G65602</v>
      </c>
      <c r="AP967" s="487" t="str">
        <f>+VLOOKUP($AJ967,Data_Validation!$A:$D,3,0)</f>
        <v>Wholesale autres</v>
      </c>
      <c r="AQ967" s="487" t="str">
        <f>+VLOOKUP($AJ967,Data_Validation!$A:$D,4,0)</f>
        <v>Wholesale USA</v>
      </c>
      <c r="AR967" s="487" t="s">
        <v>299</v>
      </c>
      <c r="AS967" s="487">
        <f>+VLOOKUP($AJ967,Data_Validation!$A:$E,5,0)</f>
        <v>0</v>
      </c>
      <c r="AT967" s="904" t="str">
        <f t="shared" si="95"/>
        <v>G65602</v>
      </c>
      <c r="AU967" s="488" t="str">
        <f t="shared" si="96"/>
        <v>COUT VENTE USA -AJUSTMENT</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2828</v>
      </c>
      <c r="D968" s="706" t="s">
        <v>2829</v>
      </c>
      <c r="E968" s="706" t="s">
        <v>1143</v>
      </c>
      <c r="F968" s="706" t="s">
        <v>1152</v>
      </c>
      <c r="G968" s="706">
        <v>1824174.62</v>
      </c>
      <c r="H968" s="706">
        <v>3633133.52</v>
      </c>
      <c r="I968" s="706">
        <v>7320041.8700000001</v>
      </c>
      <c r="J968" s="706">
        <v>11569668.59</v>
      </c>
      <c r="K968" s="706">
        <v>14808103.08</v>
      </c>
      <c r="L968" s="706">
        <v>17839502.09</v>
      </c>
      <c r="M968" s="706">
        <v>19917424.07</v>
      </c>
      <c r="N968" s="706">
        <v>23522381.239999998</v>
      </c>
      <c r="O968" s="706">
        <v>24151761.039999999</v>
      </c>
      <c r="P968" s="706">
        <v>24151760.59</v>
      </c>
      <c r="Q968" s="706">
        <v>0</v>
      </c>
      <c r="R968" s="706">
        <v>0</v>
      </c>
      <c r="S968" s="706">
        <v>2683529</v>
      </c>
      <c r="T968" s="706">
        <v>2683529</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G65603</v>
      </c>
      <c r="AK968" s="905" t="str">
        <f t="shared" si="93"/>
        <v>COUTANT VENTES USA</v>
      </c>
      <c r="AL968" s="905">
        <f>IFERROR(INDEX(G968:R968,1,MATCH(Parametres!$B$3,G$1:R$1,0)-1)*IF(OR(F968="L",F968="S",F968="I"),-1,1),"")</f>
        <v>23522381.239999998</v>
      </c>
      <c r="AM968" s="905">
        <f t="shared" si="94"/>
        <v>629379.80000000075</v>
      </c>
      <c r="AN968" s="905">
        <f>INDEX(G968:R968,1,MATCH(Parametres!$B$3,G$1:R$1,0))*IF(OR(F968="L",F968="S",F968="I"),-1,1)</f>
        <v>24151761.039999999</v>
      </c>
      <c r="AO968" s="487" t="str">
        <f>+VLOOKUP($AJ968,Data_Validation!$A:$D,1,0)</f>
        <v>G65603</v>
      </c>
      <c r="AP968" s="487" t="str">
        <f>+VLOOKUP($AJ968,Data_Validation!$A:$D,3,0)</f>
        <v>Wholesale autres</v>
      </c>
      <c r="AQ968" s="487" t="str">
        <f>+VLOOKUP($AJ968,Data_Validation!$A:$D,4,0)</f>
        <v>Wholesale USA</v>
      </c>
      <c r="AR968" s="487" t="s">
        <v>299</v>
      </c>
      <c r="AS968" s="487">
        <f>+VLOOKUP($AJ968,Data_Validation!$A:$E,5,0)</f>
        <v>0</v>
      </c>
      <c r="AT968" s="904" t="str">
        <f t="shared" si="95"/>
        <v>G65603</v>
      </c>
      <c r="AU968" s="488" t="str">
        <f t="shared" si="96"/>
        <v>COUTANT VENTES USA</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2830</v>
      </c>
      <c r="D969" s="706" t="s">
        <v>2831</v>
      </c>
      <c r="E969" s="706" t="s">
        <v>1143</v>
      </c>
      <c r="F969" s="706" t="s">
        <v>1152</v>
      </c>
      <c r="G969" s="706">
        <v>0</v>
      </c>
      <c r="H969" s="706">
        <v>0</v>
      </c>
      <c r="I969" s="706">
        <v>0</v>
      </c>
      <c r="J969" s="706">
        <v>0</v>
      </c>
      <c r="K969" s="706">
        <v>3688515.75</v>
      </c>
      <c r="L969" s="706">
        <v>5629910.8300000001</v>
      </c>
      <c r="M969" s="706">
        <v>7128148.5800000001</v>
      </c>
      <c r="N969" s="706">
        <v>8932635.0700000003</v>
      </c>
      <c r="O969" s="706">
        <v>10295803.07</v>
      </c>
      <c r="P969" s="706">
        <v>10360303.07</v>
      </c>
      <c r="Q969" s="706">
        <v>0</v>
      </c>
      <c r="R969" s="706">
        <v>0</v>
      </c>
      <c r="S969" s="706">
        <v>1143978.1200000001</v>
      </c>
      <c r="T969" s="706">
        <v>1143978.1200000001</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G656031</v>
      </c>
      <c r="AK969" s="905" t="str">
        <f t="shared" si="93"/>
        <v>COUT VENTES INTERCO USA</v>
      </c>
      <c r="AL969" s="905">
        <f>IFERROR(INDEX(G969:R969,1,MATCH(Parametres!$B$3,G$1:R$1,0)-1)*IF(OR(F969="L",F969="S",F969="I"),-1,1),"")</f>
        <v>8932635.0700000003</v>
      </c>
      <c r="AM969" s="905">
        <f t="shared" si="94"/>
        <v>1363168</v>
      </c>
      <c r="AN969" s="905">
        <f>INDEX(G969:R969,1,MATCH(Parametres!$B$3,G$1:R$1,0))*IF(OR(F969="L",F969="S",F969="I"),-1,1)</f>
        <v>10295803.07</v>
      </c>
      <c r="AO969" s="487" t="str">
        <f>+VLOOKUP($AJ969,Data_Validation!$A:$D,1,0)</f>
        <v>G656031</v>
      </c>
      <c r="AP969" s="487">
        <f>+VLOOKUP($AJ969,Data_Validation!$A:$D,3,0)</f>
        <v>0</v>
      </c>
      <c r="AQ969" s="487">
        <f>+VLOOKUP($AJ969,Data_Validation!$A:$D,4,0)</f>
        <v>0</v>
      </c>
      <c r="AR969" s="487" t="s">
        <v>299</v>
      </c>
      <c r="AS969" s="487">
        <f>+VLOOKUP($AJ969,Data_Validation!$A:$E,5,0)</f>
        <v>0</v>
      </c>
      <c r="AT969" s="904" t="str">
        <f t="shared" si="95"/>
        <v>G656031</v>
      </c>
      <c r="AU969" s="488" t="str">
        <f t="shared" si="96"/>
        <v>COUT VENTES INTERCO USA</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2832</v>
      </c>
      <c r="D970" s="706" t="s">
        <v>2833</v>
      </c>
      <c r="E970" s="706" t="s">
        <v>1143</v>
      </c>
      <c r="F970" s="706" t="s">
        <v>1152</v>
      </c>
      <c r="G970" s="706">
        <v>0</v>
      </c>
      <c r="H970" s="706">
        <v>0</v>
      </c>
      <c r="I970" s="706">
        <v>0</v>
      </c>
      <c r="J970" s="706">
        <v>0</v>
      </c>
      <c r="K970" s="706">
        <v>7618583.3200000003</v>
      </c>
      <c r="L970" s="706">
        <v>8208159.9699999997</v>
      </c>
      <c r="M970" s="706">
        <v>9019416.5299999993</v>
      </c>
      <c r="N970" s="706">
        <v>9918803.9800000004</v>
      </c>
      <c r="O970" s="706">
        <v>10465603.810000001</v>
      </c>
      <c r="P970" s="706">
        <v>10522116.359999999</v>
      </c>
      <c r="Q970" s="706">
        <v>0</v>
      </c>
      <c r="R970" s="706">
        <v>0</v>
      </c>
      <c r="S970" s="706">
        <v>1162844.8700000001</v>
      </c>
      <c r="T970" s="706">
        <v>1162844.8700000001</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G65605</v>
      </c>
      <c r="AK970" s="905" t="str">
        <f t="shared" si="93"/>
        <v>COUT VENTE WHL CANADA</v>
      </c>
      <c r="AL970" s="905">
        <f>IFERROR(INDEX(G970:R970,1,MATCH(Parametres!$B$3,G$1:R$1,0)-1)*IF(OR(F970="L",F970="S",F970="I"),-1,1),"")</f>
        <v>9918803.9800000004</v>
      </c>
      <c r="AM970" s="905">
        <f t="shared" si="94"/>
        <v>546799.83000000007</v>
      </c>
      <c r="AN970" s="905">
        <f>INDEX(G970:R970,1,MATCH(Parametres!$B$3,G$1:R$1,0))*IF(OR(F970="L",F970="S",F970="I"),-1,1)</f>
        <v>10465603.810000001</v>
      </c>
      <c r="AO970" s="487" t="str">
        <f>+VLOOKUP($AJ970,Data_Validation!$A:$D,1,0)</f>
        <v>G65605</v>
      </c>
      <c r="AP970" s="487" t="str">
        <f>+VLOOKUP($AJ970,Data_Validation!$A:$D,3,0)</f>
        <v>Wholesale autres</v>
      </c>
      <c r="AQ970" s="487" t="str">
        <f>+VLOOKUP($AJ970,Data_Validation!$A:$D,4,0)</f>
        <v>Wholesale Canada</v>
      </c>
      <c r="AR970" s="487" t="s">
        <v>299</v>
      </c>
      <c r="AS970" s="487">
        <f>+VLOOKUP($AJ970,Data_Validation!$A:$E,5,0)</f>
        <v>0</v>
      </c>
      <c r="AT970" s="904" t="str">
        <f t="shared" si="95"/>
        <v>G65605</v>
      </c>
      <c r="AU970" s="488" t="str">
        <f t="shared" si="96"/>
        <v>COUT VENTE WHL CANADA</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2834</v>
      </c>
      <c r="D971" s="706" t="s">
        <v>2835</v>
      </c>
      <c r="E971" s="706" t="s">
        <v>333</v>
      </c>
      <c r="F971" s="706" t="s">
        <v>1152</v>
      </c>
      <c r="G971" s="706">
        <v>13446.01</v>
      </c>
      <c r="H971" s="706">
        <v>29099.53</v>
      </c>
      <c r="I971" s="706">
        <v>45415.22</v>
      </c>
      <c r="J971" s="706">
        <v>64137.919999999998</v>
      </c>
      <c r="K971" s="706">
        <v>77049</v>
      </c>
      <c r="L971" s="706">
        <v>93388.15</v>
      </c>
      <c r="M971" s="706">
        <v>110506.13</v>
      </c>
      <c r="N971" s="706">
        <v>123975</v>
      </c>
      <c r="O971" s="706">
        <v>139320.18</v>
      </c>
      <c r="P971" s="706">
        <v>141662.32999999999</v>
      </c>
      <c r="Q971" s="706">
        <v>0</v>
      </c>
      <c r="R971" s="706">
        <v>0</v>
      </c>
      <c r="S971" s="706">
        <v>15480.02</v>
      </c>
      <c r="T971" s="706">
        <v>15480.02</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G66010</v>
      </c>
      <c r="AK971" s="905" t="str">
        <f t="shared" si="93"/>
        <v>COUT CLIENT VOIT CAM LEG.</v>
      </c>
      <c r="AL971" s="905">
        <f>IFERROR(INDEX(G971:R971,1,MATCH(Parametres!$B$3,G$1:R$1,0)-1)*IF(OR(F971="L",F971="S",F971="I"),-1,1),"")</f>
        <v>123975</v>
      </c>
      <c r="AM971" s="905">
        <f t="shared" si="94"/>
        <v>15345.179999999993</v>
      </c>
      <c r="AN971" s="905">
        <f>INDEX(G971:R971,1,MATCH(Parametres!$B$3,G$1:R$1,0))*IF(OR(F971="L",F971="S",F971="I"),-1,1)</f>
        <v>139320.18</v>
      </c>
      <c r="AO971" s="487" t="str">
        <f>+VLOOKUP($AJ971,Data_Validation!$A:$D,1,0)</f>
        <v>G66010</v>
      </c>
      <c r="AP971" s="487" t="str">
        <f>+VLOOKUP($AJ971,Data_Validation!$A:$D,3,0)</f>
        <v>Service</v>
      </c>
      <c r="AQ971" s="487" t="str">
        <f>+VLOOKUP($AJ971,Data_Validation!$A:$D,4,0)</f>
        <v>M/O Client</v>
      </c>
      <c r="AR971" s="487" t="s">
        <v>299</v>
      </c>
      <c r="AS971" s="487">
        <f>+VLOOKUP($AJ971,Data_Validation!$A:$E,5,0)</f>
        <v>0</v>
      </c>
      <c r="AT971" s="904" t="str">
        <f t="shared" si="95"/>
        <v>G66010</v>
      </c>
      <c r="AU971" s="488" t="str">
        <f t="shared" si="96"/>
        <v>COUT CLIENT VOIT CAM LEG.</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3197</v>
      </c>
      <c r="D972" s="706" t="s">
        <v>3198</v>
      </c>
      <c r="E972" s="706" t="s">
        <v>333</v>
      </c>
      <c r="F972" s="706" t="s">
        <v>1152</v>
      </c>
      <c r="G972" s="706">
        <v>0</v>
      </c>
      <c r="H972" s="706">
        <v>0</v>
      </c>
      <c r="I972" s="706">
        <v>0</v>
      </c>
      <c r="J972" s="706">
        <v>0</v>
      </c>
      <c r="K972" s="706">
        <v>0</v>
      </c>
      <c r="L972" s="706">
        <v>3.25</v>
      </c>
      <c r="M972" s="706">
        <v>3.25</v>
      </c>
      <c r="N972" s="706">
        <v>71.05</v>
      </c>
      <c r="O972" s="706">
        <v>71.05</v>
      </c>
      <c r="P972" s="706">
        <v>71.05</v>
      </c>
      <c r="Q972" s="706">
        <v>0</v>
      </c>
      <c r="R972" s="706">
        <v>0</v>
      </c>
      <c r="S972" s="706">
        <v>7.89</v>
      </c>
      <c r="T972" s="706">
        <v>7.89</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G66015</v>
      </c>
      <c r="AK972" s="905" t="str">
        <f t="shared" si="93"/>
        <v>COUT ESTHETIQUE CLIENT</v>
      </c>
      <c r="AL972" s="905">
        <f>IFERROR(INDEX(G972:R972,1,MATCH(Parametres!$B$3,G$1:R$1,0)-1)*IF(OR(F972="L",F972="S",F972="I"),-1,1),"")</f>
        <v>71.05</v>
      </c>
      <c r="AM972" s="905">
        <f t="shared" si="94"/>
        <v>0</v>
      </c>
      <c r="AN972" s="905">
        <f>INDEX(G972:R972,1,MATCH(Parametres!$B$3,G$1:R$1,0))*IF(OR(F972="L",F972="S",F972="I"),-1,1)</f>
        <v>71.05</v>
      </c>
      <c r="AO972" s="487" t="str">
        <f>+VLOOKUP($AJ972,Data_Validation!$A:$D,1,0)</f>
        <v>G66015</v>
      </c>
      <c r="AP972" s="487" t="str">
        <f>+VLOOKUP($AJ972,Data_Validation!$A:$D,3,0)</f>
        <v>Service</v>
      </c>
      <c r="AQ972" s="487" t="str">
        <f>+VLOOKUP($AJ972,Data_Validation!$A:$D,4,0)</f>
        <v>M/O Client</v>
      </c>
      <c r="AR972" s="487" t="s">
        <v>299</v>
      </c>
      <c r="AS972" s="487">
        <f>+VLOOKUP($AJ972,Data_Validation!$A:$E,5,0)</f>
        <v>0</v>
      </c>
      <c r="AT972" s="904" t="str">
        <f t="shared" si="95"/>
        <v>G66015</v>
      </c>
      <c r="AU972" s="488" t="str">
        <f t="shared" si="96"/>
        <v>COUT ESTHETIQUE CLIENT</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hidden="1" customHeight="1">
      <c r="A973" s="706" t="s">
        <v>1148</v>
      </c>
      <c r="B973" s="706">
        <v>2026</v>
      </c>
      <c r="C973" s="706" t="s">
        <v>2836</v>
      </c>
      <c r="D973" s="706" t="s">
        <v>2837</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G66020</v>
      </c>
      <c r="AK973" s="905" t="str">
        <f t="shared" si="93"/>
        <v>COUT CON.SER.VOIT CAM LEG</v>
      </c>
      <c r="AL973" s="905">
        <f>IFERROR(INDEX(G973:R973,1,MATCH(Parametres!$B$3,G$1:R$1,0)-1)*IF(OR(F973="L",F973="S",F973="I"),-1,1),"")</f>
        <v>0</v>
      </c>
      <c r="AM973" s="905">
        <f t="shared" si="94"/>
        <v>0</v>
      </c>
      <c r="AN973" s="905">
        <f>INDEX(G973:R973,1,MATCH(Parametres!$B$3,G$1:R$1,0))*IF(OR(F973="L",F973="S",F973="I"),-1,1)</f>
        <v>0</v>
      </c>
      <c r="AO973" s="487" t="str">
        <f>+VLOOKUP($AJ973,Data_Validation!$A:$D,1,0)</f>
        <v>G66020</v>
      </c>
      <c r="AP973" s="487" t="str">
        <f>+VLOOKUP($AJ973,Data_Validation!$A:$D,3,0)</f>
        <v>Service</v>
      </c>
      <c r="AQ973" s="487" t="str">
        <f>+VLOOKUP($AJ973,Data_Validation!$A:$D,4,0)</f>
        <v>M/O Garantie</v>
      </c>
      <c r="AR973" s="487" t="s">
        <v>299</v>
      </c>
      <c r="AS973" s="487">
        <f>+VLOOKUP($AJ973,Data_Validation!$A:$E,5,0)</f>
        <v>0</v>
      </c>
      <c r="AT973" s="904" t="str">
        <f t="shared" si="95"/>
        <v>G66020</v>
      </c>
      <c r="AU973" s="488" t="str">
        <f t="shared" si="96"/>
        <v>COUT CON.SER.VOIT CAM LEG</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hidden="1" customHeight="1">
      <c r="A974" s="706" t="s">
        <v>1148</v>
      </c>
      <c r="B974" s="706">
        <v>2026</v>
      </c>
      <c r="C974" s="706" t="s">
        <v>2838</v>
      </c>
      <c r="D974" s="706" t="s">
        <v>2839</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G66030</v>
      </c>
      <c r="AK974" s="905" t="str">
        <f t="shared" si="93"/>
        <v>COUT-M.D.PLAN PROT.A.AUTO</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G66030</v>
      </c>
      <c r="AU974" s="488" t="str">
        <f t="shared" si="96"/>
        <v>COUT-M.D.PLAN PROT.A.AUTO</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hidden="1" customHeight="1">
      <c r="A975" s="706" t="s">
        <v>1148</v>
      </c>
      <c r="B975" s="706">
        <v>2026</v>
      </c>
      <c r="C975" s="706" t="s">
        <v>2840</v>
      </c>
      <c r="D975" s="706" t="s">
        <v>2841</v>
      </c>
      <c r="E975" s="706" t="s">
        <v>333</v>
      </c>
      <c r="F975" s="706" t="s">
        <v>1152</v>
      </c>
      <c r="G975" s="706">
        <v>518.16</v>
      </c>
      <c r="H975" s="706">
        <v>817.18</v>
      </c>
      <c r="I975" s="706">
        <v>937.18</v>
      </c>
      <c r="J975" s="706">
        <v>1459.1</v>
      </c>
      <c r="K975" s="706">
        <v>2870.89</v>
      </c>
      <c r="L975" s="706">
        <v>3656.76</v>
      </c>
      <c r="M975" s="706">
        <v>4083.31</v>
      </c>
      <c r="N975" s="706">
        <v>4505.42</v>
      </c>
      <c r="O975" s="706">
        <v>5093.74</v>
      </c>
      <c r="P975" s="706">
        <v>5109.42</v>
      </c>
      <c r="Q975" s="706">
        <v>0</v>
      </c>
      <c r="R975" s="706">
        <v>0</v>
      </c>
      <c r="S975" s="706">
        <v>565.97</v>
      </c>
      <c r="T975" s="706">
        <v>565.97</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G66040</v>
      </c>
      <c r="AK975" s="905" t="str">
        <f t="shared" si="93"/>
        <v>COUT SER RAP.VOIT CAM LEG</v>
      </c>
      <c r="AL975" s="905">
        <f>IFERROR(INDEX(G975:R975,1,MATCH(Parametres!$B$3,G$1:R$1,0)-1)*IF(OR(F975="L",F975="S",F975="I"),-1,1),"")</f>
        <v>4505.42</v>
      </c>
      <c r="AM975" s="905">
        <f t="shared" si="94"/>
        <v>588.31999999999971</v>
      </c>
      <c r="AN975" s="905">
        <f>INDEX(G975:R975,1,MATCH(Parametres!$B$3,G$1:R$1,0))*IF(OR(F975="L",F975="S",F975="I"),-1,1)</f>
        <v>5093.74</v>
      </c>
      <c r="AO975" s="487" t="str">
        <f>+VLOOKUP($AJ975,Data_Validation!$A:$D,1,0)</f>
        <v>G66040</v>
      </c>
      <c r="AP975" s="487" t="str">
        <f>+VLOOKUP($AJ975,Data_Validation!$A:$D,3,0)</f>
        <v>Service</v>
      </c>
      <c r="AQ975" s="487" t="str">
        <f>+VLOOKUP($AJ975,Data_Validation!$A:$D,4,0)</f>
        <v>M/O Client</v>
      </c>
      <c r="AR975" s="487" t="s">
        <v>299</v>
      </c>
      <c r="AS975" s="487">
        <f>+VLOOKUP($AJ975,Data_Validation!$A:$E,5,0)</f>
        <v>0</v>
      </c>
      <c r="AT975" s="904" t="str">
        <f t="shared" si="95"/>
        <v>G66040</v>
      </c>
      <c r="AU975" s="488" t="str">
        <f t="shared" si="96"/>
        <v>COUT SER RAP.VOIT CAM LEG</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hidden="1" customHeight="1">
      <c r="A976" s="706" t="s">
        <v>1148</v>
      </c>
      <c r="B976" s="706">
        <v>2026</v>
      </c>
      <c r="C976" s="706" t="s">
        <v>3399</v>
      </c>
      <c r="D976" s="706" t="s">
        <v>3400</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G66050</v>
      </c>
      <c r="AK976" s="905" t="str">
        <f t="shared" si="93"/>
        <v>COUT M-0 ELECTRIQUE   CLT</v>
      </c>
      <c r="AL976" s="905">
        <f>IFERROR(INDEX(G976:R976,1,MATCH(Parametres!$B$3,G$1:R$1,0)-1)*IF(OR(F976="L",F976="S",F976="I"),-1,1),"")</f>
        <v>0</v>
      </c>
      <c r="AM976" s="905">
        <f t="shared" si="94"/>
        <v>0</v>
      </c>
      <c r="AN976" s="905">
        <f>INDEX(G976:R976,1,MATCH(Parametres!$B$3,G$1:R$1,0))*IF(OR(F976="L",F976="S",F976="I"),-1,1)</f>
        <v>0</v>
      </c>
      <c r="AO976" s="487" t="e">
        <f>+VLOOKUP($AJ976,Data_Validation!$A:$D,1,0)</f>
        <v>#N/A</v>
      </c>
      <c r="AP976" s="487" t="e">
        <f>+VLOOKUP($AJ976,Data_Validation!$A:$D,3,0)</f>
        <v>#N/A</v>
      </c>
      <c r="AQ976" s="487" t="e">
        <f>+VLOOKUP($AJ976,Data_Validation!$A:$D,4,0)</f>
        <v>#N/A</v>
      </c>
      <c r="AR976" s="487" t="s">
        <v>299</v>
      </c>
      <c r="AS976" s="487" t="e">
        <f>+VLOOKUP($AJ976,Data_Validation!$A:$E,5,0)</f>
        <v>#N/A</v>
      </c>
      <c r="AT976" s="904" t="str">
        <f t="shared" si="95"/>
        <v>G66050</v>
      </c>
      <c r="AU976" s="488" t="str">
        <f t="shared" si="96"/>
        <v>COUT M-0 ELECTRIQUE   CLT</v>
      </c>
      <c r="AV976" s="899">
        <f>IFERROR(INDEX(V976:AG976,1,MATCH(Parametres!$B$3,V$1:AG$1,0)-1)*IF(OR(C976="L",C976="S",C976="I"),-1,1),"")</f>
        <v>0</v>
      </c>
      <c r="AW976" s="899">
        <f t="shared" si="97"/>
        <v>0</v>
      </c>
      <c r="AX976" s="899">
        <f>INDEX(V976:AG976,1,MATCH(Parametres!$B$3,V$1:AG$1,0))*IF(OR(C976="L",C976="S",C976="I"),-1,1)</f>
        <v>0</v>
      </c>
      <c r="AY976" s="487" t="s">
        <v>337</v>
      </c>
      <c r="AZ976" s="487" t="e">
        <f>+VLOOKUP($AJ976,Data_Validation!$A:$E,5,0)</f>
        <v>#N/A</v>
      </c>
    </row>
    <row r="977" spans="1:52" ht="15" hidden="1" customHeight="1">
      <c r="A977" s="706" t="s">
        <v>1148</v>
      </c>
      <c r="B977" s="706">
        <v>2026</v>
      </c>
      <c r="C977" s="706" t="s">
        <v>2842</v>
      </c>
      <c r="D977" s="706" t="s">
        <v>3401</v>
      </c>
      <c r="E977" s="706" t="s">
        <v>333</v>
      </c>
      <c r="F977" s="706" t="s">
        <v>1152</v>
      </c>
      <c r="G977" s="706">
        <v>20932.87</v>
      </c>
      <c r="H977" s="706">
        <v>42417.59</v>
      </c>
      <c r="I977" s="706">
        <v>67392.460000000006</v>
      </c>
      <c r="J977" s="706">
        <v>93090.14</v>
      </c>
      <c r="K977" s="706">
        <v>109633.39</v>
      </c>
      <c r="L977" s="706">
        <v>114844.03</v>
      </c>
      <c r="M977" s="706">
        <v>121207.03</v>
      </c>
      <c r="N977" s="706">
        <v>125683.29</v>
      </c>
      <c r="O977" s="706">
        <v>131626.74</v>
      </c>
      <c r="P977" s="706">
        <v>132421.48000000001</v>
      </c>
      <c r="Q977" s="706">
        <v>0</v>
      </c>
      <c r="R977" s="706">
        <v>0</v>
      </c>
      <c r="S977" s="706">
        <v>14625.19</v>
      </c>
      <c r="T977" s="706">
        <v>14625.19</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G66110</v>
      </c>
      <c r="AK977" s="905" t="str">
        <f t="shared" si="93"/>
        <v>COUT M-D'O CLIENT S.A.A.Q</v>
      </c>
      <c r="AL977" s="905">
        <f>IFERROR(INDEX(G977:R977,1,MATCH(Parametres!$B$3,G$1:R$1,0)-1)*IF(OR(F977="L",F977="S",F977="I"),-1,1),"")</f>
        <v>125683.29</v>
      </c>
      <c r="AM977" s="905">
        <f t="shared" si="94"/>
        <v>5943.4499999999971</v>
      </c>
      <c r="AN977" s="905">
        <f>INDEX(G977:R977,1,MATCH(Parametres!$B$3,G$1:R$1,0))*IF(OR(F977="L",F977="S",F977="I"),-1,1)</f>
        <v>131626.74</v>
      </c>
      <c r="AO977" s="487" t="str">
        <f>+VLOOKUP($AJ977,Data_Validation!$A:$D,1,0)</f>
        <v>G66110</v>
      </c>
      <c r="AP977" s="487" t="str">
        <f>+VLOOKUP($AJ977,Data_Validation!$A:$D,3,0)</f>
        <v>SAAQ</v>
      </c>
      <c r="AQ977" s="487" t="str">
        <f>+VLOOKUP($AJ977,Data_Validation!$A:$D,4,0)</f>
        <v>Inspection - Véhicules Légers</v>
      </c>
      <c r="AR977" s="487" t="s">
        <v>299</v>
      </c>
      <c r="AS977" s="487">
        <f>+VLOOKUP($AJ977,Data_Validation!$A:$E,5,0)</f>
        <v>0</v>
      </c>
      <c r="AT977" s="904" t="str">
        <f t="shared" si="95"/>
        <v>G66110</v>
      </c>
      <c r="AU977" s="488" t="str">
        <f t="shared" si="96"/>
        <v>COUT M-D'O CLIENT S.A.A.Q</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hidden="1" customHeight="1">
      <c r="A978" s="706" t="s">
        <v>1148</v>
      </c>
      <c r="B978" s="706">
        <v>2026</v>
      </c>
      <c r="C978" s="706" t="s">
        <v>3402</v>
      </c>
      <c r="D978" s="706" t="s">
        <v>3403</v>
      </c>
      <c r="E978" s="706" t="s">
        <v>333</v>
      </c>
      <c r="F978" s="706" t="s">
        <v>1152</v>
      </c>
      <c r="G978" s="706">
        <v>0</v>
      </c>
      <c r="H978" s="706">
        <v>0</v>
      </c>
      <c r="I978" s="706">
        <v>0</v>
      </c>
      <c r="J978" s="706">
        <v>0</v>
      </c>
      <c r="K978" s="706">
        <v>0</v>
      </c>
      <c r="L978" s="706">
        <v>0</v>
      </c>
      <c r="M978" s="706">
        <v>0</v>
      </c>
      <c r="N978" s="706">
        <v>0</v>
      </c>
      <c r="O978" s="706">
        <v>0</v>
      </c>
      <c r="P978" s="706">
        <v>0</v>
      </c>
      <c r="Q978" s="706">
        <v>0</v>
      </c>
      <c r="R978" s="706">
        <v>0</v>
      </c>
      <c r="S978" s="706">
        <v>0</v>
      </c>
      <c r="T978" s="706">
        <v>0</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G66111</v>
      </c>
      <c r="AK978" s="905" t="str">
        <f t="shared" si="93"/>
        <v>COUT M-O CLIENT FLOTTES</v>
      </c>
      <c r="AL978" s="905">
        <f>IFERROR(INDEX(G978:R978,1,MATCH(Parametres!$B$3,G$1:R$1,0)-1)*IF(OR(F978="L",F978="S",F978="I"),-1,1),"")</f>
        <v>0</v>
      </c>
      <c r="AM978" s="905">
        <f t="shared" si="94"/>
        <v>0</v>
      </c>
      <c r="AN978" s="905">
        <f>INDEX(G978:R978,1,MATCH(Parametres!$B$3,G$1:R$1,0))*IF(OR(F978="L",F978="S",F978="I"),-1,1)</f>
        <v>0</v>
      </c>
      <c r="AO978" s="487" t="e">
        <f>+VLOOKUP($AJ978,Data_Validation!$A:$D,1,0)</f>
        <v>#N/A</v>
      </c>
      <c r="AP978" s="487" t="e">
        <f>+VLOOKUP($AJ978,Data_Validation!$A:$D,3,0)</f>
        <v>#N/A</v>
      </c>
      <c r="AQ978" s="487" t="e">
        <f>+VLOOKUP($AJ978,Data_Validation!$A:$D,4,0)</f>
        <v>#N/A</v>
      </c>
      <c r="AR978" s="487" t="s">
        <v>299</v>
      </c>
      <c r="AS978" s="487" t="e">
        <f>+VLOOKUP($AJ978,Data_Validation!$A:$E,5,0)</f>
        <v>#N/A</v>
      </c>
      <c r="AT978" s="904" t="str">
        <f t="shared" si="95"/>
        <v>G66111</v>
      </c>
      <c r="AU978" s="488" t="str">
        <f t="shared" si="96"/>
        <v>COUT M-O CLIENT FLOTTES</v>
      </c>
      <c r="AV978" s="899">
        <f>IFERROR(INDEX(V978:AG978,1,MATCH(Parametres!$B$3,V$1:AG$1,0)-1)*IF(OR(C978="L",C978="S",C978="I"),-1,1),"")</f>
        <v>0</v>
      </c>
      <c r="AW978" s="899">
        <f t="shared" si="97"/>
        <v>0</v>
      </c>
      <c r="AX978" s="899">
        <f>INDEX(V978:AG978,1,MATCH(Parametres!$B$3,V$1:AG$1,0))*IF(OR(C978="L",C978="S",C978="I"),-1,1)</f>
        <v>0</v>
      </c>
      <c r="AY978" s="487" t="s">
        <v>337</v>
      </c>
      <c r="AZ978" s="487" t="e">
        <f>+VLOOKUP($AJ978,Data_Validation!$A:$E,5,0)</f>
        <v>#N/A</v>
      </c>
    </row>
    <row r="979" spans="1:52" ht="15" hidden="1" customHeight="1">
      <c r="A979" s="706" t="s">
        <v>1148</v>
      </c>
      <c r="B979" s="706">
        <v>2026</v>
      </c>
      <c r="C979" s="706" t="s">
        <v>2844</v>
      </c>
      <c r="D979" s="706" t="s">
        <v>2845</v>
      </c>
      <c r="E979" s="706" t="s">
        <v>333</v>
      </c>
      <c r="F979" s="706" t="s">
        <v>1152</v>
      </c>
      <c r="G979" s="706">
        <v>0</v>
      </c>
      <c r="H979" s="706">
        <v>0</v>
      </c>
      <c r="I979" s="706">
        <v>0</v>
      </c>
      <c r="J979" s="706">
        <v>0</v>
      </c>
      <c r="K979" s="706">
        <v>0</v>
      </c>
      <c r="L979" s="706">
        <v>0</v>
      </c>
      <c r="M979" s="706">
        <v>0</v>
      </c>
      <c r="N979" s="706">
        <v>0</v>
      </c>
      <c r="O979" s="706">
        <v>0</v>
      </c>
      <c r="P979" s="706">
        <v>0</v>
      </c>
      <c r="Q979" s="706">
        <v>0</v>
      </c>
      <c r="R979" s="706">
        <v>0</v>
      </c>
      <c r="S979" s="706">
        <v>0</v>
      </c>
      <c r="T979" s="706">
        <v>0</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G66120</v>
      </c>
      <c r="AK979" s="905" t="str">
        <f t="shared" si="93"/>
        <v>COUT CLAIM CAMIONS MOYEN</v>
      </c>
      <c r="AL979" s="905">
        <f>IFERROR(INDEX(G979:R979,1,MATCH(Parametres!$B$3,G$1:R$1,0)-1)*IF(OR(F979="L",F979="S",F979="I"),-1,1),"")</f>
        <v>0</v>
      </c>
      <c r="AM979" s="905">
        <f t="shared" si="94"/>
        <v>0</v>
      </c>
      <c r="AN979" s="905">
        <f>INDEX(G979:R979,1,MATCH(Parametres!$B$3,G$1:R$1,0))*IF(OR(F979="L",F979="S",F979="I"),-1,1)</f>
        <v>0</v>
      </c>
      <c r="AO979" s="487" t="str">
        <f>+VLOOKUP($AJ979,Data_Validation!$A:$D,1,0)</f>
        <v>G66120</v>
      </c>
      <c r="AP979" s="487" t="str">
        <f>+VLOOKUP($AJ979,Data_Validation!$A:$D,3,0)</f>
        <v>SAAQ</v>
      </c>
      <c r="AQ979" s="487" t="str">
        <f>+VLOOKUP($AJ979,Data_Validation!$A:$D,4,0)</f>
        <v>Inspection - Véhicules Interne</v>
      </c>
      <c r="AR979" s="487" t="s">
        <v>299</v>
      </c>
      <c r="AS979" s="487">
        <f>+VLOOKUP($AJ979,Data_Validation!$A:$E,5,0)</f>
        <v>0</v>
      </c>
      <c r="AT979" s="904" t="str">
        <f t="shared" si="95"/>
        <v>G66120</v>
      </c>
      <c r="AU979" s="488" t="str">
        <f t="shared" si="96"/>
        <v>COUT CLAIM CAMIONS MOYEN</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2846</v>
      </c>
      <c r="D980" s="706" t="s">
        <v>2847</v>
      </c>
      <c r="E980" s="706" t="s">
        <v>333</v>
      </c>
      <c r="F980" s="706" t="s">
        <v>1152</v>
      </c>
      <c r="G980" s="706">
        <v>0</v>
      </c>
      <c r="H980" s="706">
        <v>0</v>
      </c>
      <c r="I980" s="706">
        <v>0</v>
      </c>
      <c r="J980" s="706">
        <v>0</v>
      </c>
      <c r="K980" s="706">
        <v>6127.11</v>
      </c>
      <c r="L980" s="706">
        <v>23905.25</v>
      </c>
      <c r="M980" s="706">
        <v>42839.58</v>
      </c>
      <c r="N980" s="706">
        <v>58299.6</v>
      </c>
      <c r="O980" s="706">
        <v>73198.44</v>
      </c>
      <c r="P980" s="706">
        <v>76527.990000000005</v>
      </c>
      <c r="Q980" s="706">
        <v>0</v>
      </c>
      <c r="R980" s="706">
        <v>0</v>
      </c>
      <c r="S980" s="706">
        <v>8133.16</v>
      </c>
      <c r="T980" s="706">
        <v>8133.16</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G66140</v>
      </c>
      <c r="AK980" s="905" t="str">
        <f t="shared" si="93"/>
        <v>COUT SER RAP.CAMION MOYEN</v>
      </c>
      <c r="AL980" s="905">
        <f>IFERROR(INDEX(G980:R980,1,MATCH(Parametres!$B$3,G$1:R$1,0)-1)*IF(OR(F980="L",F980="S",F980="I"),-1,1),"")</f>
        <v>58299.6</v>
      </c>
      <c r="AM980" s="905">
        <f t="shared" si="94"/>
        <v>14898.840000000004</v>
      </c>
      <c r="AN980" s="905">
        <f>INDEX(G980:R980,1,MATCH(Parametres!$B$3,G$1:R$1,0))*IF(OR(F980="L",F980="S",F980="I"),-1,1)</f>
        <v>73198.44</v>
      </c>
      <c r="AO980" s="487" t="str">
        <f>+VLOOKUP($AJ980,Data_Validation!$A:$D,1,0)</f>
        <v>G66140</v>
      </c>
      <c r="AP980" s="487" t="str">
        <f>+VLOOKUP($AJ980,Data_Validation!$A:$D,3,0)</f>
        <v>SAAQ</v>
      </c>
      <c r="AQ980" s="487" t="str">
        <f>+VLOOKUP($AJ980,Data_Validation!$A:$D,4,0)</f>
        <v>Inspection - Véhicules Lourds</v>
      </c>
      <c r="AR980" s="487" t="s">
        <v>299</v>
      </c>
      <c r="AS980" s="487">
        <f>+VLOOKUP($AJ980,Data_Validation!$A:$E,5,0)</f>
        <v>0</v>
      </c>
      <c r="AT980" s="904" t="str">
        <f t="shared" si="95"/>
        <v>G66140</v>
      </c>
      <c r="AU980" s="488" t="str">
        <f t="shared" si="96"/>
        <v>COUT SER RAP.CAMION MOYEN</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hidden="1" customHeight="1">
      <c r="A981" s="706" t="s">
        <v>1148</v>
      </c>
      <c r="B981" s="706">
        <v>2026</v>
      </c>
      <c r="C981" s="706" t="s">
        <v>3404</v>
      </c>
      <c r="D981" s="706" t="s">
        <v>3405</v>
      </c>
      <c r="E981" s="706" t="s">
        <v>333</v>
      </c>
      <c r="F981" s="706" t="s">
        <v>1152</v>
      </c>
      <c r="G981" s="706">
        <v>0</v>
      </c>
      <c r="H981" s="706">
        <v>0</v>
      </c>
      <c r="I981" s="706">
        <v>0</v>
      </c>
      <c r="J981" s="706">
        <v>0</v>
      </c>
      <c r="K981" s="706">
        <v>0</v>
      </c>
      <c r="L981" s="706">
        <v>0</v>
      </c>
      <c r="M981" s="706">
        <v>0</v>
      </c>
      <c r="N981" s="706">
        <v>0</v>
      </c>
      <c r="O981" s="706">
        <v>0</v>
      </c>
      <c r="P981" s="706">
        <v>0</v>
      </c>
      <c r="Q981" s="706">
        <v>0</v>
      </c>
      <c r="R981" s="706">
        <v>0</v>
      </c>
      <c r="S981" s="706">
        <v>0</v>
      </c>
      <c r="T981" s="706">
        <v>0</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G66150</v>
      </c>
      <c r="AK981" s="905" t="str">
        <f t="shared" si="93"/>
        <v>COUT M-O ELECTIQUE FLOTTE</v>
      </c>
      <c r="AL981" s="905">
        <f>IFERROR(INDEX(G981:R981,1,MATCH(Parametres!$B$3,G$1:R$1,0)-1)*IF(OR(F981="L",F981="S",F981="I"),-1,1),"")</f>
        <v>0</v>
      </c>
      <c r="AM981" s="905">
        <f t="shared" si="94"/>
        <v>0</v>
      </c>
      <c r="AN981" s="905">
        <f>INDEX(G981:R981,1,MATCH(Parametres!$B$3,G$1:R$1,0))*IF(OR(F981="L",F981="S",F981="I"),-1,1)</f>
        <v>0</v>
      </c>
      <c r="AO981" s="487" t="e">
        <f>+VLOOKUP($AJ981,Data_Validation!$A:$D,1,0)</f>
        <v>#N/A</v>
      </c>
      <c r="AP981" s="487" t="e">
        <f>+VLOOKUP($AJ981,Data_Validation!$A:$D,3,0)</f>
        <v>#N/A</v>
      </c>
      <c r="AQ981" s="487" t="e">
        <f>+VLOOKUP($AJ981,Data_Validation!$A:$D,4,0)</f>
        <v>#N/A</v>
      </c>
      <c r="AR981" s="487" t="s">
        <v>299</v>
      </c>
      <c r="AS981" s="487" t="e">
        <f>+VLOOKUP($AJ981,Data_Validation!$A:$E,5,0)</f>
        <v>#N/A</v>
      </c>
      <c r="AT981" s="904" t="str">
        <f t="shared" si="95"/>
        <v>G66150</v>
      </c>
      <c r="AU981" s="488" t="str">
        <f t="shared" si="96"/>
        <v>COUT M-O ELECTIQUE FLOTTE</v>
      </c>
      <c r="AV981" s="899">
        <f>IFERROR(INDEX(V981:AG981,1,MATCH(Parametres!$B$3,V$1:AG$1,0)-1)*IF(OR(C981="L",C981="S",C981="I"),-1,1),"")</f>
        <v>0</v>
      </c>
      <c r="AW981" s="899">
        <f t="shared" si="97"/>
        <v>0</v>
      </c>
      <c r="AX981" s="899">
        <f>INDEX(V981:AG981,1,MATCH(Parametres!$B$3,V$1:AG$1,0))*IF(OR(C981="L",C981="S",C981="I"),-1,1)</f>
        <v>0</v>
      </c>
      <c r="AY981" s="487" t="s">
        <v>337</v>
      </c>
      <c r="AZ981" s="487" t="e">
        <f>+VLOOKUP($AJ981,Data_Validation!$A:$E,5,0)</f>
        <v>#N/A</v>
      </c>
    </row>
    <row r="982" spans="1:52" ht="15" hidden="1" customHeight="1">
      <c r="A982" s="706" t="s">
        <v>1148</v>
      </c>
      <c r="B982" s="706">
        <v>2026</v>
      </c>
      <c r="C982" s="706" t="s">
        <v>2848</v>
      </c>
      <c r="D982" s="706" t="s">
        <v>2849</v>
      </c>
      <c r="E982" s="706" t="s">
        <v>333</v>
      </c>
      <c r="F982" s="706" t="s">
        <v>1152</v>
      </c>
      <c r="G982" s="706">
        <v>14191.43</v>
      </c>
      <c r="H982" s="706">
        <v>29244.7</v>
      </c>
      <c r="I982" s="706">
        <v>50520.5</v>
      </c>
      <c r="J982" s="706">
        <v>67066.95</v>
      </c>
      <c r="K982" s="706">
        <v>77880.88</v>
      </c>
      <c r="L982" s="706">
        <v>105207.05</v>
      </c>
      <c r="M982" s="706">
        <v>120217.07</v>
      </c>
      <c r="N982" s="706">
        <v>141418.87</v>
      </c>
      <c r="O982" s="706">
        <v>153701.49</v>
      </c>
      <c r="P982" s="706">
        <v>156278.07999999999</v>
      </c>
      <c r="Q982" s="706">
        <v>0</v>
      </c>
      <c r="R982" s="706">
        <v>0</v>
      </c>
      <c r="S982" s="706">
        <v>17077.939999999999</v>
      </c>
      <c r="T982" s="706">
        <v>17077.939999999999</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G66200</v>
      </c>
      <c r="AK982" s="905" t="str">
        <f t="shared" si="93"/>
        <v>COUT-M.D. GARANTIE</v>
      </c>
      <c r="AL982" s="905">
        <f>IFERROR(INDEX(G982:R982,1,MATCH(Parametres!$B$3,G$1:R$1,0)-1)*IF(OR(F982="L",F982="S",F982="I"),-1,1),"")</f>
        <v>141418.87</v>
      </c>
      <c r="AM982" s="905">
        <f t="shared" si="94"/>
        <v>12282.619999999995</v>
      </c>
      <c r="AN982" s="905">
        <f>INDEX(G982:R982,1,MATCH(Parametres!$B$3,G$1:R$1,0))*IF(OR(F982="L",F982="S",F982="I"),-1,1)</f>
        <v>153701.49</v>
      </c>
      <c r="AO982" s="487" t="str">
        <f>+VLOOKUP($AJ982,Data_Validation!$A:$D,1,0)</f>
        <v>G66200</v>
      </c>
      <c r="AP982" s="487" t="str">
        <f>+VLOOKUP($AJ982,Data_Validation!$A:$D,3,0)</f>
        <v>Service</v>
      </c>
      <c r="AQ982" s="487" t="str">
        <f>+VLOOKUP($AJ982,Data_Validation!$A:$D,4,0)</f>
        <v>M/O Garantie</v>
      </c>
      <c r="AR982" s="487" t="s">
        <v>299</v>
      </c>
      <c r="AS982" s="487">
        <f>+VLOOKUP($AJ982,Data_Validation!$A:$E,5,0)</f>
        <v>0</v>
      </c>
      <c r="AT982" s="904" t="str">
        <f t="shared" si="95"/>
        <v>G66200</v>
      </c>
      <c r="AU982" s="488" t="str">
        <f t="shared" si="96"/>
        <v>COUT-M.D. GARANTIE</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2850</v>
      </c>
      <c r="D983" s="706" t="s">
        <v>2851</v>
      </c>
      <c r="E983" s="706" t="s">
        <v>333</v>
      </c>
      <c r="F983" s="706" t="s">
        <v>1152</v>
      </c>
      <c r="G983" s="706">
        <v>13086.47</v>
      </c>
      <c r="H983" s="706">
        <v>27742.02</v>
      </c>
      <c r="I983" s="706">
        <v>45448.12</v>
      </c>
      <c r="J983" s="706">
        <v>63048.71</v>
      </c>
      <c r="K983" s="706">
        <v>78622.61</v>
      </c>
      <c r="L983" s="706">
        <v>96597.02</v>
      </c>
      <c r="M983" s="706">
        <v>110820.52</v>
      </c>
      <c r="N983" s="706">
        <v>123704.96000000001</v>
      </c>
      <c r="O983" s="706">
        <v>139890.45000000001</v>
      </c>
      <c r="P983" s="706">
        <v>142258.70000000001</v>
      </c>
      <c r="Q983" s="706">
        <v>0</v>
      </c>
      <c r="R983" s="706">
        <v>0</v>
      </c>
      <c r="S983" s="706">
        <v>15543.38</v>
      </c>
      <c r="T983" s="706">
        <v>15543.38</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G66300</v>
      </c>
      <c r="AK983" s="905" t="str">
        <f t="shared" si="93"/>
        <v>COUT-M.D. INTERNE</v>
      </c>
      <c r="AL983" s="905">
        <f>IFERROR(INDEX(G983:R983,1,MATCH(Parametres!$B$3,G$1:R$1,0)-1)*IF(OR(F983="L",F983="S",F983="I"),-1,1),"")</f>
        <v>123704.96000000001</v>
      </c>
      <c r="AM983" s="905">
        <f t="shared" si="94"/>
        <v>16185.490000000005</v>
      </c>
      <c r="AN983" s="905">
        <f>INDEX(G983:R983,1,MATCH(Parametres!$B$3,G$1:R$1,0))*IF(OR(F983="L",F983="S",F983="I"),-1,1)</f>
        <v>139890.45000000001</v>
      </c>
      <c r="AO983" s="487" t="str">
        <f>+VLOOKUP($AJ983,Data_Validation!$A:$D,1,0)</f>
        <v>G66300</v>
      </c>
      <c r="AP983" s="487" t="str">
        <f>+VLOOKUP($AJ983,Data_Validation!$A:$D,3,0)</f>
        <v>Service</v>
      </c>
      <c r="AQ983" s="487" t="str">
        <f>+VLOOKUP($AJ983,Data_Validation!$A:$D,4,0)</f>
        <v>M/O Interne</v>
      </c>
      <c r="AR983" s="487" t="s">
        <v>299</v>
      </c>
      <c r="AS983" s="487">
        <f>+VLOOKUP($AJ983,Data_Validation!$A:$E,5,0)</f>
        <v>0</v>
      </c>
      <c r="AT983" s="904" t="str">
        <f t="shared" si="95"/>
        <v>G66300</v>
      </c>
      <c r="AU983" s="488" t="str">
        <f t="shared" si="96"/>
        <v>COUT-M.D.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hidden="1" customHeight="1">
      <c r="A984" s="706" t="s">
        <v>1148</v>
      </c>
      <c r="B984" s="706">
        <v>2026</v>
      </c>
      <c r="C984" s="706" t="s">
        <v>3406</v>
      </c>
      <c r="D984" s="706" t="s">
        <v>3407</v>
      </c>
      <c r="E984" s="706" t="s">
        <v>333</v>
      </c>
      <c r="F984" s="706" t="s">
        <v>1152</v>
      </c>
      <c r="G984" s="706">
        <v>0</v>
      </c>
      <c r="H984" s="706">
        <v>0</v>
      </c>
      <c r="I984" s="706">
        <v>0</v>
      </c>
      <c r="J984" s="706">
        <v>0</v>
      </c>
      <c r="K984" s="706">
        <v>0</v>
      </c>
      <c r="L984" s="706">
        <v>0</v>
      </c>
      <c r="M984" s="706">
        <v>0</v>
      </c>
      <c r="N984" s="706">
        <v>0</v>
      </c>
      <c r="O984" s="706">
        <v>0</v>
      </c>
      <c r="P984" s="706">
        <v>961.58</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G66305</v>
      </c>
      <c r="AK984" s="905" t="str">
        <f t="shared" ref="AK984:AK1023" si="99">D984</f>
        <v>COUT ESTHETIQUE INTERNE</v>
      </c>
      <c r="AL984" s="905">
        <f>IFERROR(INDEX(G984:R984,1,MATCH(Parametres!$B$3,G$1:R$1,0)-1)*IF(OR(F984="L",F984="S",F984="I"),-1,1),"")</f>
        <v>0</v>
      </c>
      <c r="AM984" s="905">
        <f t="shared" ref="AM984:AM1023" si="100">AN984-AL984</f>
        <v>0</v>
      </c>
      <c r="AN984" s="905">
        <f>INDEX(G984:R984,1,MATCH(Parametres!$B$3,G$1:R$1,0))*IF(OR(F984="L",F984="S",F984="I"),-1,1)</f>
        <v>0</v>
      </c>
      <c r="AO984" s="487" t="e">
        <f>+VLOOKUP($AJ984,Data_Validation!$A:$D,1,0)</f>
        <v>#N/A</v>
      </c>
      <c r="AP984" s="487" t="e">
        <f>+VLOOKUP($AJ984,Data_Validation!$A:$D,3,0)</f>
        <v>#N/A</v>
      </c>
      <c r="AQ984" s="487" t="e">
        <f>+VLOOKUP($AJ984,Data_Validation!$A:$D,4,0)</f>
        <v>#N/A</v>
      </c>
      <c r="AR984" s="487" t="s">
        <v>299</v>
      </c>
      <c r="AS984" s="487" t="e">
        <f>+VLOOKUP($AJ984,Data_Validation!$A:$E,5,0)</f>
        <v>#N/A</v>
      </c>
      <c r="AT984" s="904" t="str">
        <f t="shared" ref="AT984:AT1023" si="101">C984</f>
        <v>G66305</v>
      </c>
      <c r="AU984" s="488" t="str">
        <f t="shared" ref="AU984:AU1023" si="102">D984</f>
        <v>COUT ESTHETIQUE INTERNE</v>
      </c>
      <c r="AV984" s="899">
        <f>IFERROR(INDEX(V984:AG984,1,MATCH(Parametres!$B$3,V$1:AG$1,0)-1)*IF(OR(C984="L",C984="S",C984="I"),-1,1),"")</f>
        <v>0</v>
      </c>
      <c r="AW984" s="899">
        <f t="shared" ref="AW984:AW1023" si="103">AX984-AV984</f>
        <v>0</v>
      </c>
      <c r="AX984" s="899">
        <f>INDEX(V984:AG984,1,MATCH(Parametres!$B$3,V$1:AG$1,0))*IF(OR(C984="L",C984="S",C984="I"),-1,1)</f>
        <v>0</v>
      </c>
      <c r="AY984" s="487" t="s">
        <v>337</v>
      </c>
      <c r="AZ984" s="487" t="e">
        <f>+VLOOKUP($AJ984,Data_Validation!$A:$E,5,0)</f>
        <v>#N/A</v>
      </c>
    </row>
    <row r="985" spans="1:52" ht="15" hidden="1" customHeight="1">
      <c r="A985" s="706" t="s">
        <v>1148</v>
      </c>
      <c r="B985" s="706">
        <v>2026</v>
      </c>
      <c r="C985" s="706" t="s">
        <v>2852</v>
      </c>
      <c r="D985" s="706" t="s">
        <v>2853</v>
      </c>
      <c r="E985" s="706" t="s">
        <v>333</v>
      </c>
      <c r="F985" s="706" t="s">
        <v>1152</v>
      </c>
      <c r="G985" s="706">
        <v>481.76</v>
      </c>
      <c r="H985" s="706">
        <v>594.08000000000004</v>
      </c>
      <c r="I985" s="706">
        <v>664.46</v>
      </c>
      <c r="J985" s="706">
        <v>705.77</v>
      </c>
      <c r="K985" s="706">
        <v>830.53</v>
      </c>
      <c r="L985" s="706">
        <v>830.53</v>
      </c>
      <c r="M985" s="706">
        <v>1007.73</v>
      </c>
      <c r="N985" s="706">
        <v>1220.79</v>
      </c>
      <c r="O985" s="706">
        <v>1220.79</v>
      </c>
      <c r="P985" s="706">
        <v>1220.79</v>
      </c>
      <c r="Q985" s="706">
        <v>0</v>
      </c>
      <c r="R985" s="706">
        <v>0</v>
      </c>
      <c r="S985" s="706">
        <v>135.63999999999999</v>
      </c>
      <c r="T985" s="706">
        <v>135.63999999999999</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G66320</v>
      </c>
      <c r="AK985" s="905" t="str">
        <f t="shared" si="99"/>
        <v>COUT-MO INTERNE CAM MOYEN</v>
      </c>
      <c r="AL985" s="905">
        <f>IFERROR(INDEX(G985:R985,1,MATCH(Parametres!$B$3,G$1:R$1,0)-1)*IF(OR(F985="L",F985="S",F985="I"),-1,1),"")</f>
        <v>1220.79</v>
      </c>
      <c r="AM985" s="905">
        <f t="shared" si="100"/>
        <v>0</v>
      </c>
      <c r="AN985" s="905">
        <f>INDEX(G985:R985,1,MATCH(Parametres!$B$3,G$1:R$1,0))*IF(OR(F985="L",F985="S",F985="I"),-1,1)</f>
        <v>1220.79</v>
      </c>
      <c r="AO985" s="487" t="str">
        <f>+VLOOKUP($AJ985,Data_Validation!$A:$D,1,0)</f>
        <v>G66320</v>
      </c>
      <c r="AP985" s="487" t="str">
        <f>+VLOOKUP($AJ985,Data_Validation!$A:$D,3,0)</f>
        <v>SAAQ</v>
      </c>
      <c r="AQ985" s="487" t="str">
        <f>+VLOOKUP($AJ985,Data_Validation!$A:$D,4,0)</f>
        <v>Inspection - Véhicules Interne</v>
      </c>
      <c r="AR985" s="487" t="s">
        <v>299</v>
      </c>
      <c r="AS985" s="487">
        <f>+VLOOKUP($AJ985,Data_Validation!$A:$E,5,0)</f>
        <v>0</v>
      </c>
      <c r="AT985" s="904" t="str">
        <f t="shared" si="101"/>
        <v>G66320</v>
      </c>
      <c r="AU985" s="488" t="str">
        <f t="shared" si="102"/>
        <v>COUT-MO INTERNE CAM MOYEN</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2854</v>
      </c>
      <c r="D986" s="706" t="s">
        <v>2855</v>
      </c>
      <c r="E986" s="706" t="s">
        <v>333</v>
      </c>
      <c r="F986" s="706" t="s">
        <v>1152</v>
      </c>
      <c r="G986" s="706">
        <v>3682.15</v>
      </c>
      <c r="H986" s="706">
        <v>8560.8700000000008</v>
      </c>
      <c r="I986" s="706">
        <v>15429.87</v>
      </c>
      <c r="J986" s="706">
        <v>19268.740000000002</v>
      </c>
      <c r="K986" s="706">
        <v>22629.65</v>
      </c>
      <c r="L986" s="706">
        <v>26304.38</v>
      </c>
      <c r="M986" s="706">
        <v>28991.73</v>
      </c>
      <c r="N986" s="706">
        <v>32830.910000000003</v>
      </c>
      <c r="O986" s="706">
        <v>36198.5</v>
      </c>
      <c r="P986" s="706">
        <v>36409.78</v>
      </c>
      <c r="Q986" s="706">
        <v>0</v>
      </c>
      <c r="R986" s="706">
        <v>0</v>
      </c>
      <c r="S986" s="706">
        <v>4022.06</v>
      </c>
      <c r="T986" s="706">
        <v>4022.06</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G66400</v>
      </c>
      <c r="AK986" s="905" t="str">
        <f t="shared" si="99"/>
        <v>COUT-M.D. INSP.</v>
      </c>
      <c r="AL986" s="905">
        <f>IFERROR(INDEX(G986:R986,1,MATCH(Parametres!$B$3,G$1:R$1,0)-1)*IF(OR(F986="L",F986="S",F986="I"),-1,1),"")</f>
        <v>32830.910000000003</v>
      </c>
      <c r="AM986" s="905">
        <f t="shared" si="100"/>
        <v>3367.5899999999965</v>
      </c>
      <c r="AN986" s="905">
        <f>INDEX(G986:R986,1,MATCH(Parametres!$B$3,G$1:R$1,0))*IF(OR(F986="L",F986="S",F986="I"),-1,1)</f>
        <v>36198.5</v>
      </c>
      <c r="AO986" s="487" t="str">
        <f>+VLOOKUP($AJ986,Data_Validation!$A:$D,1,0)</f>
        <v>G66400</v>
      </c>
      <c r="AP986" s="487" t="str">
        <f>+VLOOKUP($AJ986,Data_Validation!$A:$D,3,0)</f>
        <v>Service</v>
      </c>
      <c r="AQ986" s="487" t="str">
        <f>+VLOOKUP($AJ986,Data_Validation!$A:$D,4,0)</f>
        <v>M/O Interne</v>
      </c>
      <c r="AR986" s="487" t="s">
        <v>299</v>
      </c>
      <c r="AS986" s="487">
        <f>+VLOOKUP($AJ986,Data_Validation!$A:$E,5,0)</f>
        <v>0</v>
      </c>
      <c r="AT986" s="904" t="str">
        <f t="shared" si="101"/>
        <v>G66400</v>
      </c>
      <c r="AU986" s="488" t="str">
        <f t="shared" si="102"/>
        <v>COUT-M.D. INSP.</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hidden="1" customHeight="1">
      <c r="A987" s="706" t="s">
        <v>1148</v>
      </c>
      <c r="B987" s="706">
        <v>2026</v>
      </c>
      <c r="C987" s="706" t="s">
        <v>2856</v>
      </c>
      <c r="D987" s="706" t="s">
        <v>2857</v>
      </c>
      <c r="E987" s="706" t="s">
        <v>333</v>
      </c>
      <c r="F987" s="706" t="s">
        <v>1152</v>
      </c>
      <c r="G987" s="706">
        <v>0</v>
      </c>
      <c r="H987" s="706">
        <v>0</v>
      </c>
      <c r="I987" s="706">
        <v>0</v>
      </c>
      <c r="J987" s="706">
        <v>0</v>
      </c>
      <c r="K987" s="706">
        <v>0</v>
      </c>
      <c r="L987" s="706">
        <v>0</v>
      </c>
      <c r="M987" s="706">
        <v>0</v>
      </c>
      <c r="N987" s="706">
        <v>0</v>
      </c>
      <c r="O987" s="706">
        <v>0</v>
      </c>
      <c r="P987" s="706">
        <v>0</v>
      </c>
      <c r="Q987" s="706">
        <v>0</v>
      </c>
      <c r="R987" s="706">
        <v>0</v>
      </c>
      <c r="S987" s="706">
        <v>0</v>
      </c>
      <c r="T987" s="706">
        <v>0</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G66420</v>
      </c>
      <c r="AK987" s="905" t="str">
        <f t="shared" si="99"/>
        <v>COUT-MO INSPECTON PDI</v>
      </c>
      <c r="AL987" s="905">
        <f>IFERROR(INDEX(G987:R987,1,MATCH(Parametres!$B$3,G$1:R$1,0)-1)*IF(OR(F987="L",F987="S",F987="I"),-1,1),"")</f>
        <v>0</v>
      </c>
      <c r="AM987" s="905">
        <f t="shared" si="100"/>
        <v>0</v>
      </c>
      <c r="AN987" s="905">
        <f>INDEX(G987:R987,1,MATCH(Parametres!$B$3,G$1:R$1,0))*IF(OR(F987="L",F987="S",F987="I"),-1,1)</f>
        <v>0</v>
      </c>
      <c r="AO987" s="487" t="e">
        <f>+VLOOKUP($AJ987,Data_Validation!$A:$D,1,0)</f>
        <v>#N/A</v>
      </c>
      <c r="AP987" s="487" t="e">
        <f>+VLOOKUP($AJ987,Data_Validation!$A:$D,3,0)</f>
        <v>#N/A</v>
      </c>
      <c r="AQ987" s="487" t="e">
        <f>+VLOOKUP($AJ987,Data_Validation!$A:$D,4,0)</f>
        <v>#N/A</v>
      </c>
      <c r="AR987" s="487" t="s">
        <v>299</v>
      </c>
      <c r="AS987" s="487" t="e">
        <f>+VLOOKUP($AJ987,Data_Validation!$A:$E,5,0)</f>
        <v>#N/A</v>
      </c>
      <c r="AT987" s="904" t="str">
        <f t="shared" si="101"/>
        <v>G66420</v>
      </c>
      <c r="AU987" s="488" t="str">
        <f t="shared" si="102"/>
        <v>COUT-MO INSPECTON PDI</v>
      </c>
      <c r="AV987" s="899">
        <f>IFERROR(INDEX(V987:AG987,1,MATCH(Parametres!$B$3,V$1:AG$1,0)-1)*IF(OR(C987="L",C987="S",C987="I"),-1,1),"")</f>
        <v>0</v>
      </c>
      <c r="AW987" s="899">
        <f t="shared" si="103"/>
        <v>0</v>
      </c>
      <c r="AX987" s="899">
        <f>INDEX(V987:AG987,1,MATCH(Parametres!$B$3,V$1:AG$1,0))*IF(OR(C987="L",C987="S",C987="I"),-1,1)</f>
        <v>0</v>
      </c>
      <c r="AY987" s="487" t="s">
        <v>337</v>
      </c>
      <c r="AZ987" s="487" t="e">
        <f>+VLOOKUP($AJ987,Data_Validation!$A:$E,5,0)</f>
        <v>#N/A</v>
      </c>
    </row>
    <row r="988" spans="1:52" ht="15" hidden="1" customHeight="1">
      <c r="A988" s="706" t="s">
        <v>1148</v>
      </c>
      <c r="B988" s="706">
        <v>2026</v>
      </c>
      <c r="C988" s="706" t="s">
        <v>2858</v>
      </c>
      <c r="D988" s="706" t="s">
        <v>2859</v>
      </c>
      <c r="E988" s="706" t="s">
        <v>333</v>
      </c>
      <c r="F988" s="706" t="s">
        <v>1152</v>
      </c>
      <c r="G988" s="706">
        <v>-249.81</v>
      </c>
      <c r="H988" s="706">
        <v>-2752.08</v>
      </c>
      <c r="I988" s="706">
        <v>969.52</v>
      </c>
      <c r="J988" s="706">
        <v>9033.7199999999993</v>
      </c>
      <c r="K988" s="706">
        <v>8671.65</v>
      </c>
      <c r="L988" s="706">
        <v>9332.99</v>
      </c>
      <c r="M988" s="706">
        <v>9492.4</v>
      </c>
      <c r="N988" s="706">
        <v>14887.04</v>
      </c>
      <c r="O988" s="706">
        <v>14887.04</v>
      </c>
      <c r="P988" s="706">
        <v>14887.04</v>
      </c>
      <c r="Q988" s="706">
        <v>0</v>
      </c>
      <c r="R988" s="706">
        <v>0</v>
      </c>
      <c r="S988" s="706">
        <v>1654.12</v>
      </c>
      <c r="T988" s="706">
        <v>1654.12</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G66500</v>
      </c>
      <c r="AK988" s="905" t="str">
        <f t="shared" si="99"/>
        <v>TEMPS PERDU SERVICE</v>
      </c>
      <c r="AL988" s="905">
        <f>IFERROR(INDEX(G988:R988,1,MATCH(Parametres!$B$3,G$1:R$1,0)-1)*IF(OR(F988="L",F988="S",F988="I"),-1,1),"")</f>
        <v>14887.04</v>
      </c>
      <c r="AM988" s="905">
        <f t="shared" si="100"/>
        <v>0</v>
      </c>
      <c r="AN988" s="905">
        <f>INDEX(G988:R988,1,MATCH(Parametres!$B$3,G$1:R$1,0))*IF(OR(F988="L",F988="S",F988="I"),-1,1)</f>
        <v>14887.04</v>
      </c>
      <c r="AO988" s="487" t="str">
        <f>+VLOOKUP($AJ988,Data_Validation!$A:$D,1,0)</f>
        <v>G66500</v>
      </c>
      <c r="AP988" s="487" t="str">
        <f>+VLOOKUP($AJ988,Data_Validation!$A:$D,3,0)</f>
        <v>Service</v>
      </c>
      <c r="AQ988" s="487" t="str">
        <f>+VLOOKUP($AJ988,Data_Validation!$A:$D,4,0)</f>
        <v>Ajustement M/O</v>
      </c>
      <c r="AR988" s="487" t="s">
        <v>299</v>
      </c>
      <c r="AS988" s="487">
        <f>+VLOOKUP($AJ988,Data_Validation!$A:$E,5,0)</f>
        <v>0</v>
      </c>
      <c r="AT988" s="904" t="str">
        <f t="shared" si="101"/>
        <v>G66500</v>
      </c>
      <c r="AU988" s="488" t="str">
        <f t="shared" si="102"/>
        <v>TEMPS PERDU SERVICE</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3408</v>
      </c>
      <c r="D989" s="706" t="s">
        <v>3409</v>
      </c>
      <c r="E989" s="706" t="s">
        <v>333</v>
      </c>
      <c r="F989" s="706" t="s">
        <v>1152</v>
      </c>
      <c r="G989" s="706">
        <v>0</v>
      </c>
      <c r="H989" s="706">
        <v>0</v>
      </c>
      <c r="I989" s="706">
        <v>0</v>
      </c>
      <c r="J989" s="706">
        <v>0</v>
      </c>
      <c r="K989" s="706">
        <v>0</v>
      </c>
      <c r="L989" s="706">
        <v>0</v>
      </c>
      <c r="M989" s="706">
        <v>1417.39</v>
      </c>
      <c r="N989" s="706">
        <v>3440.71</v>
      </c>
      <c r="O989" s="706">
        <v>3440.71</v>
      </c>
      <c r="P989" s="706">
        <v>3440.71</v>
      </c>
      <c r="Q989" s="706">
        <v>0</v>
      </c>
      <c r="R989" s="706">
        <v>0</v>
      </c>
      <c r="S989" s="706">
        <v>382.3</v>
      </c>
      <c r="T989" s="706">
        <v>382.3</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G66507</v>
      </c>
      <c r="AK989" s="905" t="str">
        <f t="shared" si="99"/>
        <v>TEMPS PERDU SAAQ</v>
      </c>
      <c r="AL989" s="905">
        <f>IFERROR(INDEX(G989:R989,1,MATCH(Parametres!$B$3,G$1:R$1,0)-1)*IF(OR(F989="L",F989="S",F989="I"),-1,1),"")</f>
        <v>3440.71</v>
      </c>
      <c r="AM989" s="905">
        <f t="shared" si="100"/>
        <v>0</v>
      </c>
      <c r="AN989" s="905">
        <f>INDEX(G989:R989,1,MATCH(Parametres!$B$3,G$1:R$1,0))*IF(OR(F989="L",F989="S",F989="I"),-1,1)</f>
        <v>3440.71</v>
      </c>
      <c r="AO989" s="487" t="str">
        <f>+VLOOKUP($AJ989,Data_Validation!$A:$D,1,0)</f>
        <v>G66507</v>
      </c>
      <c r="AP989" s="487" t="str">
        <f>+VLOOKUP($AJ989,Data_Validation!$A:$D,3,0)</f>
        <v>SAAQ</v>
      </c>
      <c r="AQ989" s="487" t="str">
        <f>+VLOOKUP($AJ989,Data_Validation!$A:$D,4,0)</f>
        <v>Ajustement M/O SAAQ</v>
      </c>
      <c r="AR989" s="487" t="s">
        <v>299</v>
      </c>
      <c r="AS989" s="487">
        <f>+VLOOKUP($AJ989,Data_Validation!$A:$E,5,0)</f>
        <v>0</v>
      </c>
      <c r="AT989" s="904" t="str">
        <f t="shared" si="101"/>
        <v>G66507</v>
      </c>
      <c r="AU989" s="488" t="str">
        <f t="shared" si="102"/>
        <v>TEMPS PERDU SAAQ</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hidden="1" customHeight="1">
      <c r="A990" s="706" t="s">
        <v>1148</v>
      </c>
      <c r="B990" s="706">
        <v>2026</v>
      </c>
      <c r="C990" s="706" t="s">
        <v>2860</v>
      </c>
      <c r="D990" s="706" t="s">
        <v>2861</v>
      </c>
      <c r="E990" s="706" t="s">
        <v>333</v>
      </c>
      <c r="F990" s="706" t="s">
        <v>1152</v>
      </c>
      <c r="G990" s="706">
        <v>3932.85</v>
      </c>
      <c r="H990" s="706">
        <v>16561.11</v>
      </c>
      <c r="I990" s="706">
        <v>30890.93</v>
      </c>
      <c r="J990" s="706">
        <v>38338.85</v>
      </c>
      <c r="K990" s="706">
        <v>49545.99</v>
      </c>
      <c r="L990" s="706">
        <v>58561.65</v>
      </c>
      <c r="M990" s="706">
        <v>65919.59</v>
      </c>
      <c r="N990" s="706">
        <v>79048</v>
      </c>
      <c r="O990" s="706">
        <v>86405.46</v>
      </c>
      <c r="P990" s="706">
        <v>88050.46</v>
      </c>
      <c r="Q990" s="706">
        <v>0</v>
      </c>
      <c r="R990" s="706">
        <v>0</v>
      </c>
      <c r="S990" s="706">
        <v>9600.61</v>
      </c>
      <c r="T990" s="706">
        <v>9600.61</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G66600</v>
      </c>
      <c r="AK990" s="905" t="str">
        <f t="shared" si="99"/>
        <v>COUT-SOUS-CONTRATS SERV.</v>
      </c>
      <c r="AL990" s="905">
        <f>IFERROR(INDEX(G990:R990,1,MATCH(Parametres!$B$3,G$1:R$1,0)-1)*IF(OR(F990="L",F990="S",F990="I"),-1,1),"")</f>
        <v>79048</v>
      </c>
      <c r="AM990" s="905">
        <f t="shared" si="100"/>
        <v>7357.4600000000064</v>
      </c>
      <c r="AN990" s="905">
        <f>INDEX(G990:R990,1,MATCH(Parametres!$B$3,G$1:R$1,0))*IF(OR(F990="L",F990="S",F990="I"),-1,1)</f>
        <v>86405.46</v>
      </c>
      <c r="AO990" s="487" t="str">
        <f>+VLOOKUP($AJ990,Data_Validation!$A:$D,1,0)</f>
        <v>G66600</v>
      </c>
      <c r="AP990" s="487" t="str">
        <f>+VLOOKUP($AJ990,Data_Validation!$A:$D,3,0)</f>
        <v>Service</v>
      </c>
      <c r="AQ990" s="487" t="str">
        <f>+VLOOKUP($AJ990,Data_Validation!$A:$D,4,0)</f>
        <v>Sous-traitement</v>
      </c>
      <c r="AR990" s="487" t="s">
        <v>299</v>
      </c>
      <c r="AS990" s="487">
        <f>+VLOOKUP($AJ990,Data_Validation!$A:$E,5,0)</f>
        <v>0</v>
      </c>
      <c r="AT990" s="904" t="str">
        <f t="shared" si="101"/>
        <v>G66600</v>
      </c>
      <c r="AU990" s="488" t="str">
        <f t="shared" si="102"/>
        <v>COUT-SOUS-CONTRATS SERV.</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hidden="1" customHeight="1">
      <c r="A991" s="706" t="s">
        <v>1148</v>
      </c>
      <c r="B991" s="706">
        <v>2026</v>
      </c>
      <c r="C991" s="706" t="s">
        <v>2862</v>
      </c>
      <c r="D991" s="706" t="s">
        <v>3135</v>
      </c>
      <c r="E991" s="706" t="s">
        <v>333</v>
      </c>
      <c r="F991" s="706" t="s">
        <v>1152</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G66610</v>
      </c>
      <c r="AK991" s="905" t="str">
        <f t="shared" si="99"/>
        <v>COUT-SOUS-TRAITANCE SAAQ</v>
      </c>
      <c r="AL991" s="905">
        <f>IFERROR(INDEX(G991:R991,1,MATCH(Parametres!$B$3,G$1:R$1,0)-1)*IF(OR(F991="L",F991="S",F991="I"),-1,1),"")</f>
        <v>0</v>
      </c>
      <c r="AM991" s="905">
        <f t="shared" si="100"/>
        <v>0</v>
      </c>
      <c r="AN991" s="905">
        <f>INDEX(G991:R991,1,MATCH(Parametres!$B$3,G$1:R$1,0))*IF(OR(F991="L",F991="S",F991="I"),-1,1)</f>
        <v>0</v>
      </c>
      <c r="AO991" s="487" t="str">
        <f>+VLOOKUP($AJ991,Data_Validation!$A:$D,1,0)</f>
        <v>G66610</v>
      </c>
      <c r="AP991" s="487" t="str">
        <f>+VLOOKUP($AJ991,Data_Validation!$A:$D,3,0)</f>
        <v>SAAQ</v>
      </c>
      <c r="AQ991" s="487" t="str">
        <f>+VLOOKUP($AJ991,Data_Validation!$A:$D,4,0)</f>
        <v>Inspection - Véhicules Interne</v>
      </c>
      <c r="AR991" s="487" t="s">
        <v>299</v>
      </c>
      <c r="AS991" s="487">
        <f>+VLOOKUP($AJ991,Data_Validation!$A:$E,5,0)</f>
        <v>0</v>
      </c>
      <c r="AT991" s="904" t="str">
        <f t="shared" si="101"/>
        <v>G66610</v>
      </c>
      <c r="AU991" s="488" t="str">
        <f t="shared" si="102"/>
        <v>COUT-SOUS-TRAITANCE SAAQ</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hidden="1" customHeight="1">
      <c r="A992" s="706" t="s">
        <v>1148</v>
      </c>
      <c r="B992" s="706">
        <v>2026</v>
      </c>
      <c r="C992" s="706" t="s">
        <v>2864</v>
      </c>
      <c r="D992" s="706" t="s">
        <v>2865</v>
      </c>
      <c r="E992" s="706" t="s">
        <v>333</v>
      </c>
      <c r="F992" s="706" t="s">
        <v>1152</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G66611</v>
      </c>
      <c r="AK992" s="905" t="str">
        <f t="shared" si="99"/>
        <v>SUPER VITRE COUT SUBLET</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G66611</v>
      </c>
      <c r="AU992" s="488" t="str">
        <f t="shared" si="102"/>
        <v>SUPER VITRE COUT SUBLET</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hidden="1" customHeight="1">
      <c r="A993" s="706" t="s">
        <v>1148</v>
      </c>
      <c r="B993" s="706">
        <v>2026</v>
      </c>
      <c r="C993" s="706" t="s">
        <v>2866</v>
      </c>
      <c r="D993" s="706" t="s">
        <v>2867</v>
      </c>
      <c r="E993" s="706" t="s">
        <v>333</v>
      </c>
      <c r="F993" s="706" t="s">
        <v>1152</v>
      </c>
      <c r="G993" s="706">
        <v>40254.79</v>
      </c>
      <c r="H993" s="706">
        <v>81742.2</v>
      </c>
      <c r="I993" s="706">
        <v>111760.52</v>
      </c>
      <c r="J993" s="706">
        <v>138837.42000000001</v>
      </c>
      <c r="K993" s="706">
        <v>157385.72</v>
      </c>
      <c r="L993" s="706">
        <v>196092.61</v>
      </c>
      <c r="M993" s="706">
        <v>230262.99</v>
      </c>
      <c r="N993" s="706">
        <v>264285.86</v>
      </c>
      <c r="O993" s="706">
        <v>303525.53000000003</v>
      </c>
      <c r="P993" s="706">
        <v>309890.14</v>
      </c>
      <c r="Q993" s="706">
        <v>0</v>
      </c>
      <c r="R993" s="706">
        <v>0</v>
      </c>
      <c r="S993" s="706">
        <v>33725.06</v>
      </c>
      <c r="T993" s="706">
        <v>33725.06</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G66710</v>
      </c>
      <c r="AK993" s="905" t="str">
        <f t="shared" si="99"/>
        <v>COUT P&amp;A SERV.CLIENT AUTO</v>
      </c>
      <c r="AL993" s="905">
        <f>IFERROR(INDEX(G993:R993,1,MATCH(Parametres!$B$3,G$1:R$1,0)-1)*IF(OR(F993="L",F993="S",F993="I"),-1,1),"")</f>
        <v>264285.86</v>
      </c>
      <c r="AM993" s="905">
        <f t="shared" si="100"/>
        <v>39239.670000000042</v>
      </c>
      <c r="AN993" s="905">
        <f>INDEX(G993:R993,1,MATCH(Parametres!$B$3,G$1:R$1,0))*IF(OR(F993="L",F993="S",F993="I"),-1,1)</f>
        <v>303525.53000000003</v>
      </c>
      <c r="AO993" s="487" t="str">
        <f>+VLOOKUP($AJ993,Data_Validation!$A:$D,1,0)</f>
        <v>G66710</v>
      </c>
      <c r="AP993" s="487" t="str">
        <f>+VLOOKUP($AJ993,Data_Validation!$A:$D,3,0)</f>
        <v>Pièces</v>
      </c>
      <c r="AQ993" s="487" t="str">
        <f>+VLOOKUP($AJ993,Data_Validation!$A:$D,4,0)</f>
        <v>Pièces Ro Clients</v>
      </c>
      <c r="AR993" s="487" t="s">
        <v>299</v>
      </c>
      <c r="AS993" s="487">
        <f>+VLOOKUP($AJ993,Data_Validation!$A:$E,5,0)</f>
        <v>0</v>
      </c>
      <c r="AT993" s="904" t="str">
        <f t="shared" si="101"/>
        <v>G66710</v>
      </c>
      <c r="AU993" s="488" t="str">
        <f t="shared" si="102"/>
        <v>COUT P&amp;A SERV.CLIENT AUTO</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hidden="1" customHeight="1">
      <c r="A994" s="706" t="s">
        <v>1148</v>
      </c>
      <c r="B994" s="706">
        <v>2026</v>
      </c>
      <c r="C994" s="706" t="s">
        <v>2868</v>
      </c>
      <c r="D994" s="706" t="s">
        <v>2869</v>
      </c>
      <c r="E994" s="706" t="s">
        <v>333</v>
      </c>
      <c r="F994" s="706" t="s">
        <v>1152</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G66720</v>
      </c>
      <c r="AK994" s="905" t="str">
        <f t="shared" si="99"/>
        <v>COUT-P&amp;A SERV.PL.PROT.AUT</v>
      </c>
      <c r="AL994" s="905">
        <f>IFERROR(INDEX(G994:R994,1,MATCH(Parametres!$B$3,G$1:R$1,0)-1)*IF(OR(F994="L",F994="S",F994="I"),-1,1),"")</f>
        <v>0</v>
      </c>
      <c r="AM994" s="905">
        <f t="shared" si="100"/>
        <v>0</v>
      </c>
      <c r="AN994" s="905">
        <f>INDEX(G994:R994,1,MATCH(Parametres!$B$3,G$1:R$1,0))*IF(OR(F994="L",F994="S",F994="I"),-1,1)</f>
        <v>0</v>
      </c>
      <c r="AO994" s="487" t="str">
        <f>+VLOOKUP($AJ994,Data_Validation!$A:$D,1,0)</f>
        <v>G66720</v>
      </c>
      <c r="AP994" s="487" t="str">
        <f>+VLOOKUP($AJ994,Data_Validation!$A:$D,3,0)</f>
        <v>Pièces</v>
      </c>
      <c r="AQ994" s="487" t="str">
        <f>+VLOOKUP($AJ994,Data_Validation!$A:$D,4,0)</f>
        <v>Pièces Ro Clients</v>
      </c>
      <c r="AR994" s="487" t="s">
        <v>299</v>
      </c>
      <c r="AS994" s="487">
        <f>+VLOOKUP($AJ994,Data_Validation!$A:$E,5,0)</f>
        <v>0</v>
      </c>
      <c r="AT994" s="904" t="str">
        <f t="shared" si="101"/>
        <v>G66720</v>
      </c>
      <c r="AU994" s="488" t="str">
        <f t="shared" si="102"/>
        <v>COUT-P&amp;A SERV.PL.PROT.AUT</v>
      </c>
      <c r="AV994" s="899">
        <f>IFERROR(INDEX(V994:AG994,1,MATCH(Parametres!$B$3,V$1:AG$1,0)-1)*IF(OR(C994="L",C994="S",C994="I"),-1,1),"")</f>
        <v>0</v>
      </c>
      <c r="AW994" s="899">
        <f t="shared" si="103"/>
        <v>0</v>
      </c>
      <c r="AX994" s="899">
        <f>INDEX(V994:AG994,1,MATCH(Parametres!$B$3,V$1:AG$1,0))*IF(OR(C994="L",C994="S",C994="I"),-1,1)</f>
        <v>0</v>
      </c>
      <c r="AY994" s="487" t="s">
        <v>337</v>
      </c>
      <c r="AZ994" s="487">
        <f>+VLOOKUP($AJ994,Data_Validation!$A:$E,5,0)</f>
        <v>0</v>
      </c>
    </row>
    <row r="995" spans="1:52" ht="15" hidden="1" customHeight="1">
      <c r="A995" s="706" t="s">
        <v>1148</v>
      </c>
      <c r="B995" s="706">
        <v>2026</v>
      </c>
      <c r="C995" s="706" t="s">
        <v>2870</v>
      </c>
      <c r="D995" s="706" t="s">
        <v>2871</v>
      </c>
      <c r="E995" s="706" t="s">
        <v>333</v>
      </c>
      <c r="F995" s="706" t="s">
        <v>1152</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G66740</v>
      </c>
      <c r="AK995" s="905" t="str">
        <f t="shared" si="99"/>
        <v>P&amp;A GOOD VOIT CAM LEGER</v>
      </c>
      <c r="AL995" s="905">
        <f>IFERROR(INDEX(G995:R995,1,MATCH(Parametres!$B$3,G$1:R$1,0)-1)*IF(OR(F995="L",F995="S",F995="I"),-1,1),"")</f>
        <v>0</v>
      </c>
      <c r="AM995" s="905">
        <f t="shared" si="100"/>
        <v>0</v>
      </c>
      <c r="AN995" s="905">
        <f>INDEX(G995:R995,1,MATCH(Parametres!$B$3,G$1:R$1,0))*IF(OR(F995="L",F995="S",F995="I"),-1,1)</f>
        <v>0</v>
      </c>
      <c r="AO995" s="487" t="str">
        <f>+VLOOKUP($AJ995,Data_Validation!$A:$D,1,0)</f>
        <v>G66740</v>
      </c>
      <c r="AP995" s="487">
        <f>+VLOOKUP($AJ995,Data_Validation!$A:$D,3,0)</f>
        <v>0</v>
      </c>
      <c r="AQ995" s="487">
        <f>+VLOOKUP($AJ995,Data_Validation!$A:$D,4,0)</f>
        <v>0</v>
      </c>
      <c r="AR995" s="487" t="s">
        <v>299</v>
      </c>
      <c r="AS995" s="487">
        <f>+VLOOKUP($AJ995,Data_Validation!$A:$E,5,0)</f>
        <v>0</v>
      </c>
      <c r="AT995" s="904" t="str">
        <f t="shared" si="101"/>
        <v>G66740</v>
      </c>
      <c r="AU995" s="488" t="str">
        <f t="shared" si="102"/>
        <v>P&amp;A GOOD VOIT CAM LEGER</v>
      </c>
      <c r="AV995" s="899">
        <f>IFERROR(INDEX(V995:AG995,1,MATCH(Parametres!$B$3,V$1:AG$1,0)-1)*IF(OR(C995="L",C995="S",C995="I"),-1,1),"")</f>
        <v>0</v>
      </c>
      <c r="AW995" s="899">
        <f t="shared" si="103"/>
        <v>0</v>
      </c>
      <c r="AX995" s="899">
        <f>INDEX(V995:AG995,1,MATCH(Parametres!$B$3,V$1:AG$1,0))*IF(OR(C995="L",C995="S",C995="I"),-1,1)</f>
        <v>0</v>
      </c>
      <c r="AY995" s="487" t="s">
        <v>337</v>
      </c>
      <c r="AZ995" s="487">
        <f>+VLOOKUP($AJ995,Data_Validation!$A:$E,5,0)</f>
        <v>0</v>
      </c>
    </row>
    <row r="996" spans="1:52" ht="15" hidden="1" customHeight="1">
      <c r="A996" s="706" t="s">
        <v>1148</v>
      </c>
      <c r="B996" s="706">
        <v>2026</v>
      </c>
      <c r="C996" s="706" t="s">
        <v>2872</v>
      </c>
      <c r="D996" s="706" t="s">
        <v>2873</v>
      </c>
      <c r="E996" s="706" t="s">
        <v>333</v>
      </c>
      <c r="F996" s="706" t="s">
        <v>1152</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G66800</v>
      </c>
      <c r="AK996" s="905" t="str">
        <f t="shared" si="99"/>
        <v>COUT-VOIT.OCC.EN GROS-DET</v>
      </c>
      <c r="AL996" s="905">
        <f>IFERROR(INDEX(G996:R996,1,MATCH(Parametres!$B$3,G$1:R$1,0)-1)*IF(OR(F996="L",F996="S",F996="I"),-1,1),"")</f>
        <v>0</v>
      </c>
      <c r="AM996" s="905">
        <f t="shared" si="100"/>
        <v>0</v>
      </c>
      <c r="AN996" s="905">
        <f>INDEX(G996:R996,1,MATCH(Parametres!$B$3,G$1:R$1,0))*IF(OR(F996="L",F996="S",F996="I"),-1,1)</f>
        <v>0</v>
      </c>
      <c r="AO996" s="487" t="str">
        <f>+VLOOKUP($AJ996,Data_Validation!$A:$D,1,0)</f>
        <v>G66800</v>
      </c>
      <c r="AP996" s="487">
        <f>+VLOOKUP($AJ996,Data_Validation!$A:$D,3,0)</f>
        <v>0</v>
      </c>
      <c r="AQ996" s="487">
        <f>+VLOOKUP($AJ996,Data_Validation!$A:$D,4,0)</f>
        <v>0</v>
      </c>
      <c r="AR996" s="487" t="s">
        <v>299</v>
      </c>
      <c r="AS996" s="487">
        <f>+VLOOKUP($AJ996,Data_Validation!$A:$E,5,0)</f>
        <v>0</v>
      </c>
      <c r="AT996" s="904" t="str">
        <f t="shared" si="101"/>
        <v>G66800</v>
      </c>
      <c r="AU996" s="488" t="str">
        <f t="shared" si="102"/>
        <v>COUT-VOIT.OCC.EN GROS-DET</v>
      </c>
      <c r="AV996" s="899">
        <f>IFERROR(INDEX(V996:AG996,1,MATCH(Parametres!$B$3,V$1:AG$1,0)-1)*IF(OR(C996="L",C996="S",C996="I"),-1,1),"")</f>
        <v>0</v>
      </c>
      <c r="AW996" s="899">
        <f t="shared" si="103"/>
        <v>0</v>
      </c>
      <c r="AX996" s="899">
        <f>INDEX(V996:AG996,1,MATCH(Parametres!$B$3,V$1:AG$1,0))*IF(OR(C996="L",C996="S",C996="I"),-1,1)</f>
        <v>0</v>
      </c>
      <c r="AY996" s="487" t="s">
        <v>337</v>
      </c>
      <c r="AZ996" s="487">
        <f>+VLOOKUP($AJ996,Data_Validation!$A:$E,5,0)</f>
        <v>0</v>
      </c>
    </row>
    <row r="997" spans="1:52" ht="15" hidden="1" customHeight="1">
      <c r="A997" s="706" t="s">
        <v>1148</v>
      </c>
      <c r="B997" s="706">
        <v>2026</v>
      </c>
      <c r="C997" s="706" t="s">
        <v>2874</v>
      </c>
      <c r="D997" s="706" t="s">
        <v>2875</v>
      </c>
      <c r="E997" s="706" t="s">
        <v>333</v>
      </c>
      <c r="F997" s="706" t="s">
        <v>1152</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G66810</v>
      </c>
      <c r="AK997" s="905" t="str">
        <f t="shared" si="99"/>
        <v>COUT-P&amp;A SERV.CLIENT CAM.</v>
      </c>
      <c r="AL997" s="905">
        <f>IFERROR(INDEX(G997:R997,1,MATCH(Parametres!$B$3,G$1:R$1,0)-1)*IF(OR(F997="L",F997="S",F997="I"),-1,1),"")</f>
        <v>0</v>
      </c>
      <c r="AM997" s="905">
        <f t="shared" si="100"/>
        <v>0</v>
      </c>
      <c r="AN997" s="905">
        <f>INDEX(G997:R997,1,MATCH(Parametres!$B$3,G$1:R$1,0))*IF(OR(F997="L",F997="S",F997="I"),-1,1)</f>
        <v>0</v>
      </c>
      <c r="AO997" s="487" t="str">
        <f>+VLOOKUP($AJ997,Data_Validation!$A:$D,1,0)</f>
        <v>G66810</v>
      </c>
      <c r="AP997" s="487">
        <f>+VLOOKUP($AJ997,Data_Validation!$A:$D,3,0)</f>
        <v>0</v>
      </c>
      <c r="AQ997" s="487">
        <f>+VLOOKUP($AJ997,Data_Validation!$A:$D,4,0)</f>
        <v>0</v>
      </c>
      <c r="AR997" s="487" t="s">
        <v>299</v>
      </c>
      <c r="AS997" s="487">
        <f>+VLOOKUP($AJ997,Data_Validation!$A:$E,5,0)</f>
        <v>0</v>
      </c>
      <c r="AT997" s="904" t="str">
        <f t="shared" si="101"/>
        <v>G66810</v>
      </c>
      <c r="AU997" s="488" t="str">
        <f t="shared" si="102"/>
        <v>COUT-P&amp;A SERV.CLIENT CAM.</v>
      </c>
      <c r="AV997" s="899">
        <f>IFERROR(INDEX(V997:AG997,1,MATCH(Parametres!$B$3,V$1:AG$1,0)-1)*IF(OR(C997="L",C997="S",C997="I"),-1,1),"")</f>
        <v>0</v>
      </c>
      <c r="AW997" s="899">
        <f t="shared" si="103"/>
        <v>0</v>
      </c>
      <c r="AX997" s="899">
        <f>INDEX(V997:AG997,1,MATCH(Parametres!$B$3,V$1:AG$1,0))*IF(OR(C997="L",C997="S",C997="I"),-1,1)</f>
        <v>0</v>
      </c>
      <c r="AY997" s="487" t="s">
        <v>337</v>
      </c>
      <c r="AZ997" s="487">
        <f>+VLOOKUP($AJ997,Data_Validation!$A:$E,5,0)</f>
        <v>0</v>
      </c>
    </row>
    <row r="998" spans="1:52" ht="15" hidden="1" customHeight="1">
      <c r="A998" s="706" t="s">
        <v>1148</v>
      </c>
      <c r="B998" s="706">
        <v>2026</v>
      </c>
      <c r="C998" s="706" t="s">
        <v>2876</v>
      </c>
      <c r="D998" s="706" t="s">
        <v>2877</v>
      </c>
      <c r="E998" s="706" t="s">
        <v>333</v>
      </c>
      <c r="F998" s="706" t="s">
        <v>1152</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G66840</v>
      </c>
      <c r="AK998" s="905" t="str">
        <f t="shared" si="99"/>
        <v>COUT-P&amp;A GOODWRENCH CAM.</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G66840</v>
      </c>
      <c r="AU998" s="488" t="str">
        <f t="shared" si="102"/>
        <v>COUT-P&amp;A GOODWRENCH CAM.</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hidden="1" customHeight="1">
      <c r="A999" s="706" t="s">
        <v>1148</v>
      </c>
      <c r="B999" s="706">
        <v>2026</v>
      </c>
      <c r="C999" s="706" t="s">
        <v>2878</v>
      </c>
      <c r="D999" s="706" t="s">
        <v>2879</v>
      </c>
      <c r="E999" s="706" t="s">
        <v>333</v>
      </c>
      <c r="F999" s="706" t="s">
        <v>1152</v>
      </c>
      <c r="G999" s="706">
        <v>1697.93</v>
      </c>
      <c r="H999" s="706">
        <v>605.92999999999995</v>
      </c>
      <c r="I999" s="706">
        <v>2814.77</v>
      </c>
      <c r="J999" s="706">
        <v>6319.61</v>
      </c>
      <c r="K999" s="706">
        <v>8033.4</v>
      </c>
      <c r="L999" s="706">
        <v>10284.52</v>
      </c>
      <c r="M999" s="706">
        <v>10284.52</v>
      </c>
      <c r="N999" s="706">
        <v>14481.63</v>
      </c>
      <c r="O999" s="706">
        <v>17307.04</v>
      </c>
      <c r="P999" s="706">
        <v>17307.04</v>
      </c>
      <c r="Q999" s="706">
        <v>0</v>
      </c>
      <c r="R999" s="706">
        <v>0</v>
      </c>
      <c r="S999" s="706">
        <v>1923</v>
      </c>
      <c r="T999" s="706">
        <v>1923</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G66900</v>
      </c>
      <c r="AK999" s="905" t="str">
        <f t="shared" si="99"/>
        <v>COUT MATERIEL ATELIER</v>
      </c>
      <c r="AL999" s="905">
        <f>IFERROR(INDEX(G999:R999,1,MATCH(Parametres!$B$3,G$1:R$1,0)-1)*IF(OR(F999="L",F999="S",F999="I"),-1,1),"")</f>
        <v>14481.63</v>
      </c>
      <c r="AM999" s="905">
        <f t="shared" si="100"/>
        <v>2825.4100000000017</v>
      </c>
      <c r="AN999" s="905">
        <f>INDEX(G999:R999,1,MATCH(Parametres!$B$3,G$1:R$1,0))*IF(OR(F999="L",F999="S",F999="I"),-1,1)</f>
        <v>17307.04</v>
      </c>
      <c r="AO999" s="487" t="str">
        <f>+VLOOKUP($AJ999,Data_Validation!$A:$D,1,0)</f>
        <v>G66900</v>
      </c>
      <c r="AP999" s="487" t="str">
        <f>+VLOOKUP($AJ999,Data_Validation!$A:$D,3,0)</f>
        <v>Service</v>
      </c>
      <c r="AQ999" s="487" t="str">
        <f>+VLOOKUP($AJ999,Data_Validation!$A:$D,4,0)</f>
        <v>Sous-traitement</v>
      </c>
      <c r="AR999" s="487" t="s">
        <v>299</v>
      </c>
      <c r="AS999" s="487">
        <f>+VLOOKUP($AJ999,Data_Validation!$A:$E,5,0)</f>
        <v>0</v>
      </c>
      <c r="AT999" s="904" t="str">
        <f t="shared" si="101"/>
        <v>G66900</v>
      </c>
      <c r="AU999" s="488" t="str">
        <f t="shared" si="102"/>
        <v>COUT MATERIEL ATELIER</v>
      </c>
      <c r="AV999" s="899">
        <f>IFERROR(INDEX(V999:AG999,1,MATCH(Parametres!$B$3,V$1:AG$1,0)-1)*IF(OR(C999="L",C999="S",C999="I"),-1,1),"")</f>
        <v>0</v>
      </c>
      <c r="AW999" s="899">
        <f t="shared" si="103"/>
        <v>0</v>
      </c>
      <c r="AX999" s="899">
        <f>INDEX(V999:AG999,1,MATCH(Parametres!$B$3,V$1:AG$1,0))*IF(OR(C999="L",C999="S",C999="I"),-1,1)</f>
        <v>0</v>
      </c>
      <c r="AY999" s="487" t="s">
        <v>337</v>
      </c>
      <c r="AZ999" s="487">
        <f>+VLOOKUP($AJ999,Data_Validation!$A:$E,5,0)</f>
        <v>0</v>
      </c>
    </row>
    <row r="1000" spans="1:52" ht="15" hidden="1" customHeight="1">
      <c r="A1000" s="706" t="s">
        <v>1148</v>
      </c>
      <c r="B1000" s="706">
        <v>2026</v>
      </c>
      <c r="C1000" s="706" t="s">
        <v>2880</v>
      </c>
      <c r="D1000" s="706" t="s">
        <v>2881</v>
      </c>
      <c r="E1000" s="706" t="s">
        <v>333</v>
      </c>
      <c r="F1000" s="706" t="s">
        <v>1152</v>
      </c>
      <c r="G1000" s="706">
        <v>0</v>
      </c>
      <c r="H1000" s="706">
        <v>0</v>
      </c>
      <c r="I1000" s="706">
        <v>0</v>
      </c>
      <c r="J1000" s="706">
        <v>0</v>
      </c>
      <c r="K1000" s="706">
        <v>1266.73</v>
      </c>
      <c r="L1000" s="706">
        <v>3705.88</v>
      </c>
      <c r="M1000" s="706">
        <v>5244.04</v>
      </c>
      <c r="N1000" s="706">
        <v>5880.21</v>
      </c>
      <c r="O1000" s="706">
        <v>8725.3799999999992</v>
      </c>
      <c r="P1000" s="706">
        <v>8835.1200000000008</v>
      </c>
      <c r="Q1000" s="706">
        <v>0</v>
      </c>
      <c r="R1000" s="706">
        <v>0</v>
      </c>
      <c r="S1000" s="706">
        <v>969.49</v>
      </c>
      <c r="T1000" s="706">
        <v>969.49</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G67000</v>
      </c>
      <c r="AK1000" s="905" t="str">
        <f t="shared" si="99"/>
        <v>COUT-M.D. PEINTURE</v>
      </c>
      <c r="AL1000" s="905">
        <f>IFERROR(INDEX(G1000:R1000,1,MATCH(Parametres!$B$3,G$1:R$1,0)-1)*IF(OR(F1000="L",F1000="S",F1000="I"),-1,1),"")</f>
        <v>5880.21</v>
      </c>
      <c r="AM1000" s="905">
        <f t="shared" si="100"/>
        <v>2845.1699999999992</v>
      </c>
      <c r="AN1000" s="905">
        <f>INDEX(G1000:R1000,1,MATCH(Parametres!$B$3,G$1:R$1,0))*IF(OR(F1000="L",F1000="S",F1000="I"),-1,1)</f>
        <v>8725.3799999999992</v>
      </c>
      <c r="AO1000" s="487" t="str">
        <f>+VLOOKUP($AJ1000,Data_Validation!$A:$D,1,0)</f>
        <v>G67000</v>
      </c>
      <c r="AP1000" s="487" t="str">
        <f>+VLOOKUP($AJ1000,Data_Validation!$A:$D,3,0)</f>
        <v>Carrosserie</v>
      </c>
      <c r="AQ1000" s="487" t="str">
        <f>+VLOOKUP($AJ1000,Data_Validation!$A:$D,4,0)</f>
        <v>Carrosserie Clients</v>
      </c>
      <c r="AR1000" s="487" t="s">
        <v>299</v>
      </c>
      <c r="AS1000" s="487">
        <f>+VLOOKUP($AJ1000,Data_Validation!$A:$E,5,0)</f>
        <v>0</v>
      </c>
      <c r="AT1000" s="904" t="str">
        <f t="shared" si="101"/>
        <v>G67000</v>
      </c>
      <c r="AU1000" s="488" t="str">
        <f t="shared" si="102"/>
        <v>COUT-M.D. PEINTURE</v>
      </c>
      <c r="AV1000" s="899">
        <f>IFERROR(INDEX(V1000:AG1000,1,MATCH(Parametres!$B$3,V$1:AG$1,0)-1)*IF(OR(C1000="L",C1000="S",C1000="I"),-1,1),"")</f>
        <v>0</v>
      </c>
      <c r="AW1000" s="899">
        <f t="shared" si="103"/>
        <v>0</v>
      </c>
      <c r="AX1000" s="899">
        <f>INDEX(V1000:AG1000,1,MATCH(Parametres!$B$3,V$1:AG$1,0))*IF(OR(C1000="L",C1000="S",C1000="I"),-1,1)</f>
        <v>0</v>
      </c>
      <c r="AY1000" s="487" t="s">
        <v>337</v>
      </c>
      <c r="AZ1000" s="487">
        <f>+VLOOKUP($AJ1000,Data_Validation!$A:$E,5,0)</f>
        <v>0</v>
      </c>
    </row>
    <row r="1001" spans="1:52" ht="15" hidden="1" customHeight="1">
      <c r="A1001" s="706" t="s">
        <v>1148</v>
      </c>
      <c r="B1001" s="706">
        <v>2026</v>
      </c>
      <c r="C1001" s="706" t="s">
        <v>2882</v>
      </c>
      <c r="D1001" s="706" t="s">
        <v>2883</v>
      </c>
      <c r="E1001" s="706" t="s">
        <v>333</v>
      </c>
      <c r="F1001" s="706" t="s">
        <v>1152</v>
      </c>
      <c r="G1001" s="706">
        <v>0</v>
      </c>
      <c r="H1001" s="706">
        <v>0</v>
      </c>
      <c r="I1001" s="706">
        <v>0</v>
      </c>
      <c r="J1001" s="706">
        <v>0</v>
      </c>
      <c r="K1001" s="706">
        <v>2406.7600000000002</v>
      </c>
      <c r="L1001" s="706">
        <v>4008.48</v>
      </c>
      <c r="M1001" s="706">
        <v>6256.59</v>
      </c>
      <c r="N1001" s="706">
        <v>7178.19</v>
      </c>
      <c r="O1001" s="706">
        <v>8788.3700000000008</v>
      </c>
      <c r="P1001" s="706">
        <v>8840.24</v>
      </c>
      <c r="Q1001" s="706">
        <v>0</v>
      </c>
      <c r="R1001" s="706">
        <v>0</v>
      </c>
      <c r="S1001" s="706">
        <v>976.49</v>
      </c>
      <c r="T1001" s="706">
        <v>976.49</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G67005</v>
      </c>
      <c r="AK1001" s="905" t="str">
        <f t="shared" si="99"/>
        <v>COUT -M.O CONCES. PEINTUR</v>
      </c>
      <c r="AL1001" s="905">
        <f>IFERROR(INDEX(G1001:R1001,1,MATCH(Parametres!$B$3,G$1:R$1,0)-1)*IF(OR(F1001="L",F1001="S",F1001="I"),-1,1),"")</f>
        <v>7178.19</v>
      </c>
      <c r="AM1001" s="905">
        <f t="shared" si="100"/>
        <v>1610.1800000000012</v>
      </c>
      <c r="AN1001" s="905">
        <f>INDEX(G1001:R1001,1,MATCH(Parametres!$B$3,G$1:R$1,0))*IF(OR(F1001="L",F1001="S",F1001="I"),-1,1)</f>
        <v>8788.3700000000008</v>
      </c>
      <c r="AO1001" s="487" t="str">
        <f>+VLOOKUP($AJ1001,Data_Validation!$A:$D,1,0)</f>
        <v>G67005</v>
      </c>
      <c r="AP1001" s="487" t="str">
        <f>+VLOOKUP($AJ1001,Data_Validation!$A:$D,3,0)</f>
        <v>Carrosserie</v>
      </c>
      <c r="AQ1001" s="487" t="str">
        <f>+VLOOKUP($AJ1001,Data_Validation!$A:$D,4,0)</f>
        <v>Carrosserie Concessions</v>
      </c>
      <c r="AR1001" s="487" t="s">
        <v>299</v>
      </c>
      <c r="AS1001" s="487">
        <f>+VLOOKUP($AJ1001,Data_Validation!$A:$E,5,0)</f>
        <v>0</v>
      </c>
      <c r="AT1001" s="904" t="str">
        <f t="shared" si="101"/>
        <v>G67005</v>
      </c>
      <c r="AU1001" s="488" t="str">
        <f t="shared" si="102"/>
        <v>COUT -M.O CONCES. PEINTUR</v>
      </c>
      <c r="AV1001" s="899">
        <f>IFERROR(INDEX(V1001:AG1001,1,MATCH(Parametres!$B$3,V$1:AG$1,0)-1)*IF(OR(C1001="L",C1001="S",C1001="I"),-1,1),"")</f>
        <v>0</v>
      </c>
      <c r="AW1001" s="899">
        <f t="shared" si="103"/>
        <v>0</v>
      </c>
      <c r="AX1001" s="899">
        <f>INDEX(V1001:AG1001,1,MATCH(Parametres!$B$3,V$1:AG$1,0))*IF(OR(C1001="L",C1001="S",C1001="I"),-1,1)</f>
        <v>0</v>
      </c>
      <c r="AY1001" s="487" t="s">
        <v>337</v>
      </c>
      <c r="AZ1001" s="487">
        <f>+VLOOKUP($AJ1001,Data_Validation!$A:$E,5,0)</f>
        <v>0</v>
      </c>
    </row>
    <row r="1002" spans="1:52" ht="15" hidden="1" customHeight="1">
      <c r="A1002" s="706" t="s">
        <v>1148</v>
      </c>
      <c r="B1002" s="706">
        <v>2026</v>
      </c>
      <c r="C1002" s="706" t="s">
        <v>2884</v>
      </c>
      <c r="D1002" s="706" t="s">
        <v>2885</v>
      </c>
      <c r="E1002" s="706" t="s">
        <v>333</v>
      </c>
      <c r="F1002" s="706" t="s">
        <v>1152</v>
      </c>
      <c r="G1002" s="706">
        <v>19730.259999999998</v>
      </c>
      <c r="H1002" s="706">
        <v>41519.22</v>
      </c>
      <c r="I1002" s="706">
        <v>61660.73</v>
      </c>
      <c r="J1002" s="706">
        <v>100877.37</v>
      </c>
      <c r="K1002" s="706">
        <v>107269.34</v>
      </c>
      <c r="L1002" s="706">
        <v>114935.97</v>
      </c>
      <c r="M1002" s="706">
        <v>124356.83</v>
      </c>
      <c r="N1002" s="706">
        <v>134962.57</v>
      </c>
      <c r="O1002" s="706">
        <v>147281.43</v>
      </c>
      <c r="P1002" s="706">
        <v>148416.32000000001</v>
      </c>
      <c r="Q1002" s="706">
        <v>0</v>
      </c>
      <c r="R1002" s="706">
        <v>0</v>
      </c>
      <c r="S1002" s="706">
        <v>16364.6</v>
      </c>
      <c r="T1002" s="706">
        <v>16364.6</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G67100</v>
      </c>
      <c r="AK1002" s="905" t="str">
        <f t="shared" si="99"/>
        <v>COUT-M.D. CARROSSERIE</v>
      </c>
      <c r="AL1002" s="905">
        <f>IFERROR(INDEX(G1002:R1002,1,MATCH(Parametres!$B$3,G$1:R$1,0)-1)*IF(OR(F1002="L",F1002="S",F1002="I"),-1,1),"")</f>
        <v>134962.57</v>
      </c>
      <c r="AM1002" s="905">
        <f t="shared" si="100"/>
        <v>12318.859999999986</v>
      </c>
      <c r="AN1002" s="905">
        <f>INDEX(G1002:R1002,1,MATCH(Parametres!$B$3,G$1:R$1,0))*IF(OR(F1002="L",F1002="S",F1002="I"),-1,1)</f>
        <v>147281.43</v>
      </c>
      <c r="AO1002" s="487" t="str">
        <f>+VLOOKUP($AJ1002,Data_Validation!$A:$D,1,0)</f>
        <v>G67100</v>
      </c>
      <c r="AP1002" s="487" t="str">
        <f>+VLOOKUP($AJ1002,Data_Validation!$A:$D,3,0)</f>
        <v>Carrosserie</v>
      </c>
      <c r="AQ1002" s="487" t="str">
        <f>+VLOOKUP($AJ1002,Data_Validation!$A:$D,4,0)</f>
        <v>Carrosserie Clients</v>
      </c>
      <c r="AR1002" s="487" t="s">
        <v>299</v>
      </c>
      <c r="AS1002" s="487">
        <f>+VLOOKUP($AJ1002,Data_Validation!$A:$E,5,0)</f>
        <v>0</v>
      </c>
      <c r="AT1002" s="904" t="str">
        <f t="shared" si="101"/>
        <v>G67100</v>
      </c>
      <c r="AU1002" s="488" t="str">
        <f t="shared" si="102"/>
        <v>COUT-M.D. CARROSSERIE</v>
      </c>
      <c r="AV1002" s="899">
        <f>IFERROR(INDEX(V1002:AG1002,1,MATCH(Parametres!$B$3,V$1:AG$1,0)-1)*IF(OR(C1002="L",C1002="S",C1002="I"),-1,1),"")</f>
        <v>0</v>
      </c>
      <c r="AW1002" s="899">
        <f t="shared" si="103"/>
        <v>0</v>
      </c>
      <c r="AX1002" s="899">
        <f>INDEX(V1002:AG1002,1,MATCH(Parametres!$B$3,V$1:AG$1,0))*IF(OR(C1002="L",C1002="S",C1002="I"),-1,1)</f>
        <v>0</v>
      </c>
      <c r="AY1002" s="487" t="s">
        <v>337</v>
      </c>
      <c r="AZ1002" s="487">
        <f>+VLOOKUP($AJ1002,Data_Validation!$A:$E,5,0)</f>
        <v>0</v>
      </c>
    </row>
    <row r="1003" spans="1:52" ht="15" hidden="1" customHeight="1">
      <c r="A1003" s="706" t="s">
        <v>1148</v>
      </c>
      <c r="B1003" s="706">
        <v>2026</v>
      </c>
      <c r="C1003" s="706" t="s">
        <v>2886</v>
      </c>
      <c r="D1003" s="706" t="s">
        <v>2887</v>
      </c>
      <c r="E1003" s="706" t="s">
        <v>333</v>
      </c>
      <c r="F1003" s="706" t="s">
        <v>1152</v>
      </c>
      <c r="G1003" s="706">
        <v>0</v>
      </c>
      <c r="H1003" s="706">
        <v>0</v>
      </c>
      <c r="I1003" s="706">
        <v>0</v>
      </c>
      <c r="J1003" s="706">
        <v>0</v>
      </c>
      <c r="K1003" s="706">
        <v>5591.54</v>
      </c>
      <c r="L1003" s="706">
        <v>11000.09</v>
      </c>
      <c r="M1003" s="706">
        <v>19383.18</v>
      </c>
      <c r="N1003" s="706">
        <v>24728.02</v>
      </c>
      <c r="O1003" s="706">
        <v>29276.720000000001</v>
      </c>
      <c r="P1003" s="706">
        <v>29328.04</v>
      </c>
      <c r="Q1003" s="706">
        <v>0</v>
      </c>
      <c r="R1003" s="706">
        <v>0</v>
      </c>
      <c r="S1003" s="706">
        <v>3252.97</v>
      </c>
      <c r="T1003" s="706">
        <v>3252.97</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G67105</v>
      </c>
      <c r="AK1003" s="905" t="str">
        <f t="shared" si="99"/>
        <v>COUT-M.O CONCES. -BODY</v>
      </c>
      <c r="AL1003" s="905">
        <f>IFERROR(INDEX(G1003:R1003,1,MATCH(Parametres!$B$3,G$1:R$1,0)-1)*IF(OR(F1003="L",F1003="S",F1003="I"),-1,1),"")</f>
        <v>24728.02</v>
      </c>
      <c r="AM1003" s="905">
        <f t="shared" si="100"/>
        <v>4548.7000000000007</v>
      </c>
      <c r="AN1003" s="1047">
        <f>INDEX(G1003:R1003,1,MATCH(Parametres!$B$3,G$1:R$1,0))*IF(OR(F1003="L",F1003="S",F1003="I"),-1,1)</f>
        <v>29276.720000000001</v>
      </c>
      <c r="AO1003" s="487" t="str">
        <f>+VLOOKUP($AJ1003,Data_Validation!$A:$D,1,0)</f>
        <v>G67105</v>
      </c>
      <c r="AP1003" s="487" t="str">
        <f>+VLOOKUP($AJ1003,Data_Validation!$A:$D,3,0)</f>
        <v>Carrosserie</v>
      </c>
      <c r="AQ1003" s="487" t="str">
        <f>+VLOOKUP($AJ1003,Data_Validation!$A:$D,4,0)</f>
        <v>Carrosserie Concessions</v>
      </c>
      <c r="AR1003" s="487" t="s">
        <v>299</v>
      </c>
      <c r="AS1003" s="487">
        <f>+VLOOKUP($AJ1003,Data_Validation!$A:$E,5,0)</f>
        <v>0</v>
      </c>
      <c r="AT1003" s="904" t="str">
        <f t="shared" si="101"/>
        <v>G67105</v>
      </c>
      <c r="AU1003" s="488" t="str">
        <f t="shared" si="102"/>
        <v>COUT-M.O CONCES. -BODY</v>
      </c>
      <c r="AV1003" s="899">
        <f>IFERROR(INDEX(V1003:AG1003,1,MATCH(Parametres!$B$3,V$1:AG$1,0)-1)*IF(OR(C1003="L",C1003="S",C1003="I"),-1,1),"")</f>
        <v>0</v>
      </c>
      <c r="AW1003" s="899">
        <f t="shared" si="103"/>
        <v>0</v>
      </c>
      <c r="AX1003" s="899">
        <f>INDEX(V1003:AG1003,1,MATCH(Parametres!$B$3,V$1:AG$1,0))*IF(OR(C1003="L",C1003="S",C1003="I"),-1,1)</f>
        <v>0</v>
      </c>
      <c r="AY1003" s="487" t="s">
        <v>337</v>
      </c>
      <c r="AZ1003" s="487">
        <f>+VLOOKUP($AJ1003,Data_Validation!$A:$E,5,0)</f>
        <v>0</v>
      </c>
    </row>
    <row r="1004" spans="1:52" ht="15" hidden="1" customHeight="1">
      <c r="A1004" s="706" t="s">
        <v>1148</v>
      </c>
      <c r="B1004" s="706">
        <v>2026</v>
      </c>
      <c r="C1004" s="706" t="s">
        <v>2888</v>
      </c>
      <c r="D1004" s="706" t="s">
        <v>2889</v>
      </c>
      <c r="E1004" s="706" t="s">
        <v>333</v>
      </c>
      <c r="F1004" s="706" t="s">
        <v>1152</v>
      </c>
      <c r="G1004" s="706">
        <v>0</v>
      </c>
      <c r="H1004" s="706">
        <v>0</v>
      </c>
      <c r="I1004" s="706">
        <v>0</v>
      </c>
      <c r="J1004" s="706">
        <v>0</v>
      </c>
      <c r="K1004" s="706">
        <v>236.84</v>
      </c>
      <c r="L1004" s="706">
        <v>934.73</v>
      </c>
      <c r="M1004" s="706">
        <v>1847.09</v>
      </c>
      <c r="N1004" s="706">
        <v>1902.53</v>
      </c>
      <c r="O1004" s="706">
        <v>2310.8200000000002</v>
      </c>
      <c r="P1004" s="706">
        <v>2342.6799999999998</v>
      </c>
      <c r="Q1004" s="706">
        <v>0</v>
      </c>
      <c r="R1004" s="706">
        <v>0</v>
      </c>
      <c r="S1004" s="706">
        <v>256.76</v>
      </c>
      <c r="T1004" s="706">
        <v>256.76</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G67110</v>
      </c>
      <c r="AK1004" s="905" t="str">
        <f t="shared" si="99"/>
        <v>COUT - M.O MEC CLT BODY</v>
      </c>
      <c r="AL1004" s="905">
        <f>IFERROR(INDEX(G1004:R1004,1,MATCH(Parametres!$B$3,G$1:R$1,0)-1)*IF(OR(F1004="L",F1004="S",F1004="I"),-1,1),"")</f>
        <v>1902.53</v>
      </c>
      <c r="AM1004" s="905">
        <f t="shared" si="100"/>
        <v>408.29000000000019</v>
      </c>
      <c r="AN1004" s="905">
        <f>INDEX(G1004:R1004,1,MATCH(Parametres!$B$3,G$1:R$1,0))*IF(OR(F1004="L",F1004="S",F1004="I"),-1,1)</f>
        <v>2310.8200000000002</v>
      </c>
      <c r="AO1004" s="487" t="str">
        <f>+VLOOKUP($AJ1004,Data_Validation!$A:$D,1,0)</f>
        <v>G67110</v>
      </c>
      <c r="AP1004" s="487" t="str">
        <f>+VLOOKUP($AJ1004,Data_Validation!$A:$D,3,0)</f>
        <v>Carrosserie</v>
      </c>
      <c r="AQ1004" s="487" t="str">
        <f>+VLOOKUP($AJ1004,Data_Validation!$A:$D,4,0)</f>
        <v>Carrosserie Clients</v>
      </c>
      <c r="AR1004" s="487" t="s">
        <v>299</v>
      </c>
      <c r="AS1004" s="487">
        <f>+VLOOKUP($AJ1004,Data_Validation!$A:$E,5,0)</f>
        <v>0</v>
      </c>
      <c r="AT1004" s="904" t="str">
        <f t="shared" si="101"/>
        <v>G67110</v>
      </c>
      <c r="AU1004" s="488" t="str">
        <f t="shared" si="102"/>
        <v>COUT - M.O MEC CLT BODY</v>
      </c>
      <c r="AV1004" s="899">
        <f>IFERROR(INDEX(V1004:AG1004,1,MATCH(Parametres!$B$3,V$1:AG$1,0)-1)*IF(OR(C1004="L",C1004="S",C1004="I"),-1,1),"")</f>
        <v>0</v>
      </c>
      <c r="AW1004" s="899">
        <f t="shared" si="103"/>
        <v>0</v>
      </c>
      <c r="AX1004" s="899">
        <f>INDEX(V1004:AG1004,1,MATCH(Parametres!$B$3,V$1:AG$1,0))*IF(OR(C1004="L",C1004="S",C1004="I"),-1,1)</f>
        <v>0</v>
      </c>
      <c r="AY1004" s="487" t="s">
        <v>337</v>
      </c>
      <c r="AZ1004" s="487">
        <f>+VLOOKUP($AJ1004,Data_Validation!$A:$E,5,0)</f>
        <v>0</v>
      </c>
    </row>
    <row r="1005" spans="1:52" ht="15" hidden="1" customHeight="1">
      <c r="A1005" s="706" t="s">
        <v>1148</v>
      </c>
      <c r="B1005" s="706">
        <v>2026</v>
      </c>
      <c r="C1005" s="706" t="s">
        <v>2890</v>
      </c>
      <c r="D1005" s="706" t="s">
        <v>2891</v>
      </c>
      <c r="E1005" s="706" t="s">
        <v>333</v>
      </c>
      <c r="F1005" s="706" t="s">
        <v>1152</v>
      </c>
      <c r="G1005" s="706">
        <v>0</v>
      </c>
      <c r="H1005" s="706">
        <v>0</v>
      </c>
      <c r="I1005" s="706">
        <v>0</v>
      </c>
      <c r="J1005" s="706">
        <v>0</v>
      </c>
      <c r="K1005" s="706">
        <v>9.7100000000000009</v>
      </c>
      <c r="L1005" s="706">
        <v>9.7100000000000009</v>
      </c>
      <c r="M1005" s="706">
        <v>9.7100000000000009</v>
      </c>
      <c r="N1005" s="706">
        <v>9.7100000000000009</v>
      </c>
      <c r="O1005" s="706">
        <v>9.7100000000000009</v>
      </c>
      <c r="P1005" s="706">
        <v>9.7100000000000009</v>
      </c>
      <c r="Q1005" s="706">
        <v>0</v>
      </c>
      <c r="R1005" s="706">
        <v>0</v>
      </c>
      <c r="S1005" s="706">
        <v>1.08</v>
      </c>
      <c r="T1005" s="706">
        <v>1.08</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G67115</v>
      </c>
      <c r="AK1005" s="905" t="str">
        <f t="shared" si="99"/>
        <v>COUT -M.O CONCES MEC-BODY</v>
      </c>
      <c r="AL1005" s="905">
        <f>IFERROR(INDEX(G1005:R1005,1,MATCH(Parametres!$B$3,G$1:R$1,0)-1)*IF(OR(F1005="L",F1005="S",F1005="I"),-1,1),"")</f>
        <v>9.7100000000000009</v>
      </c>
      <c r="AM1005" s="905">
        <f t="shared" si="100"/>
        <v>0</v>
      </c>
      <c r="AN1005" s="905">
        <f>INDEX(G1005:R1005,1,MATCH(Parametres!$B$3,G$1:R$1,0))*IF(OR(F1005="L",F1005="S",F1005="I"),-1,1)</f>
        <v>9.7100000000000009</v>
      </c>
      <c r="AO1005" s="487" t="str">
        <f>+VLOOKUP($AJ1005,Data_Validation!$A:$D,1,0)</f>
        <v>G67115</v>
      </c>
      <c r="AP1005" s="487" t="str">
        <f>+VLOOKUP($AJ1005,Data_Validation!$A:$D,3,0)</f>
        <v>Carrosserie</v>
      </c>
      <c r="AQ1005" s="487" t="str">
        <f>+VLOOKUP($AJ1005,Data_Validation!$A:$D,4,0)</f>
        <v>Carrosserie Concessions</v>
      </c>
      <c r="AR1005" s="487" t="s">
        <v>299</v>
      </c>
      <c r="AS1005" s="487">
        <f>+VLOOKUP($AJ1005,Data_Validation!$A:$E,5,0)</f>
        <v>0</v>
      </c>
      <c r="AT1005" s="904" t="str">
        <f t="shared" si="101"/>
        <v>G67115</v>
      </c>
      <c r="AU1005" s="488" t="str">
        <f t="shared" si="102"/>
        <v>COUT -M.O CONCES MEC-BODY</v>
      </c>
      <c r="AV1005" s="899">
        <f>IFERROR(INDEX(V1005:AG1005,1,MATCH(Parametres!$B$3,V$1:AG$1,0)-1)*IF(OR(C1005="L",C1005="S",C1005="I"),-1,1),"")</f>
        <v>0</v>
      </c>
      <c r="AW1005" s="899">
        <f t="shared" si="103"/>
        <v>0</v>
      </c>
      <c r="AX1005" s="899">
        <f>INDEX(V1005:AG1005,1,MATCH(Parametres!$B$3,V$1:AG$1,0))*IF(OR(C1005="L",C1005="S",C1005="I"),-1,1)</f>
        <v>0</v>
      </c>
      <c r="AY1005" s="487" t="s">
        <v>337</v>
      </c>
      <c r="AZ1005" s="487">
        <f>+VLOOKUP($AJ1005,Data_Validation!$A:$E,5,0)</f>
        <v>0</v>
      </c>
    </row>
    <row r="1006" spans="1:52" ht="15" hidden="1" customHeight="1">
      <c r="A1006" s="706" t="s">
        <v>1148</v>
      </c>
      <c r="B1006" s="706">
        <v>2026</v>
      </c>
      <c r="C1006" s="706" t="s">
        <v>2892</v>
      </c>
      <c r="D1006" s="706" t="s">
        <v>2893</v>
      </c>
      <c r="E1006" s="706" t="s">
        <v>333</v>
      </c>
      <c r="F1006" s="706" t="s">
        <v>1152</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G67125</v>
      </c>
      <c r="AK1006" s="905" t="str">
        <f t="shared" si="99"/>
        <v>**RISTOURNE M.O CONC.BODY</v>
      </c>
      <c r="AL1006" s="905">
        <f>IFERROR(INDEX(G1006:R1006,1,MATCH(Parametres!$B$3,G$1:R$1,0)-1)*IF(OR(F1006="L",F1006="S",F1006="I"),-1,1),"")</f>
        <v>0</v>
      </c>
      <c r="AM1006" s="905">
        <f t="shared" si="100"/>
        <v>0</v>
      </c>
      <c r="AN1006" s="905">
        <f>INDEX(G1006:R1006,1,MATCH(Parametres!$B$3,G$1:R$1,0))*IF(OR(F1006="L",F1006="S",F1006="I"),-1,1)</f>
        <v>0</v>
      </c>
      <c r="AO1006" s="487" t="str">
        <f>+VLOOKUP($AJ1006,Data_Validation!$A:$D,1,0)</f>
        <v>G67125</v>
      </c>
      <c r="AP1006" s="487" t="str">
        <f>+VLOOKUP($AJ1006,Data_Validation!$A:$D,3,0)</f>
        <v>Carrosserie</v>
      </c>
      <c r="AQ1006" s="487" t="str">
        <f>+VLOOKUP($AJ1006,Data_Validation!$A:$D,4,0)</f>
        <v>Carrosserie Concessions</v>
      </c>
      <c r="AR1006" s="487" t="s">
        <v>299</v>
      </c>
      <c r="AS1006" s="487">
        <f>+VLOOKUP($AJ1006,Data_Validation!$A:$E,5,0)</f>
        <v>0</v>
      </c>
      <c r="AT1006" s="904" t="str">
        <f t="shared" si="101"/>
        <v>G67125</v>
      </c>
      <c r="AU1006" s="488" t="str">
        <f t="shared" si="102"/>
        <v>**RISTOURNE M.O CONC.BODY</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hidden="1" customHeight="1">
      <c r="A1007" s="706" t="s">
        <v>1148</v>
      </c>
      <c r="B1007" s="706">
        <v>2026</v>
      </c>
      <c r="C1007" s="706" t="s">
        <v>2894</v>
      </c>
      <c r="D1007" s="706" t="s">
        <v>2895</v>
      </c>
      <c r="E1007" s="706" t="s">
        <v>333</v>
      </c>
      <c r="F1007" s="706" t="s">
        <v>1152</v>
      </c>
      <c r="G1007" s="706">
        <v>145.79</v>
      </c>
      <c r="H1007" s="706">
        <v>145.79</v>
      </c>
      <c r="I1007" s="706">
        <v>145.79</v>
      </c>
      <c r="J1007" s="706">
        <v>277.94</v>
      </c>
      <c r="K1007" s="706">
        <v>277.94</v>
      </c>
      <c r="L1007" s="706">
        <v>277.94</v>
      </c>
      <c r="M1007" s="706">
        <v>277.94</v>
      </c>
      <c r="N1007" s="706">
        <v>559.96</v>
      </c>
      <c r="O1007" s="706">
        <v>559.96</v>
      </c>
      <c r="P1007" s="706">
        <v>752.19</v>
      </c>
      <c r="Q1007" s="706">
        <v>0</v>
      </c>
      <c r="R1007" s="706">
        <v>0</v>
      </c>
      <c r="S1007" s="706">
        <v>62.22</v>
      </c>
      <c r="T1007" s="706">
        <v>62.22</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G67200</v>
      </c>
      <c r="AK1007" s="905" t="str">
        <f t="shared" si="99"/>
        <v>COUT-M.D. B.CLAIM</v>
      </c>
      <c r="AL1007" s="905">
        <f>IFERROR(INDEX(G1007:R1007,1,MATCH(Parametres!$B$3,G$1:R$1,0)-1)*IF(OR(F1007="L",F1007="S",F1007="I"),-1,1),"")</f>
        <v>559.96</v>
      </c>
      <c r="AM1007" s="905">
        <f t="shared" si="100"/>
        <v>0</v>
      </c>
      <c r="AN1007" s="1047">
        <f>INDEX(G1007:R1007,1,MATCH(Parametres!$B$3,G$1:R$1,0))*IF(OR(F1007="L",F1007="S",F1007="I"),-1,1)</f>
        <v>559.96</v>
      </c>
      <c r="AO1007" s="487" t="str">
        <f>+VLOOKUP($AJ1007,Data_Validation!$A:$D,1,0)</f>
        <v>G67200</v>
      </c>
      <c r="AP1007" s="487" t="str">
        <f>+VLOOKUP($AJ1007,Data_Validation!$A:$D,3,0)</f>
        <v>Carrosserie</v>
      </c>
      <c r="AQ1007" s="487" t="str">
        <f>+VLOOKUP($AJ1007,Data_Validation!$A:$D,4,0)</f>
        <v>Carrosserie Interne</v>
      </c>
      <c r="AR1007" s="487" t="s">
        <v>299</v>
      </c>
      <c r="AS1007" s="487">
        <f>+VLOOKUP($AJ1007,Data_Validation!$A:$E,5,0)</f>
        <v>0</v>
      </c>
      <c r="AT1007" s="904" t="str">
        <f t="shared" si="101"/>
        <v>G67200</v>
      </c>
      <c r="AU1007" s="488" t="str">
        <f t="shared" si="102"/>
        <v>COUT-M.D. B.CLAIM</v>
      </c>
      <c r="AV1007" s="899">
        <f>IFERROR(INDEX(V1007:AG1007,1,MATCH(Parametres!$B$3,V$1:AG$1,0)-1)*IF(OR(C1007="L",C1007="S",C1007="I"),-1,1),"")</f>
        <v>0</v>
      </c>
      <c r="AW1007" s="899">
        <f t="shared" si="103"/>
        <v>0</v>
      </c>
      <c r="AX1007" s="899">
        <f>INDEX(V1007:AG1007,1,MATCH(Parametres!$B$3,V$1:AG$1,0))*IF(OR(C1007="L",C1007="S",C1007="I"),-1,1)</f>
        <v>0</v>
      </c>
      <c r="AY1007" s="487" t="s">
        <v>337</v>
      </c>
      <c r="AZ1007" s="487">
        <f>+VLOOKUP($AJ1007,Data_Validation!$A:$E,5,0)</f>
        <v>0</v>
      </c>
    </row>
    <row r="1008" spans="1:52" ht="15" hidden="1" customHeight="1">
      <c r="A1008" s="706" t="s">
        <v>1148</v>
      </c>
      <c r="B1008" s="706">
        <v>2026</v>
      </c>
      <c r="C1008" s="706" t="s">
        <v>2896</v>
      </c>
      <c r="D1008" s="706" t="s">
        <v>2897</v>
      </c>
      <c r="E1008" s="706" t="s">
        <v>333</v>
      </c>
      <c r="F1008" s="706" t="s">
        <v>1152</v>
      </c>
      <c r="G1008" s="706">
        <v>1978.84</v>
      </c>
      <c r="H1008" s="706">
        <v>6111.77</v>
      </c>
      <c r="I1008" s="706">
        <v>10074.299999999999</v>
      </c>
      <c r="J1008" s="706">
        <v>13220.18</v>
      </c>
      <c r="K1008" s="706">
        <v>16185.95</v>
      </c>
      <c r="L1008" s="706">
        <v>18157.95</v>
      </c>
      <c r="M1008" s="706">
        <v>21697.4</v>
      </c>
      <c r="N1008" s="706">
        <v>23010.21</v>
      </c>
      <c r="O1008" s="706">
        <v>25055.67</v>
      </c>
      <c r="P1008" s="706">
        <v>25117.1</v>
      </c>
      <c r="Q1008" s="706">
        <v>0</v>
      </c>
      <c r="R1008" s="706">
        <v>0</v>
      </c>
      <c r="S1008" s="706">
        <v>2783.96</v>
      </c>
      <c r="T1008" s="706">
        <v>2783.96</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G67300</v>
      </c>
      <c r="AK1008" s="905" t="str">
        <f t="shared" si="99"/>
        <v>COUT-M.D. BODY INT.</v>
      </c>
      <c r="AL1008" s="905">
        <f>IFERROR(INDEX(G1008:R1008,1,MATCH(Parametres!$B$3,G$1:R$1,0)-1)*IF(OR(F1008="L",F1008="S",F1008="I"),-1,1),"")</f>
        <v>23010.21</v>
      </c>
      <c r="AM1008" s="905">
        <f t="shared" si="100"/>
        <v>2045.4599999999991</v>
      </c>
      <c r="AN1008" s="905">
        <f>INDEX(G1008:R1008,1,MATCH(Parametres!$B$3,G$1:R$1,0))*IF(OR(F1008="L",F1008="S",F1008="I"),-1,1)</f>
        <v>25055.67</v>
      </c>
      <c r="AO1008" s="487" t="str">
        <f>+VLOOKUP($AJ1008,Data_Validation!$A:$D,1,0)</f>
        <v>G67300</v>
      </c>
      <c r="AP1008" s="487" t="str">
        <f>+VLOOKUP($AJ1008,Data_Validation!$A:$D,3,0)</f>
        <v>Carrosserie</v>
      </c>
      <c r="AQ1008" s="487" t="str">
        <f>+VLOOKUP($AJ1008,Data_Validation!$A:$D,4,0)</f>
        <v>Carrosserie Interne</v>
      </c>
      <c r="AR1008" s="487" t="s">
        <v>299</v>
      </c>
      <c r="AS1008" s="487">
        <f>+VLOOKUP($AJ1008,Data_Validation!$A:$E,5,0)</f>
        <v>0</v>
      </c>
      <c r="AT1008" s="904" t="str">
        <f t="shared" si="101"/>
        <v>G67300</v>
      </c>
      <c r="AU1008" s="488" t="str">
        <f t="shared" si="102"/>
        <v>COUT-M.D. BODY INT.</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2898</v>
      </c>
      <c r="D1009" s="706" t="s">
        <v>2899</v>
      </c>
      <c r="E1009" s="706" t="s">
        <v>333</v>
      </c>
      <c r="F1009" s="706" t="s">
        <v>1152</v>
      </c>
      <c r="G1009" s="706">
        <v>0</v>
      </c>
      <c r="H1009" s="706">
        <v>0</v>
      </c>
      <c r="I1009" s="706">
        <v>0</v>
      </c>
      <c r="J1009" s="706">
        <v>0</v>
      </c>
      <c r="K1009" s="706">
        <v>246.26</v>
      </c>
      <c r="L1009" s="706">
        <v>663.68</v>
      </c>
      <c r="M1009" s="706">
        <v>1026.49</v>
      </c>
      <c r="N1009" s="706">
        <v>1212.67</v>
      </c>
      <c r="O1009" s="706">
        <v>1688.25</v>
      </c>
      <c r="P1009" s="706">
        <v>1748.94</v>
      </c>
      <c r="Q1009" s="706">
        <v>0</v>
      </c>
      <c r="R1009" s="706">
        <v>0</v>
      </c>
      <c r="S1009" s="706">
        <v>187.58</v>
      </c>
      <c r="T1009" s="706">
        <v>187.58</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G67303</v>
      </c>
      <c r="AK1009" s="905" t="str">
        <f t="shared" si="99"/>
        <v>COUT-M.D. PEINTURE INT.</v>
      </c>
      <c r="AL1009" s="905">
        <f>IFERROR(INDEX(G1009:R1009,1,MATCH(Parametres!$B$3,G$1:R$1,0)-1)*IF(OR(F1009="L",F1009="S",F1009="I"),-1,1),"")</f>
        <v>1212.67</v>
      </c>
      <c r="AM1009" s="905">
        <f t="shared" si="100"/>
        <v>475.57999999999993</v>
      </c>
      <c r="AN1009" s="905">
        <f>INDEX(G1009:R1009,1,MATCH(Parametres!$B$3,G$1:R$1,0))*IF(OR(F1009="L",F1009="S",F1009="I"),-1,1)</f>
        <v>1688.25</v>
      </c>
      <c r="AO1009" s="487" t="str">
        <f>+VLOOKUP($AJ1009,Data_Validation!$A:$D,1,0)</f>
        <v>G67303</v>
      </c>
      <c r="AP1009" s="487" t="str">
        <f>+VLOOKUP($AJ1009,Data_Validation!$A:$D,3,0)</f>
        <v>Carrosserie</v>
      </c>
      <c r="AQ1009" s="487" t="str">
        <f>+VLOOKUP($AJ1009,Data_Validation!$A:$D,4,0)</f>
        <v>Carrosserie Interne</v>
      </c>
      <c r="AR1009" s="487" t="s">
        <v>299</v>
      </c>
      <c r="AS1009" s="487">
        <f>+VLOOKUP($AJ1009,Data_Validation!$A:$E,5,0)</f>
        <v>0</v>
      </c>
      <c r="AT1009" s="904" t="str">
        <f t="shared" si="101"/>
        <v>G67303</v>
      </c>
      <c r="AU1009" s="488" t="str">
        <f t="shared" si="102"/>
        <v>COUT-M.D. PEINTURE INT.</v>
      </c>
      <c r="AV1009" s="899">
        <f>IFERROR(INDEX(V1009:AG1009,1,MATCH(Parametres!$B$3,V$1:AG$1,0)-1)*IF(OR(C1009="L",C1009="S",C1009="I"),-1,1),"")</f>
        <v>0</v>
      </c>
      <c r="AW1009" s="899">
        <f t="shared" si="103"/>
        <v>0</v>
      </c>
      <c r="AX1009" s="899">
        <f>INDEX(V1009:AG1009,1,MATCH(Parametres!$B$3,V$1:AG$1,0))*IF(OR(C1009="L",C1009="S",C1009="I"),-1,1)</f>
        <v>0</v>
      </c>
      <c r="AY1009" s="487" t="s">
        <v>337</v>
      </c>
      <c r="AZ1009" s="487">
        <f>+VLOOKUP($AJ1009,Data_Validation!$A:$E,5,0)</f>
        <v>0</v>
      </c>
    </row>
    <row r="1010" spans="1:52" ht="15" hidden="1" customHeight="1">
      <c r="A1010" s="706" t="s">
        <v>1148</v>
      </c>
      <c r="B1010" s="706">
        <v>2026</v>
      </c>
      <c r="C1010" s="706" t="s">
        <v>2900</v>
      </c>
      <c r="D1010" s="706" t="s">
        <v>2901</v>
      </c>
      <c r="E1010" s="706" t="s">
        <v>333</v>
      </c>
      <c r="F1010" s="706" t="s">
        <v>1152</v>
      </c>
      <c r="G1010" s="706">
        <v>0</v>
      </c>
      <c r="H1010" s="706">
        <v>0</v>
      </c>
      <c r="I1010" s="706">
        <v>0</v>
      </c>
      <c r="J1010" s="706">
        <v>0</v>
      </c>
      <c r="K1010" s="706">
        <v>0</v>
      </c>
      <c r="L1010" s="706">
        <v>0</v>
      </c>
      <c r="M1010" s="706">
        <v>0</v>
      </c>
      <c r="N1010" s="706">
        <v>0</v>
      </c>
      <c r="O1010" s="706">
        <v>750.23</v>
      </c>
      <c r="P1010" s="706">
        <v>750.23</v>
      </c>
      <c r="Q1010" s="706">
        <v>0</v>
      </c>
      <c r="R1010" s="706">
        <v>0</v>
      </c>
      <c r="S1010" s="706">
        <v>83.36</v>
      </c>
      <c r="T1010" s="706">
        <v>83.36</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G67313</v>
      </c>
      <c r="AK1010" s="905" t="str">
        <f t="shared" si="99"/>
        <v>COUT -M.O MEC INTERN-BODY</v>
      </c>
      <c r="AL1010" s="905">
        <f>IFERROR(INDEX(G1010:R1010,1,MATCH(Parametres!$B$3,G$1:R$1,0)-1)*IF(OR(F1010="L",F1010="S",F1010="I"),-1,1),"")</f>
        <v>0</v>
      </c>
      <c r="AM1010" s="905">
        <f t="shared" si="100"/>
        <v>750.23</v>
      </c>
      <c r="AN1010" s="905">
        <f>INDEX(G1010:R1010,1,MATCH(Parametres!$B$3,G$1:R$1,0))*IF(OR(F1010="L",F1010="S",F1010="I"),-1,1)</f>
        <v>750.23</v>
      </c>
      <c r="AO1010" s="487" t="str">
        <f>+VLOOKUP($AJ1010,Data_Validation!$A:$D,1,0)</f>
        <v>G67313</v>
      </c>
      <c r="AP1010" s="487" t="str">
        <f>+VLOOKUP($AJ1010,Data_Validation!$A:$D,3,0)</f>
        <v>Carrosserie</v>
      </c>
      <c r="AQ1010" s="487" t="str">
        <f>+VLOOKUP($AJ1010,Data_Validation!$A:$D,4,0)</f>
        <v>Carrosserie Interne</v>
      </c>
      <c r="AR1010" s="487" t="s">
        <v>299</v>
      </c>
      <c r="AS1010" s="487">
        <f>+VLOOKUP($AJ1010,Data_Validation!$A:$E,5,0)</f>
        <v>0</v>
      </c>
      <c r="AT1010" s="904" t="str">
        <f t="shared" si="101"/>
        <v>G67313</v>
      </c>
      <c r="AU1010" s="488" t="str">
        <f t="shared" si="102"/>
        <v>COUT -M.O MEC INTERN-BODY</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2902</v>
      </c>
      <c r="D1011" s="706" t="s">
        <v>2903</v>
      </c>
      <c r="E1011" s="706" t="s">
        <v>333</v>
      </c>
      <c r="F1011" s="706" t="s">
        <v>1152</v>
      </c>
      <c r="G1011" s="706">
        <v>-2076.17</v>
      </c>
      <c r="H1011" s="706">
        <v>1683.98</v>
      </c>
      <c r="I1011" s="706">
        <v>6440.11</v>
      </c>
      <c r="J1011" s="706">
        <v>10406.6</v>
      </c>
      <c r="K1011" s="706">
        <v>13512.44</v>
      </c>
      <c r="L1011" s="706">
        <v>14653.47</v>
      </c>
      <c r="M1011" s="706">
        <v>15667.64</v>
      </c>
      <c r="N1011" s="706">
        <v>17178.509999999998</v>
      </c>
      <c r="O1011" s="706">
        <v>17178.509999999998</v>
      </c>
      <c r="P1011" s="706">
        <v>17178.509999999998</v>
      </c>
      <c r="Q1011" s="706">
        <v>0</v>
      </c>
      <c r="R1011" s="706">
        <v>0</v>
      </c>
      <c r="S1011" s="706">
        <v>1908.72</v>
      </c>
      <c r="T1011" s="706">
        <v>1908.72</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G67500</v>
      </c>
      <c r="AK1011" s="905" t="str">
        <f t="shared" si="99"/>
        <v>TEMPS PERDU CARROSSERIE</v>
      </c>
      <c r="AL1011" s="905">
        <f>IFERROR(INDEX(G1011:R1011,1,MATCH(Parametres!$B$3,G$1:R$1,0)-1)*IF(OR(F1011="L",F1011="S",F1011="I"),-1,1),"")</f>
        <v>17178.509999999998</v>
      </c>
      <c r="AM1011" s="905">
        <f t="shared" si="100"/>
        <v>0</v>
      </c>
      <c r="AN1011" s="905">
        <f>INDEX(G1011:R1011,1,MATCH(Parametres!$B$3,G$1:R$1,0))*IF(OR(F1011="L",F1011="S",F1011="I"),-1,1)</f>
        <v>17178.509999999998</v>
      </c>
      <c r="AO1011" s="487" t="str">
        <f>+VLOOKUP($AJ1011,Data_Validation!$A:$D,1,0)</f>
        <v>G67500</v>
      </c>
      <c r="AP1011" s="487" t="str">
        <f>+VLOOKUP($AJ1011,Data_Validation!$A:$D,3,0)</f>
        <v>Carrosserie</v>
      </c>
      <c r="AQ1011" s="487" t="str">
        <f>+VLOOKUP($AJ1011,Data_Validation!$A:$D,4,0)</f>
        <v>Ajustement M/O Carrosserie</v>
      </c>
      <c r="AR1011" s="487" t="s">
        <v>299</v>
      </c>
      <c r="AS1011" s="487">
        <f>+VLOOKUP($AJ1011,Data_Validation!$A:$E,5,0)</f>
        <v>0</v>
      </c>
      <c r="AT1011" s="904" t="str">
        <f t="shared" si="101"/>
        <v>G67500</v>
      </c>
      <c r="AU1011" s="488" t="str">
        <f t="shared" si="102"/>
        <v>TEMPS PERDU CARROSSERIE</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hidden="1" customHeight="1">
      <c r="A1012" s="706" t="s">
        <v>1148</v>
      </c>
      <c r="B1012" s="706">
        <v>2026</v>
      </c>
      <c r="C1012" s="706" t="s">
        <v>2904</v>
      </c>
      <c r="D1012" s="706" t="s">
        <v>2905</v>
      </c>
      <c r="E1012" s="706" t="s">
        <v>333</v>
      </c>
      <c r="F1012" s="706" t="s">
        <v>1152</v>
      </c>
      <c r="G1012" s="706">
        <v>72114.69</v>
      </c>
      <c r="H1012" s="706">
        <v>142583.76</v>
      </c>
      <c r="I1012" s="706">
        <v>197462.96</v>
      </c>
      <c r="J1012" s="706">
        <v>229534.23</v>
      </c>
      <c r="K1012" s="706">
        <v>255722.15</v>
      </c>
      <c r="L1012" s="706">
        <v>293738.59000000003</v>
      </c>
      <c r="M1012" s="706">
        <v>329272.23</v>
      </c>
      <c r="N1012" s="706">
        <v>360496.79</v>
      </c>
      <c r="O1012" s="706">
        <v>410037.28</v>
      </c>
      <c r="P1012" s="706">
        <v>416124.24</v>
      </c>
      <c r="Q1012" s="706">
        <v>0</v>
      </c>
      <c r="R1012" s="706">
        <v>0</v>
      </c>
      <c r="S1012" s="706">
        <v>45559.7</v>
      </c>
      <c r="T1012" s="706">
        <v>45559.7</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G67600</v>
      </c>
      <c r="AK1012" s="905" t="str">
        <f t="shared" si="99"/>
        <v>COUT-REP.SOUS-TRAIT.BODY</v>
      </c>
      <c r="AL1012" s="905">
        <f>IFERROR(INDEX(G1012:R1012,1,MATCH(Parametres!$B$3,G$1:R$1,0)-1)*IF(OR(F1012="L",F1012="S",F1012="I"),-1,1),"")</f>
        <v>360496.79</v>
      </c>
      <c r="AM1012" s="905">
        <f t="shared" si="100"/>
        <v>49540.490000000049</v>
      </c>
      <c r="AN1012" s="905">
        <f>INDEX(G1012:R1012,1,MATCH(Parametres!$B$3,G$1:R$1,0))*IF(OR(F1012="L",F1012="S",F1012="I"),-1,1)</f>
        <v>410037.28</v>
      </c>
      <c r="AO1012" s="487" t="str">
        <f>+VLOOKUP($AJ1012,Data_Validation!$A:$D,1,0)</f>
        <v>G67600</v>
      </c>
      <c r="AP1012" s="487" t="str">
        <f>+VLOOKUP($AJ1012,Data_Validation!$A:$D,3,0)</f>
        <v>Carrosserie</v>
      </c>
      <c r="AQ1012" s="487" t="str">
        <f>+VLOOKUP($AJ1012,Data_Validation!$A:$D,4,0)</f>
        <v>Carrosserie Clients</v>
      </c>
      <c r="AR1012" s="487" t="s">
        <v>299</v>
      </c>
      <c r="AS1012" s="487">
        <f>+VLOOKUP($AJ1012,Data_Validation!$A:$E,5,0)</f>
        <v>0</v>
      </c>
      <c r="AT1012" s="904" t="str">
        <f t="shared" si="101"/>
        <v>G67600</v>
      </c>
      <c r="AU1012" s="488" t="str">
        <f t="shared" si="102"/>
        <v>COUT-REP.SOUS-TRAIT.BODY</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hidden="1" customHeight="1">
      <c r="A1013" s="706" t="s">
        <v>1148</v>
      </c>
      <c r="B1013" s="706">
        <v>2026</v>
      </c>
      <c r="C1013" s="706" t="s">
        <v>2906</v>
      </c>
      <c r="D1013" s="706" t="s">
        <v>2907</v>
      </c>
      <c r="E1013" s="706" t="s">
        <v>333</v>
      </c>
      <c r="F1013" s="706" t="s">
        <v>1152</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G67603</v>
      </c>
      <c r="AK1013" s="905" t="str">
        <f t="shared" si="99"/>
        <v>COUT - S.T. INTERN-BODY</v>
      </c>
      <c r="AL1013" s="905">
        <f>IFERROR(INDEX(G1013:R1013,1,MATCH(Parametres!$B$3,G$1:R$1,0)-1)*IF(OR(F1013="L",F1013="S",F1013="I"),-1,1),"")</f>
        <v>0</v>
      </c>
      <c r="AM1013" s="905">
        <f t="shared" si="100"/>
        <v>0</v>
      </c>
      <c r="AN1013" s="905">
        <f>INDEX(G1013:R1013,1,MATCH(Parametres!$B$3,G$1:R$1,0))*IF(OR(F1013="L",F1013="S",F1013="I"),-1,1)</f>
        <v>0</v>
      </c>
      <c r="AO1013" s="487" t="str">
        <f>+VLOOKUP($AJ1013,Data_Validation!$A:$D,1,0)</f>
        <v>G67603</v>
      </c>
      <c r="AP1013" s="487" t="str">
        <f>+VLOOKUP($AJ1013,Data_Validation!$A:$D,3,0)</f>
        <v>Carrosserie</v>
      </c>
      <c r="AQ1013" s="487" t="str">
        <f>+VLOOKUP($AJ1013,Data_Validation!$A:$D,4,0)</f>
        <v>Carrosserie Interne</v>
      </c>
      <c r="AR1013" s="487" t="s">
        <v>299</v>
      </c>
      <c r="AS1013" s="487">
        <f>+VLOOKUP($AJ1013,Data_Validation!$A:$E,5,0)</f>
        <v>0</v>
      </c>
      <c r="AT1013" s="904" t="str">
        <f t="shared" si="101"/>
        <v>G67603</v>
      </c>
      <c r="AU1013" s="488" t="str">
        <f t="shared" si="102"/>
        <v>COUT - S.T. INTERN-BODY</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hidden="1" customHeight="1">
      <c r="A1014" s="706" t="s">
        <v>1148</v>
      </c>
      <c r="B1014" s="706">
        <v>2026</v>
      </c>
      <c r="C1014" s="706" t="s">
        <v>2908</v>
      </c>
      <c r="D1014" s="706" t="s">
        <v>2909</v>
      </c>
      <c r="E1014" s="706" t="s">
        <v>333</v>
      </c>
      <c r="F1014" s="706" t="s">
        <v>1152</v>
      </c>
      <c r="G1014" s="706">
        <v>0</v>
      </c>
      <c r="H1014" s="706">
        <v>0</v>
      </c>
      <c r="I1014" s="706">
        <v>0</v>
      </c>
      <c r="J1014" s="706">
        <v>0</v>
      </c>
      <c r="K1014" s="706">
        <v>5087.09</v>
      </c>
      <c r="L1014" s="706">
        <v>5357.09</v>
      </c>
      <c r="M1014" s="706">
        <v>6017.09</v>
      </c>
      <c r="N1014" s="706">
        <v>6182.09</v>
      </c>
      <c r="O1014" s="706">
        <v>7012.09</v>
      </c>
      <c r="P1014" s="706">
        <v>7012.09</v>
      </c>
      <c r="Q1014" s="706">
        <v>0</v>
      </c>
      <c r="R1014" s="706">
        <v>0</v>
      </c>
      <c r="S1014" s="706">
        <v>779.12</v>
      </c>
      <c r="T1014" s="706">
        <v>779.12</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G67605</v>
      </c>
      <c r="AK1014" s="905" t="str">
        <f t="shared" si="99"/>
        <v>COUT -S.T CONCES. BODY</v>
      </c>
      <c r="AL1014" s="905">
        <f>IFERROR(INDEX(G1014:R1014,1,MATCH(Parametres!$B$3,G$1:R$1,0)-1)*IF(OR(F1014="L",F1014="S",F1014="I"),-1,1),"")</f>
        <v>6182.09</v>
      </c>
      <c r="AM1014" s="905">
        <f t="shared" si="100"/>
        <v>830</v>
      </c>
      <c r="AN1014" s="905">
        <f>INDEX(G1014:R1014,1,MATCH(Parametres!$B$3,G$1:R$1,0))*IF(OR(F1014="L",F1014="S",F1014="I"),-1,1)</f>
        <v>7012.09</v>
      </c>
      <c r="AO1014" s="487" t="str">
        <f>+VLOOKUP($AJ1014,Data_Validation!$A:$D,1,0)</f>
        <v>G67605</v>
      </c>
      <c r="AP1014" s="487" t="str">
        <f>+VLOOKUP($AJ1014,Data_Validation!$A:$D,3,0)</f>
        <v>Carrosserie</v>
      </c>
      <c r="AQ1014" s="487" t="str">
        <f>+VLOOKUP($AJ1014,Data_Validation!$A:$D,4,0)</f>
        <v>Carrosserie Concessions</v>
      </c>
      <c r="AR1014" s="487" t="s">
        <v>299</v>
      </c>
      <c r="AS1014" s="487">
        <f>+VLOOKUP($AJ1014,Data_Validation!$A:$E,5,0)</f>
        <v>0</v>
      </c>
      <c r="AT1014" s="904" t="str">
        <f t="shared" si="101"/>
        <v>G67605</v>
      </c>
      <c r="AU1014" s="488" t="str">
        <f t="shared" si="102"/>
        <v>COUT -S.T CONCES. BODY</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hidden="1" customHeight="1">
      <c r="A1015" s="706" t="s">
        <v>1148</v>
      </c>
      <c r="B1015" s="706">
        <v>2026</v>
      </c>
      <c r="C1015" s="706" t="s">
        <v>2910</v>
      </c>
      <c r="D1015" s="706" t="s">
        <v>2911</v>
      </c>
      <c r="E1015" s="706" t="s">
        <v>333</v>
      </c>
      <c r="F1015" s="706" t="s">
        <v>1152</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G67610</v>
      </c>
      <c r="AK1015" s="905" t="str">
        <f t="shared" si="99"/>
        <v>COUT-PCS.S-T BODY -CLIENT</v>
      </c>
      <c r="AL1015" s="905">
        <f>IFERROR(INDEX(G1015:R1015,1,MATCH(Parametres!$B$3,G$1:R$1,0)-1)*IF(OR(F1015="L",F1015="S",F1015="I"),-1,1),"")</f>
        <v>0</v>
      </c>
      <c r="AM1015" s="905">
        <f t="shared" si="100"/>
        <v>0</v>
      </c>
      <c r="AN1015" s="905">
        <f>INDEX(G1015:R1015,1,MATCH(Parametres!$B$3,G$1:R$1,0))*IF(OR(F1015="L",F1015="S",F1015="I"),-1,1)</f>
        <v>0</v>
      </c>
      <c r="AO1015" s="487" t="str">
        <f>+VLOOKUP($AJ1015,Data_Validation!$A:$D,1,0)</f>
        <v>G67610</v>
      </c>
      <c r="AP1015" s="487" t="str">
        <f>+VLOOKUP($AJ1015,Data_Validation!$A:$D,3,0)</f>
        <v>Carrosserie</v>
      </c>
      <c r="AQ1015" s="487" t="str">
        <f>+VLOOKUP($AJ1015,Data_Validation!$A:$D,4,0)</f>
        <v>Carrosserie Clients</v>
      </c>
      <c r="AR1015" s="487" t="s">
        <v>299</v>
      </c>
      <c r="AS1015" s="487">
        <f>+VLOOKUP($AJ1015,Data_Validation!$A:$E,5,0)</f>
        <v>0</v>
      </c>
      <c r="AT1015" s="904" t="str">
        <f t="shared" si="101"/>
        <v>G67610</v>
      </c>
      <c r="AU1015" s="488" t="str">
        <f t="shared" si="102"/>
        <v>COUT-PCS.S-T BODY -CLIENT</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hidden="1" customHeight="1">
      <c r="A1016" s="706" t="s">
        <v>1148</v>
      </c>
      <c r="B1016" s="706">
        <v>2026</v>
      </c>
      <c r="C1016" s="706" t="s">
        <v>2912</v>
      </c>
      <c r="D1016" s="706" t="s">
        <v>2913</v>
      </c>
      <c r="E1016" s="706" t="s">
        <v>333</v>
      </c>
      <c r="F1016" s="706" t="s">
        <v>1152</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G67613</v>
      </c>
      <c r="AK1016" s="905" t="str">
        <f t="shared" si="99"/>
        <v>COUT -PIECES INTERN -BODY</v>
      </c>
      <c r="AL1016" s="905">
        <f>IFERROR(INDEX(G1016:R1016,1,MATCH(Parametres!$B$3,G$1:R$1,0)-1)*IF(OR(F1016="L",F1016="S",F1016="I"),-1,1),"")</f>
        <v>0</v>
      </c>
      <c r="AM1016" s="905">
        <f t="shared" si="100"/>
        <v>0</v>
      </c>
      <c r="AN1016" s="905">
        <f>INDEX(G1016:R1016,1,MATCH(Parametres!$B$3,G$1:R$1,0))*IF(OR(F1016="L",F1016="S",F1016="I"),-1,1)</f>
        <v>0</v>
      </c>
      <c r="AO1016" s="487" t="str">
        <f>+VLOOKUP($AJ1016,Data_Validation!$A:$D,1,0)</f>
        <v>G67613</v>
      </c>
      <c r="AP1016" s="487" t="str">
        <f>+VLOOKUP($AJ1016,Data_Validation!$A:$D,3,0)</f>
        <v>Carrosserie</v>
      </c>
      <c r="AQ1016" s="487" t="str">
        <f>+VLOOKUP($AJ1016,Data_Validation!$A:$D,4,0)</f>
        <v>Carrosserie Interne</v>
      </c>
      <c r="AR1016" s="487" t="s">
        <v>299</v>
      </c>
      <c r="AS1016" s="487">
        <f>+VLOOKUP($AJ1016,Data_Validation!$A:$E,5,0)</f>
        <v>0</v>
      </c>
      <c r="AT1016" s="904" t="str">
        <f t="shared" si="101"/>
        <v>G67613</v>
      </c>
      <c r="AU1016" s="488" t="str">
        <f t="shared" si="102"/>
        <v>COUT -PIECES INTERN -BODY</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hidden="1" customHeight="1">
      <c r="A1017" s="706" t="s">
        <v>1148</v>
      </c>
      <c r="B1017" s="706">
        <v>2026</v>
      </c>
      <c r="C1017" s="706" t="s">
        <v>2914</v>
      </c>
      <c r="D1017" s="706" t="s">
        <v>2915</v>
      </c>
      <c r="E1017" s="706" t="s">
        <v>333</v>
      </c>
      <c r="F1017" s="706" t="s">
        <v>1152</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G67615</v>
      </c>
      <c r="AK1017" s="905" t="str">
        <f t="shared" si="99"/>
        <v>COUT - S-T PCS CONCES-BOD</v>
      </c>
      <c r="AL1017" s="905">
        <f>IFERROR(INDEX(G1017:R1017,1,MATCH(Parametres!$B$3,G$1:R$1,0)-1)*IF(OR(F1017="L",F1017="S",F1017="I"),-1,1),"")</f>
        <v>0</v>
      </c>
      <c r="AM1017" s="905">
        <f t="shared" si="100"/>
        <v>0</v>
      </c>
      <c r="AN1017" s="905">
        <f>INDEX(G1017:R1017,1,MATCH(Parametres!$B$3,G$1:R$1,0))*IF(OR(F1017="L",F1017="S",F1017="I"),-1,1)</f>
        <v>0</v>
      </c>
      <c r="AO1017" s="487" t="str">
        <f>+VLOOKUP($AJ1017,Data_Validation!$A:$D,1,0)</f>
        <v>G67615</v>
      </c>
      <c r="AP1017" s="487" t="str">
        <f>+VLOOKUP($AJ1017,Data_Validation!$A:$D,3,0)</f>
        <v>Carrosserie</v>
      </c>
      <c r="AQ1017" s="487" t="str">
        <f>+VLOOKUP($AJ1017,Data_Validation!$A:$D,4,0)</f>
        <v>Carrosserie Concessions</v>
      </c>
      <c r="AR1017" s="487" t="s">
        <v>299</v>
      </c>
      <c r="AS1017" s="487">
        <f>+VLOOKUP($AJ1017,Data_Validation!$A:$E,5,0)</f>
        <v>0</v>
      </c>
      <c r="AT1017" s="904" t="str">
        <f t="shared" si="101"/>
        <v>G67615</v>
      </c>
      <c r="AU1017" s="488" t="str">
        <f t="shared" si="102"/>
        <v>COUT - S-T PCS CONCES-BOD</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hidden="1" customHeight="1">
      <c r="A1018" s="706" t="s">
        <v>1148</v>
      </c>
      <c r="B1018" s="706">
        <v>2026</v>
      </c>
      <c r="C1018" s="706" t="s">
        <v>2916</v>
      </c>
      <c r="D1018" s="706" t="s">
        <v>2917</v>
      </c>
      <c r="E1018" s="706" t="s">
        <v>333</v>
      </c>
      <c r="F1018" s="706" t="s">
        <v>1152</v>
      </c>
      <c r="G1018" s="706">
        <v>0</v>
      </c>
      <c r="H1018" s="706">
        <v>0</v>
      </c>
      <c r="I1018" s="706">
        <v>0</v>
      </c>
      <c r="J1018" s="706">
        <v>0</v>
      </c>
      <c r="K1018" s="706">
        <v>0</v>
      </c>
      <c r="L1018" s="706">
        <v>1486.33</v>
      </c>
      <c r="M1018" s="706">
        <v>1486.33</v>
      </c>
      <c r="N1018" s="706">
        <v>1486.33</v>
      </c>
      <c r="O1018" s="706">
        <v>1486.33</v>
      </c>
      <c r="P1018" s="706">
        <v>1486.33</v>
      </c>
      <c r="Q1018" s="706">
        <v>0</v>
      </c>
      <c r="R1018" s="706">
        <v>0</v>
      </c>
      <c r="S1018" s="706">
        <v>165.15</v>
      </c>
      <c r="T1018" s="706">
        <v>165.15</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G67620</v>
      </c>
      <c r="AK1018" s="905" t="str">
        <f t="shared" si="99"/>
        <v>COUT -LOC.COURTOIS - BODY</v>
      </c>
      <c r="AL1018" s="905">
        <f>IFERROR(INDEX(G1018:R1018,1,MATCH(Parametres!$B$3,G$1:R$1,0)-1)*IF(OR(F1018="L",F1018="S",F1018="I"),-1,1),"")</f>
        <v>1486.33</v>
      </c>
      <c r="AM1018" s="905">
        <f t="shared" si="100"/>
        <v>0</v>
      </c>
      <c r="AN1018" s="905">
        <f>INDEX(G1018:R1018,1,MATCH(Parametres!$B$3,G$1:R$1,0))*IF(OR(F1018="L",F1018="S",F1018="I"),-1,1)</f>
        <v>1486.33</v>
      </c>
      <c r="AO1018" s="487" t="str">
        <f>+VLOOKUP($AJ1018,Data_Validation!$A:$D,1,0)</f>
        <v>G67620</v>
      </c>
      <c r="AP1018" s="487" t="str">
        <f>+VLOOKUP($AJ1018,Data_Validation!$A:$D,3,0)</f>
        <v>Carrosserie</v>
      </c>
      <c r="AQ1018" s="487" t="str">
        <f>+VLOOKUP($AJ1018,Data_Validation!$A:$D,4,0)</f>
        <v>Carrosserie Clients</v>
      </c>
      <c r="AR1018" s="487" t="s">
        <v>299</v>
      </c>
      <c r="AS1018" s="487">
        <f>+VLOOKUP($AJ1018,Data_Validation!$A:$E,5,0)</f>
        <v>0</v>
      </c>
      <c r="AT1018" s="904" t="str">
        <f t="shared" si="101"/>
        <v>G67620</v>
      </c>
      <c r="AU1018" s="488" t="str">
        <f t="shared" si="102"/>
        <v>COUT -LOC.COURTOIS - BODY</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hidden="1" customHeight="1">
      <c r="A1019" s="706" t="s">
        <v>1148</v>
      </c>
      <c r="B1019" s="706">
        <v>2026</v>
      </c>
      <c r="C1019" s="706" t="s">
        <v>2918</v>
      </c>
      <c r="D1019" s="706" t="s">
        <v>2919</v>
      </c>
      <c r="E1019" s="706" t="s">
        <v>333</v>
      </c>
      <c r="F1019" s="706" t="s">
        <v>1152</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G67623</v>
      </c>
      <c r="AK1019" s="905" t="str">
        <f t="shared" si="99"/>
        <v>COUT -LOC COURT INT-BODY</v>
      </c>
      <c r="AL1019" s="905">
        <f>IFERROR(INDEX(G1019:R1019,1,MATCH(Parametres!$B$3,G$1:R$1,0)-1)*IF(OR(F1019="L",F1019="S",F1019="I"),-1,1),"")</f>
        <v>0</v>
      </c>
      <c r="AM1019" s="905">
        <f t="shared" si="100"/>
        <v>0</v>
      </c>
      <c r="AN1019" s="905">
        <f>INDEX(G1019:R1019,1,MATCH(Parametres!$B$3,G$1:R$1,0))*IF(OR(F1019="L",F1019="S",F1019="I"),-1,1)</f>
        <v>0</v>
      </c>
      <c r="AO1019" s="487" t="str">
        <f>+VLOOKUP($AJ1019,Data_Validation!$A:$D,1,0)</f>
        <v>G67623</v>
      </c>
      <c r="AP1019" s="487">
        <f>+VLOOKUP($AJ1019,Data_Validation!$A:$D,3,0)</f>
        <v>0</v>
      </c>
      <c r="AQ1019" s="487">
        <f>+VLOOKUP($AJ1019,Data_Validation!$A:$D,4,0)</f>
        <v>0</v>
      </c>
      <c r="AR1019" s="487" t="s">
        <v>299</v>
      </c>
      <c r="AS1019" s="487">
        <f>+VLOOKUP($AJ1019,Data_Validation!$A:$E,5,0)</f>
        <v>0</v>
      </c>
      <c r="AT1019" s="904" t="str">
        <f t="shared" si="101"/>
        <v>G67623</v>
      </c>
      <c r="AU1019" s="488" t="str">
        <f t="shared" si="102"/>
        <v>COUT -LOC COURT INT-BODY</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hidden="1" customHeight="1">
      <c r="A1020" s="706" t="s">
        <v>1148</v>
      </c>
      <c r="B1020" s="706">
        <v>2026</v>
      </c>
      <c r="C1020" s="706" t="s">
        <v>2920</v>
      </c>
      <c r="D1020" s="706" t="s">
        <v>2921</v>
      </c>
      <c r="E1020" s="706" t="s">
        <v>333</v>
      </c>
      <c r="F1020" s="706" t="s">
        <v>1152</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G67625</v>
      </c>
      <c r="AK1020" s="905" t="str">
        <f t="shared" si="99"/>
        <v>COUT - LOC COURT CONCES B</v>
      </c>
      <c r="AL1020" s="905">
        <f>IFERROR(INDEX(G1020:R1020,1,MATCH(Parametres!$B$3,G$1:R$1,0)-1)*IF(OR(F1020="L",F1020="S",F1020="I"),-1,1),"")</f>
        <v>0</v>
      </c>
      <c r="AM1020" s="1047">
        <f t="shared" si="100"/>
        <v>0</v>
      </c>
      <c r="AN1020" s="905">
        <f>INDEX(G1020:R1020,1,MATCH(Parametres!$B$3,G$1:R$1,0))*IF(OR(F1020="L",F1020="S",F1020="I"),-1,1)</f>
        <v>0</v>
      </c>
      <c r="AO1020" s="487" t="str">
        <f>+VLOOKUP($AJ1020,Data_Validation!$A:$D,1,0)</f>
        <v>G67625</v>
      </c>
      <c r="AP1020" s="487">
        <f>+VLOOKUP($AJ1020,Data_Validation!$A:$D,3,0)</f>
        <v>0</v>
      </c>
      <c r="AQ1020" s="487">
        <f>+VLOOKUP($AJ1020,Data_Validation!$A:$D,4,0)</f>
        <v>0</v>
      </c>
      <c r="AR1020" s="487" t="s">
        <v>299</v>
      </c>
      <c r="AS1020" s="487">
        <f>+VLOOKUP($AJ1020,Data_Validation!$A:$E,5,0)</f>
        <v>0</v>
      </c>
      <c r="AT1020" s="904" t="str">
        <f t="shared" si="101"/>
        <v>G67625</v>
      </c>
      <c r="AU1020" s="488" t="str">
        <f t="shared" si="102"/>
        <v>COUT - LOC COURT CONCES B</v>
      </c>
      <c r="AV1020" s="899">
        <f>IFERROR(INDEX(V1020:AG1020,1,MATCH(Parametres!$B$3,V$1:AG$1,0)-1)*IF(OR(C1020="L",C1020="S",C1020="I"),-1,1),"")</f>
        <v>0</v>
      </c>
      <c r="AW1020" s="899">
        <f t="shared" si="103"/>
        <v>0</v>
      </c>
      <c r="AX1020" s="899">
        <f>INDEX(V1020:AG1020,1,MATCH(Parametres!$B$3,V$1:AG$1,0))*IF(OR(C1020="L",C1020="S",C1020="I"),-1,1)</f>
        <v>0</v>
      </c>
      <c r="AY1020" s="487" t="s">
        <v>337</v>
      </c>
      <c r="AZ1020" s="487">
        <f>+VLOOKUP($AJ1020,Data_Validation!$A:$E,5,0)</f>
        <v>0</v>
      </c>
    </row>
    <row r="1021" spans="1:52" ht="15" hidden="1" customHeight="1">
      <c r="A1021" s="706" t="s">
        <v>1148</v>
      </c>
      <c r="B1021" s="706">
        <v>2026</v>
      </c>
      <c r="C1021" s="706" t="s">
        <v>2922</v>
      </c>
      <c r="D1021" s="706" t="s">
        <v>2923</v>
      </c>
      <c r="E1021" s="706" t="s">
        <v>333</v>
      </c>
      <c r="F1021" s="706" t="s">
        <v>1152</v>
      </c>
      <c r="G1021" s="706">
        <v>0</v>
      </c>
      <c r="H1021" s="706">
        <v>0</v>
      </c>
      <c r="I1021" s="706">
        <v>0</v>
      </c>
      <c r="J1021" s="706">
        <v>0</v>
      </c>
      <c r="K1021" s="706">
        <v>49.03</v>
      </c>
      <c r="L1021" s="706">
        <v>49.03</v>
      </c>
      <c r="M1021" s="706">
        <v>49.03</v>
      </c>
      <c r="N1021" s="706">
        <v>49.03</v>
      </c>
      <c r="O1021" s="706">
        <v>49.03</v>
      </c>
      <c r="P1021" s="706">
        <v>49.03</v>
      </c>
      <c r="Q1021" s="706">
        <v>0</v>
      </c>
      <c r="R1021" s="706">
        <v>0</v>
      </c>
      <c r="S1021" s="706">
        <v>5.45</v>
      </c>
      <c r="T1021" s="706">
        <v>5.45</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G67700</v>
      </c>
      <c r="AK1021" s="905" t="str">
        <f t="shared" si="99"/>
        <v>COUT P&amp;A CLIENT CARROSSER</v>
      </c>
      <c r="AL1021" s="905">
        <f>IFERROR(INDEX(G1021:R1021,1,MATCH(Parametres!$B$3,G$1:R$1,0)-1)*IF(OR(F1021="L",F1021="S",F1021="I"),-1,1),"")</f>
        <v>49.03</v>
      </c>
      <c r="AM1021" s="905">
        <f t="shared" si="100"/>
        <v>0</v>
      </c>
      <c r="AN1021" s="905">
        <f>INDEX(G1021:R1021,1,MATCH(Parametres!$B$3,G$1:R$1,0))*IF(OR(F1021="L",F1021="S",F1021="I"),-1,1)</f>
        <v>49.03</v>
      </c>
      <c r="AO1021" s="487" t="str">
        <f>+VLOOKUP($AJ1021,Data_Validation!$A:$D,1,0)</f>
        <v>G67700</v>
      </c>
      <c r="AP1021" s="487" t="str">
        <f>+VLOOKUP($AJ1021,Data_Validation!$A:$D,3,0)</f>
        <v>Pièces</v>
      </c>
      <c r="AQ1021" s="487" t="str">
        <f>+VLOOKUP($AJ1021,Data_Validation!$A:$D,4,0)</f>
        <v>Pièces Ro Carrosserie</v>
      </c>
      <c r="AR1021" s="487" t="s">
        <v>299</v>
      </c>
      <c r="AS1021" s="487">
        <f>+VLOOKUP($AJ1021,Data_Validation!$A:$E,5,0)</f>
        <v>0</v>
      </c>
      <c r="AT1021" s="904" t="str">
        <f t="shared" si="101"/>
        <v>G67700</v>
      </c>
      <c r="AU1021" s="488" t="str">
        <f t="shared" si="102"/>
        <v>COUT P&amp;A CLIENT CARROSSER</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hidden="1" customHeight="1">
      <c r="A1022" s="706" t="s">
        <v>1148</v>
      </c>
      <c r="B1022" s="706">
        <v>2026</v>
      </c>
      <c r="C1022" s="706" t="s">
        <v>2924</v>
      </c>
      <c r="D1022" s="706" t="s">
        <v>2925</v>
      </c>
      <c r="E1022" s="706" t="s">
        <v>333</v>
      </c>
      <c r="F1022" s="706" t="s">
        <v>1152</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G67800</v>
      </c>
      <c r="AK1022" s="905" t="str">
        <f t="shared" si="99"/>
        <v>COUT-PCE BODY CLIENT CAM</v>
      </c>
      <c r="AL1022" s="905">
        <f>IFERROR(INDEX(G1022:R1022,1,MATCH(Parametres!$B$3,G$1:R$1,0)-1)*IF(OR(F1022="L",F1022="S",F1022="I"),-1,1),"")</f>
        <v>0</v>
      </c>
      <c r="AM1022" s="905">
        <f t="shared" si="100"/>
        <v>0</v>
      </c>
      <c r="AN1022" s="905">
        <f>INDEX(G1022:R1022,1,MATCH(Parametres!$B$3,G$1:R$1,0))*IF(OR(F1022="L",F1022="S",F1022="I"),-1,1)</f>
        <v>0</v>
      </c>
      <c r="AO1022" s="487" t="str">
        <f>+VLOOKUP($AJ1022,Data_Validation!$A:$D,1,0)</f>
        <v>G67800</v>
      </c>
      <c r="AP1022" s="487">
        <f>+VLOOKUP($AJ1022,Data_Validation!$A:$D,3,0)</f>
        <v>0</v>
      </c>
      <c r="AQ1022" s="487">
        <f>+VLOOKUP($AJ1022,Data_Validation!$A:$D,4,0)</f>
        <v>0</v>
      </c>
      <c r="AR1022" s="487" t="s">
        <v>299</v>
      </c>
      <c r="AS1022" s="487">
        <f>+VLOOKUP($AJ1022,Data_Validation!$A:$E,5,0)</f>
        <v>0</v>
      </c>
      <c r="AT1022" s="904" t="str">
        <f t="shared" si="101"/>
        <v>G67800</v>
      </c>
      <c r="AU1022" s="488" t="str">
        <f t="shared" si="102"/>
        <v>COUT-PCE BODY CLIENT CAM</v>
      </c>
      <c r="AV1022" s="899">
        <f>IFERROR(INDEX(V1022:AG1022,1,MATCH(Parametres!$B$3,V$1:AG$1,0)-1)*IF(OR(C1022="L",C1022="S",C1022="I"),-1,1),"")</f>
        <v>0</v>
      </c>
      <c r="AW1022" s="899">
        <f t="shared" si="103"/>
        <v>0</v>
      </c>
      <c r="AX1022" s="899">
        <f>INDEX(V1022:AG1022,1,MATCH(Parametres!$B$3,V$1:AG$1,0))*IF(OR(C1022="L",C1022="S",C1022="I"),-1,1)</f>
        <v>0</v>
      </c>
      <c r="AY1022" s="487" t="s">
        <v>337</v>
      </c>
      <c r="AZ1022" s="487">
        <f>+VLOOKUP($AJ1022,Data_Validation!$A:$E,5,0)</f>
        <v>0</v>
      </c>
    </row>
    <row r="1023" spans="1:52" ht="15" hidden="1" customHeight="1">
      <c r="A1023" s="706" t="s">
        <v>1148</v>
      </c>
      <c r="B1023" s="706">
        <v>2026</v>
      </c>
      <c r="C1023" s="706" t="s">
        <v>2926</v>
      </c>
      <c r="D1023" s="706" t="s">
        <v>2927</v>
      </c>
      <c r="E1023" s="706" t="s">
        <v>333</v>
      </c>
      <c r="F1023" s="706" t="s">
        <v>1152</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G67840</v>
      </c>
      <c r="AK1023" s="905" t="str">
        <f t="shared" si="99"/>
        <v>COUT-P&amp;A GOODW CAM MOYEN</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G67840</v>
      </c>
      <c r="AU1023" s="488" t="str">
        <f t="shared" si="102"/>
        <v>COUT-P&amp;A GOODW CAM MOYEN</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hidden="1" customHeight="1">
      <c r="A1024" s="706" t="s">
        <v>1148</v>
      </c>
      <c r="B1024" s="706">
        <v>2026</v>
      </c>
      <c r="C1024" s="706" t="s">
        <v>2928</v>
      </c>
      <c r="D1024" s="706" t="s">
        <v>2929</v>
      </c>
      <c r="E1024" s="706" t="s">
        <v>333</v>
      </c>
      <c r="F1024" s="706" t="s">
        <v>1152</v>
      </c>
      <c r="G1024" s="706">
        <v>14720.33</v>
      </c>
      <c r="H1024" s="706">
        <v>34336.69</v>
      </c>
      <c r="I1024" s="706">
        <v>49738.05</v>
      </c>
      <c r="J1024" s="706">
        <v>81691.16</v>
      </c>
      <c r="K1024" s="706">
        <v>88785.44</v>
      </c>
      <c r="L1024" s="706">
        <v>95870.11</v>
      </c>
      <c r="M1024" s="706">
        <v>102457.29</v>
      </c>
      <c r="N1024" s="706">
        <v>108314.23</v>
      </c>
      <c r="O1024" s="706">
        <v>118902.22</v>
      </c>
      <c r="P1024" s="706">
        <v>119480.12</v>
      </c>
      <c r="Q1024" s="706">
        <v>0</v>
      </c>
      <c r="R1024" s="706">
        <v>0</v>
      </c>
      <c r="S1024" s="706">
        <v>13211.36</v>
      </c>
      <c r="T1024" s="706">
        <v>13211.36</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G67900</v>
      </c>
      <c r="AK1024" s="905" t="str">
        <f t="shared" ref="AK1024:AK1025" si="105">D1024</f>
        <v>COUT-PEINTURE CARROSSERIE</v>
      </c>
      <c r="AL1024" s="905">
        <f>IFERROR(INDEX(G1024:R1024,1,MATCH(Parametres!$B$3,G$1:R$1,0)-1)*IF(OR(F1024="L",F1024="S",F1024="I"),-1,1),"")</f>
        <v>108314.23</v>
      </c>
      <c r="AM1024" s="1047">
        <f t="shared" ref="AM1024:AM1025" si="106">AN1024-AL1024</f>
        <v>10587.990000000005</v>
      </c>
      <c r="AN1024" s="905">
        <f>INDEX(G1024:R1024,1,MATCH(Parametres!$B$3,G$1:R$1,0))*IF(OR(F1024="L",F1024="S",F1024="I"),-1,1)</f>
        <v>118902.22</v>
      </c>
      <c r="AO1024" s="487" t="str">
        <f>+VLOOKUP($AJ1024,Data_Validation!$A:$D,1,0)</f>
        <v>G67900</v>
      </c>
      <c r="AP1024" s="487" t="str">
        <f>+VLOOKUP($AJ1024,Data_Validation!$A:$D,3,0)</f>
        <v>Carrosserie</v>
      </c>
      <c r="AQ1024" s="487" t="str">
        <f>+VLOOKUP($AJ1024,Data_Validation!$A:$D,4,0)</f>
        <v>Carrosserie Clients</v>
      </c>
      <c r="AR1024" s="487" t="s">
        <v>299</v>
      </c>
      <c r="AS1024" s="487">
        <f>+VLOOKUP($AJ1024,Data_Validation!$A:$E,5,0)</f>
        <v>0</v>
      </c>
      <c r="AT1024" s="904" t="str">
        <f t="shared" ref="AT1024:AT1025" si="107">C1024</f>
        <v>G67900</v>
      </c>
      <c r="AU1024" s="488" t="str">
        <f t="shared" ref="AU1024:AU1025" si="108">D1024</f>
        <v>COUT-PEINTURE CARROSSERIE</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f>+VLOOKUP($AJ1024,Data_Validation!$A:$E,5,0)</f>
        <v>0</v>
      </c>
    </row>
    <row r="1025" spans="1:52" ht="15" hidden="1" customHeight="1">
      <c r="A1025" s="706" t="s">
        <v>1148</v>
      </c>
      <c r="B1025" s="706">
        <v>2026</v>
      </c>
      <c r="C1025" s="706" t="s">
        <v>2930</v>
      </c>
      <c r="D1025" s="706" t="s">
        <v>2931</v>
      </c>
      <c r="E1025" s="706" t="s">
        <v>333</v>
      </c>
      <c r="F1025" s="706" t="s">
        <v>1152</v>
      </c>
      <c r="G1025" s="706">
        <v>0</v>
      </c>
      <c r="H1025" s="706">
        <v>0</v>
      </c>
      <c r="I1025" s="706">
        <v>0</v>
      </c>
      <c r="J1025" s="706">
        <v>0</v>
      </c>
      <c r="K1025" s="706">
        <v>144.72</v>
      </c>
      <c r="L1025" s="706">
        <v>604.91</v>
      </c>
      <c r="M1025" s="706">
        <v>1041.71</v>
      </c>
      <c r="N1025" s="706">
        <v>2056.25</v>
      </c>
      <c r="O1025" s="706">
        <v>2639.23</v>
      </c>
      <c r="P1025" s="706">
        <v>2734.73</v>
      </c>
      <c r="Q1025" s="706">
        <v>0</v>
      </c>
      <c r="R1025" s="706">
        <v>0</v>
      </c>
      <c r="S1025" s="706">
        <v>293.25</v>
      </c>
      <c r="T1025" s="706">
        <v>293.25</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G67903</v>
      </c>
      <c r="AK1025" s="905" t="str">
        <f t="shared" si="105"/>
        <v>COUT - PEINT. INTERN-BODY</v>
      </c>
      <c r="AL1025" s="905">
        <f>IFERROR(INDEX(G1025:R1025,1,MATCH(Parametres!$B$3,G$1:R$1,0)-1)*IF(OR(F1025="L",F1025="S",F1025="I"),-1,1),"")</f>
        <v>2056.25</v>
      </c>
      <c r="AM1025" s="905">
        <f t="shared" si="106"/>
        <v>582.98</v>
      </c>
      <c r="AN1025" s="905">
        <f>INDEX(G1025:R1025,1,MATCH(Parametres!$B$3,G$1:R$1,0))*IF(OR(F1025="L",F1025="S",F1025="I"),-1,1)</f>
        <v>2639.23</v>
      </c>
      <c r="AO1025" s="487" t="str">
        <f>+VLOOKUP($AJ1025,Data_Validation!$A:$D,1,0)</f>
        <v>G67903</v>
      </c>
      <c r="AP1025" s="487" t="str">
        <f>+VLOOKUP($AJ1025,Data_Validation!$A:$D,3,0)</f>
        <v>Carrosserie</v>
      </c>
      <c r="AQ1025" s="487" t="str">
        <f>+VLOOKUP($AJ1025,Data_Validation!$A:$D,4,0)</f>
        <v>Carrosserie Interne</v>
      </c>
      <c r="AR1025" s="487" t="s">
        <v>299</v>
      </c>
      <c r="AS1025" s="487">
        <f>+VLOOKUP($AJ1025,Data_Validation!$A:$E,5,0)</f>
        <v>0</v>
      </c>
      <c r="AT1025" s="904" t="str">
        <f t="shared" si="107"/>
        <v>G67903</v>
      </c>
      <c r="AU1025" s="488" t="str">
        <f t="shared" si="108"/>
        <v>COUT - PEINT. INTERN-BODY</v>
      </c>
      <c r="AV1025" s="899">
        <f>IFERROR(INDEX(V1025:AG1025,1,MATCH(Parametres!$B$3,V$1:AG$1,0)-1)*IF(OR(C1025="L",C1025="S",C1025="I"),-1,1),"")</f>
        <v>0</v>
      </c>
      <c r="AW1025" s="899">
        <f t="shared" si="109"/>
        <v>0</v>
      </c>
      <c r="AX1025" s="899">
        <f>INDEX(V1025:AG1025,1,MATCH(Parametres!$B$3,V$1:AG$1,0))*IF(OR(C1025="L",C1025="S",C1025="I"),-1,1)</f>
        <v>0</v>
      </c>
      <c r="AY1025" s="487" t="s">
        <v>337</v>
      </c>
      <c r="AZ1025" s="487">
        <f>+VLOOKUP($AJ1025,Data_Validation!$A:$E,5,0)</f>
        <v>0</v>
      </c>
    </row>
    <row r="1026" spans="1:52" ht="15" hidden="1" customHeight="1">
      <c r="A1026" s="706" t="s">
        <v>1148</v>
      </c>
      <c r="B1026" s="706">
        <v>2026</v>
      </c>
      <c r="C1026" s="706" t="s">
        <v>2932</v>
      </c>
      <c r="D1026" s="706" t="s">
        <v>2933</v>
      </c>
      <c r="E1026" s="706" t="s">
        <v>333</v>
      </c>
      <c r="F1026" s="706" t="s">
        <v>1152</v>
      </c>
      <c r="G1026" s="706">
        <v>0</v>
      </c>
      <c r="H1026" s="706">
        <v>0</v>
      </c>
      <c r="I1026" s="706">
        <v>0</v>
      </c>
      <c r="J1026" s="706">
        <v>0</v>
      </c>
      <c r="K1026" s="706">
        <v>5172.5</v>
      </c>
      <c r="L1026" s="706">
        <v>12665.99</v>
      </c>
      <c r="M1026" s="706">
        <v>16965.189999999999</v>
      </c>
      <c r="N1026" s="706">
        <v>20886.900000000001</v>
      </c>
      <c r="O1026" s="706">
        <v>24053.26</v>
      </c>
      <c r="P1026" s="706">
        <v>24208.92</v>
      </c>
      <c r="Q1026" s="706">
        <v>0</v>
      </c>
      <c r="R1026" s="706">
        <v>0</v>
      </c>
      <c r="S1026" s="706">
        <v>2672.58</v>
      </c>
      <c r="T1026" s="706">
        <v>2672.58</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G67905</v>
      </c>
      <c r="AK1026" s="905" t="str">
        <f t="shared" ref="AK1026:AK1076" si="111">D1026</f>
        <v>COUT - PEINT CONC-BODY</v>
      </c>
      <c r="AL1026" s="905">
        <f>IFERROR(INDEX(G1026:R1026,1,MATCH(Parametres!$B$3,G$1:R$1,0)-1)*IF(OR(F1026="L",F1026="S",F1026="I"),-1,1),"")</f>
        <v>20886.900000000001</v>
      </c>
      <c r="AM1026" s="905">
        <f t="shared" ref="AM1026:AM1076" si="112">AN1026-AL1026</f>
        <v>3166.3599999999969</v>
      </c>
      <c r="AN1026" s="905">
        <f>INDEX(G1026:R1026,1,MATCH(Parametres!$B$3,G$1:R$1,0))*IF(OR(F1026="L",F1026="S",F1026="I"),-1,1)</f>
        <v>24053.26</v>
      </c>
      <c r="AO1026" s="487" t="str">
        <f>+VLOOKUP($AJ1026,Data_Validation!$A:$D,1,0)</f>
        <v>G67905</v>
      </c>
      <c r="AP1026" s="487" t="str">
        <f>+VLOOKUP($AJ1026,Data_Validation!$A:$D,3,0)</f>
        <v>Carrosserie</v>
      </c>
      <c r="AQ1026" s="487" t="str">
        <f>+VLOOKUP($AJ1026,Data_Validation!$A:$D,4,0)</f>
        <v>Carrosserie Concessions</v>
      </c>
      <c r="AR1026" s="487" t="s">
        <v>299</v>
      </c>
      <c r="AS1026" s="487">
        <f>+VLOOKUP($AJ1026,Data_Validation!$A:$E,5,0)</f>
        <v>0</v>
      </c>
      <c r="AT1026" s="904" t="str">
        <f t="shared" ref="AT1026:AT1076" si="113">C1026</f>
        <v>G67905</v>
      </c>
      <c r="AU1026" s="488" t="str">
        <f t="shared" ref="AU1026:AU1076" si="114">D1026</f>
        <v>COUT - PEINT CONC-BODY</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f>+VLOOKUP($AJ1026,Data_Validation!$A:$E,5,0)</f>
        <v>0</v>
      </c>
    </row>
    <row r="1027" spans="1:52" ht="15" hidden="1" customHeight="1">
      <c r="A1027" s="706" t="s">
        <v>1148</v>
      </c>
      <c r="B1027" s="706">
        <v>2026</v>
      </c>
      <c r="C1027" s="706" t="s">
        <v>2934</v>
      </c>
      <c r="D1027" s="706" t="s">
        <v>2935</v>
      </c>
      <c r="E1027" s="706" t="s">
        <v>333</v>
      </c>
      <c r="F1027" s="706" t="s">
        <v>1152</v>
      </c>
      <c r="G1027" s="706">
        <v>0</v>
      </c>
      <c r="H1027" s="706">
        <v>0</v>
      </c>
      <c r="I1027" s="706">
        <v>0</v>
      </c>
      <c r="J1027" s="706">
        <v>0</v>
      </c>
      <c r="K1027" s="706">
        <v>2097.5500000000002</v>
      </c>
      <c r="L1027" s="706">
        <v>7486.2</v>
      </c>
      <c r="M1027" s="706">
        <v>10691.89</v>
      </c>
      <c r="N1027" s="706">
        <v>13259.36</v>
      </c>
      <c r="O1027" s="706">
        <v>20880.580000000002</v>
      </c>
      <c r="P1027" s="706">
        <v>22169.55</v>
      </c>
      <c r="Q1027" s="706">
        <v>0</v>
      </c>
      <c r="R1027" s="706">
        <v>0</v>
      </c>
      <c r="S1027" s="706">
        <v>2320.06</v>
      </c>
      <c r="T1027" s="706">
        <v>2320.06</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G67910</v>
      </c>
      <c r="AK1027" s="905" t="str">
        <f t="shared" si="111"/>
        <v>COUT -M-ATELIER CLT-BODY</v>
      </c>
      <c r="AL1027" s="905">
        <f>IFERROR(INDEX(G1027:R1027,1,MATCH(Parametres!$B$3,G$1:R$1,0)-1)*IF(OR(F1027="L",F1027="S",F1027="I"),-1,1),"")</f>
        <v>13259.36</v>
      </c>
      <c r="AM1027" s="905">
        <f t="shared" si="112"/>
        <v>7621.2200000000012</v>
      </c>
      <c r="AN1027" s="905">
        <f>INDEX(G1027:R1027,1,MATCH(Parametres!$B$3,G$1:R$1,0))*IF(OR(F1027="L",F1027="S",F1027="I"),-1,1)</f>
        <v>20880.580000000002</v>
      </c>
      <c r="AO1027" s="487" t="str">
        <f>+VLOOKUP($AJ1027,Data_Validation!$A:$D,1,0)</f>
        <v>G67910</v>
      </c>
      <c r="AP1027" s="487" t="str">
        <f>+VLOOKUP($AJ1027,Data_Validation!$A:$D,3,0)</f>
        <v>Carrosserie</v>
      </c>
      <c r="AQ1027" s="487" t="str">
        <f>+VLOOKUP($AJ1027,Data_Validation!$A:$D,4,0)</f>
        <v>Carrosserie Clients</v>
      </c>
      <c r="AR1027" s="487" t="s">
        <v>299</v>
      </c>
      <c r="AS1027" s="487">
        <f>+VLOOKUP($AJ1027,Data_Validation!$A:$E,5,0)</f>
        <v>0</v>
      </c>
      <c r="AT1027" s="904" t="str">
        <f t="shared" si="113"/>
        <v>G67910</v>
      </c>
      <c r="AU1027" s="488" t="str">
        <f t="shared" si="114"/>
        <v>COUT -M-ATELIER CLT-BODY</v>
      </c>
      <c r="AV1027" s="899">
        <f>IFERROR(INDEX(V1027:AG1027,1,MATCH(Parametres!$B$3,V$1:AG$1,0)-1)*IF(OR(C1027="L",C1027="S",C1027="I"),-1,1),"")</f>
        <v>0</v>
      </c>
      <c r="AW1027" s="899">
        <f t="shared" si="115"/>
        <v>0</v>
      </c>
      <c r="AX1027" s="899">
        <f>INDEX(V1027:AG1027,1,MATCH(Parametres!$B$3,V$1:AG$1,0))*IF(OR(C1027="L",C1027="S",C1027="I"),-1,1)</f>
        <v>0</v>
      </c>
      <c r="AY1027" s="487" t="s">
        <v>337</v>
      </c>
      <c r="AZ1027" s="487">
        <f>+VLOOKUP($AJ1027,Data_Validation!$A:$E,5,0)</f>
        <v>0</v>
      </c>
    </row>
    <row r="1028" spans="1:52" ht="15" hidden="1" customHeight="1">
      <c r="A1028" s="706" t="s">
        <v>1148</v>
      </c>
      <c r="B1028" s="706">
        <v>2026</v>
      </c>
      <c r="C1028" s="706" t="s">
        <v>2936</v>
      </c>
      <c r="D1028" s="706" t="s">
        <v>2937</v>
      </c>
      <c r="E1028" s="706" t="s">
        <v>333</v>
      </c>
      <c r="F1028" s="706" t="s">
        <v>1152</v>
      </c>
      <c r="G1028" s="706">
        <v>0</v>
      </c>
      <c r="H1028" s="706">
        <v>0</v>
      </c>
      <c r="I1028" s="706">
        <v>0</v>
      </c>
      <c r="J1028" s="706">
        <v>0</v>
      </c>
      <c r="K1028" s="706">
        <v>135.33000000000001</v>
      </c>
      <c r="L1028" s="706">
        <v>430.08</v>
      </c>
      <c r="M1028" s="706">
        <v>576.52</v>
      </c>
      <c r="N1028" s="706">
        <v>1023.78</v>
      </c>
      <c r="O1028" s="706">
        <v>1317.17</v>
      </c>
      <c r="P1028" s="706">
        <v>1347.59</v>
      </c>
      <c r="Q1028" s="706">
        <v>0</v>
      </c>
      <c r="R1028" s="706">
        <v>0</v>
      </c>
      <c r="S1028" s="706">
        <v>146.35</v>
      </c>
      <c r="T1028" s="706">
        <v>146.35</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G67913</v>
      </c>
      <c r="AK1028" s="905" t="str">
        <f t="shared" si="111"/>
        <v>COUT -M. ATEL.INTERN-BODY</v>
      </c>
      <c r="AL1028" s="905">
        <f>IFERROR(INDEX(G1028:R1028,1,MATCH(Parametres!$B$3,G$1:R$1,0)-1)*IF(OR(F1028="L",F1028="S",F1028="I"),-1,1),"")</f>
        <v>1023.78</v>
      </c>
      <c r="AM1028" s="905">
        <f t="shared" si="112"/>
        <v>293.3900000000001</v>
      </c>
      <c r="AN1028" s="905">
        <f>INDEX(G1028:R1028,1,MATCH(Parametres!$B$3,G$1:R$1,0))*IF(OR(F1028="L",F1028="S",F1028="I"),-1,1)</f>
        <v>1317.17</v>
      </c>
      <c r="AO1028" s="487" t="str">
        <f>+VLOOKUP($AJ1028,Data_Validation!$A:$D,1,0)</f>
        <v>G67913</v>
      </c>
      <c r="AP1028" s="487" t="str">
        <f>+VLOOKUP($AJ1028,Data_Validation!$A:$D,3,0)</f>
        <v>Carrosserie</v>
      </c>
      <c r="AQ1028" s="487" t="str">
        <f>+VLOOKUP($AJ1028,Data_Validation!$A:$D,4,0)</f>
        <v>Carrosserie Interne</v>
      </c>
      <c r="AR1028" s="487" t="s">
        <v>299</v>
      </c>
      <c r="AS1028" s="487">
        <f>+VLOOKUP($AJ1028,Data_Validation!$A:$E,5,0)</f>
        <v>0</v>
      </c>
      <c r="AT1028" s="904" t="str">
        <f t="shared" si="113"/>
        <v>G67913</v>
      </c>
      <c r="AU1028" s="488" t="str">
        <f t="shared" si="114"/>
        <v>COUT -M. ATEL.INTERN-BODY</v>
      </c>
      <c r="AV1028" s="899">
        <f>IFERROR(INDEX(V1028:AG1028,1,MATCH(Parametres!$B$3,V$1:AG$1,0)-1)*IF(OR(C1028="L",C1028="S",C1028="I"),-1,1),"")</f>
        <v>0</v>
      </c>
      <c r="AW1028" s="899">
        <f t="shared" si="115"/>
        <v>0</v>
      </c>
      <c r="AX1028" s="899">
        <f>INDEX(V1028:AG1028,1,MATCH(Parametres!$B$3,V$1:AG$1,0))*IF(OR(C1028="L",C1028="S",C1028="I"),-1,1)</f>
        <v>0</v>
      </c>
      <c r="AY1028" s="487" t="s">
        <v>337</v>
      </c>
      <c r="AZ1028" s="487">
        <f>+VLOOKUP($AJ1028,Data_Validation!$A:$E,5,0)</f>
        <v>0</v>
      </c>
    </row>
    <row r="1029" spans="1:52" ht="15" hidden="1" customHeight="1">
      <c r="A1029" s="706" t="s">
        <v>1148</v>
      </c>
      <c r="B1029" s="706">
        <v>2026</v>
      </c>
      <c r="C1029" s="706" t="s">
        <v>2938</v>
      </c>
      <c r="D1029" s="706" t="s">
        <v>2939</v>
      </c>
      <c r="E1029" s="706" t="s">
        <v>333</v>
      </c>
      <c r="F1029" s="706" t="s">
        <v>1152</v>
      </c>
      <c r="G1029" s="706">
        <v>0</v>
      </c>
      <c r="H1029" s="706">
        <v>0</v>
      </c>
      <c r="I1029" s="706">
        <v>0</v>
      </c>
      <c r="J1029" s="706">
        <v>0</v>
      </c>
      <c r="K1029" s="706">
        <v>917.14</v>
      </c>
      <c r="L1029" s="706">
        <v>4198.8900000000003</v>
      </c>
      <c r="M1029" s="706">
        <v>5956.44</v>
      </c>
      <c r="N1029" s="706">
        <v>7822.78</v>
      </c>
      <c r="O1029" s="706">
        <v>9456.83</v>
      </c>
      <c r="P1029" s="706">
        <v>9586.1200000000008</v>
      </c>
      <c r="Q1029" s="706">
        <v>0</v>
      </c>
      <c r="R1029" s="706">
        <v>0</v>
      </c>
      <c r="S1029" s="706">
        <v>1050.76</v>
      </c>
      <c r="T1029" s="706">
        <v>1050.76</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G67915</v>
      </c>
      <c r="AK1029" s="905" t="str">
        <f t="shared" si="111"/>
        <v>COUT -M.A CONCES. BODY</v>
      </c>
      <c r="AL1029" s="905">
        <f>IFERROR(INDEX(G1029:R1029,1,MATCH(Parametres!$B$3,G$1:R$1,0)-1)*IF(OR(F1029="L",F1029="S",F1029="I"),-1,1),"")</f>
        <v>7822.78</v>
      </c>
      <c r="AM1029" s="905">
        <f t="shared" si="112"/>
        <v>1634.0500000000002</v>
      </c>
      <c r="AN1029" s="905">
        <f>INDEX(G1029:R1029,1,MATCH(Parametres!$B$3,G$1:R$1,0))*IF(OR(F1029="L",F1029="S",F1029="I"),-1,1)</f>
        <v>9456.83</v>
      </c>
      <c r="AO1029" s="487" t="str">
        <f>+VLOOKUP($AJ1029,Data_Validation!$A:$D,1,0)</f>
        <v>G67915</v>
      </c>
      <c r="AP1029" s="487" t="str">
        <f>+VLOOKUP($AJ1029,Data_Validation!$A:$D,3,0)</f>
        <v>Carrosserie</v>
      </c>
      <c r="AQ1029" s="487" t="str">
        <f>+VLOOKUP($AJ1029,Data_Validation!$A:$D,4,0)</f>
        <v>Carrosserie Concessions</v>
      </c>
      <c r="AR1029" s="487" t="s">
        <v>299</v>
      </c>
      <c r="AS1029" s="487">
        <f>+VLOOKUP($AJ1029,Data_Validation!$A:$E,5,0)</f>
        <v>0</v>
      </c>
      <c r="AT1029" s="904" t="str">
        <f t="shared" si="113"/>
        <v>G67915</v>
      </c>
      <c r="AU1029" s="488" t="str">
        <f t="shared" si="114"/>
        <v>COUT -M.A CONCES. BODY</v>
      </c>
      <c r="AV1029" s="899">
        <f>IFERROR(INDEX(V1029:AG1029,1,MATCH(Parametres!$B$3,V$1:AG$1,0)-1)*IF(OR(C1029="L",C1029="S",C1029="I"),-1,1),"")</f>
        <v>0</v>
      </c>
      <c r="AW1029" s="899">
        <f t="shared" si="115"/>
        <v>0</v>
      </c>
      <c r="AX1029" s="899">
        <f>INDEX(V1029:AG1029,1,MATCH(Parametres!$B$3,V$1:AG$1,0))*IF(OR(C1029="L",C1029="S",C1029="I"),-1,1)</f>
        <v>0</v>
      </c>
      <c r="AY1029" s="487" t="s">
        <v>337</v>
      </c>
      <c r="AZ1029" s="487">
        <f>+VLOOKUP($AJ1029,Data_Validation!$A:$E,5,0)</f>
        <v>0</v>
      </c>
    </row>
    <row r="1030" spans="1:52" ht="15" hidden="1" customHeight="1">
      <c r="A1030" s="706" t="s">
        <v>1148</v>
      </c>
      <c r="B1030" s="706">
        <v>2026</v>
      </c>
      <c r="C1030" s="706" t="s">
        <v>2940</v>
      </c>
      <c r="D1030" s="706" t="s">
        <v>2941</v>
      </c>
      <c r="E1030" s="706" t="s">
        <v>333</v>
      </c>
      <c r="F1030" s="706" t="s">
        <v>1152</v>
      </c>
      <c r="G1030" s="706">
        <v>39483.879999999997</v>
      </c>
      <c r="H1030" s="706">
        <v>76073.990000000005</v>
      </c>
      <c r="I1030" s="706">
        <v>130785.66</v>
      </c>
      <c r="J1030" s="706">
        <v>172149.29</v>
      </c>
      <c r="K1030" s="706">
        <v>191580.21</v>
      </c>
      <c r="L1030" s="706">
        <v>255802.79</v>
      </c>
      <c r="M1030" s="706">
        <v>294788.87</v>
      </c>
      <c r="N1030" s="706">
        <v>356817.75</v>
      </c>
      <c r="O1030" s="706">
        <v>386648.51</v>
      </c>
      <c r="P1030" s="706">
        <v>391700.57</v>
      </c>
      <c r="Q1030" s="706">
        <v>0</v>
      </c>
      <c r="R1030" s="706">
        <v>0</v>
      </c>
      <c r="S1030" s="706">
        <v>42960.95</v>
      </c>
      <c r="T1030" s="706">
        <v>42960.95</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G68000</v>
      </c>
      <c r="AK1030" s="905" t="str">
        <f t="shared" si="111"/>
        <v>COUT-PIECE GARANTIE</v>
      </c>
      <c r="AL1030" s="905">
        <f>IFERROR(INDEX(G1030:R1030,1,MATCH(Parametres!$B$3,G$1:R$1,0)-1)*IF(OR(F1030="L",F1030="S",F1030="I"),-1,1),"")</f>
        <v>356817.75</v>
      </c>
      <c r="AM1030" s="905">
        <f t="shared" si="112"/>
        <v>29830.760000000009</v>
      </c>
      <c r="AN1030" s="905">
        <f>INDEX(G1030:R1030,1,MATCH(Parametres!$B$3,G$1:R$1,0))*IF(OR(F1030="L",F1030="S",F1030="I"),-1,1)</f>
        <v>386648.51</v>
      </c>
      <c r="AO1030" s="487" t="str">
        <f>+VLOOKUP($AJ1030,Data_Validation!$A:$D,1,0)</f>
        <v>G68000</v>
      </c>
      <c r="AP1030" s="487" t="str">
        <f>+VLOOKUP($AJ1030,Data_Validation!$A:$D,3,0)</f>
        <v>Pièces</v>
      </c>
      <c r="AQ1030" s="487" t="str">
        <f>+VLOOKUP($AJ1030,Data_Validation!$A:$D,4,0)</f>
        <v>P/A Garantie</v>
      </c>
      <c r="AR1030" s="487" t="s">
        <v>299</v>
      </c>
      <c r="AS1030" s="487">
        <f>+VLOOKUP($AJ1030,Data_Validation!$A:$E,5,0)</f>
        <v>0</v>
      </c>
      <c r="AT1030" s="904" t="str">
        <f t="shared" si="113"/>
        <v>G68000</v>
      </c>
      <c r="AU1030" s="488" t="str">
        <f t="shared" si="114"/>
        <v>COUT-PIECE GARANTIE</v>
      </c>
      <c r="AV1030" s="899">
        <f>IFERROR(INDEX(V1030:AG1030,1,MATCH(Parametres!$B$3,V$1:AG$1,0)-1)*IF(OR(C1030="L",C1030="S",C1030="I"),-1,1),"")</f>
        <v>0</v>
      </c>
      <c r="AW1030" s="899">
        <f t="shared" si="115"/>
        <v>0</v>
      </c>
      <c r="AX1030" s="899">
        <f>INDEX(V1030:AG1030,1,MATCH(Parametres!$B$3,V$1:AG$1,0))*IF(OR(C1030="L",C1030="S",C1030="I"),-1,1)</f>
        <v>0</v>
      </c>
      <c r="AY1030" s="487" t="s">
        <v>337</v>
      </c>
      <c r="AZ1030" s="487">
        <f>+VLOOKUP($AJ1030,Data_Validation!$A:$E,5,0)</f>
        <v>0</v>
      </c>
    </row>
    <row r="1031" spans="1:52" ht="15" hidden="1" customHeight="1">
      <c r="A1031" s="706" t="s">
        <v>1148</v>
      </c>
      <c r="B1031" s="706">
        <v>2026</v>
      </c>
      <c r="C1031" s="706" t="s">
        <v>2942</v>
      </c>
      <c r="D1031" s="706" t="s">
        <v>2943</v>
      </c>
      <c r="E1031" s="706" t="s">
        <v>333</v>
      </c>
      <c r="F1031" s="706" t="s">
        <v>1152</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G68020</v>
      </c>
      <c r="AK1031" s="905" t="str">
        <f t="shared" si="111"/>
        <v>COUT-P&amp;A RECLAM.CAM MOYEN</v>
      </c>
      <c r="AL1031" s="905">
        <f>IFERROR(INDEX(G1031:R1031,1,MATCH(Parametres!$B$3,G$1:R$1,0)-1)*IF(OR(F1031="L",F1031="S",F1031="I"),-1,1),"")</f>
        <v>0</v>
      </c>
      <c r="AM1031" s="905">
        <f t="shared" si="112"/>
        <v>0</v>
      </c>
      <c r="AN1031" s="905">
        <f>INDEX(G1031:R1031,1,MATCH(Parametres!$B$3,G$1:R$1,0))*IF(OR(F1031="L",F1031="S",F1031="I"),-1,1)</f>
        <v>0</v>
      </c>
      <c r="AO1031" s="487" t="str">
        <f>+VLOOKUP($AJ1031,Data_Validation!$A:$D,1,0)</f>
        <v>G68020</v>
      </c>
      <c r="AP1031" s="487" t="str">
        <f>+VLOOKUP($AJ1031,Data_Validation!$A:$D,3,0)</f>
        <v>Pièces</v>
      </c>
      <c r="AQ1031" s="487" t="str">
        <f>+VLOOKUP($AJ1031,Data_Validation!$A:$D,4,0)</f>
        <v>P/A Garantie</v>
      </c>
      <c r="AR1031" s="487" t="s">
        <v>299</v>
      </c>
      <c r="AS1031" s="487">
        <f>+VLOOKUP($AJ1031,Data_Validation!$A:$E,5,0)</f>
        <v>0</v>
      </c>
      <c r="AT1031" s="904" t="str">
        <f t="shared" si="113"/>
        <v>G68020</v>
      </c>
      <c r="AU1031" s="488" t="str">
        <f t="shared" si="114"/>
        <v>COUT-P&amp;A RECLAM.CAM MOYEN</v>
      </c>
      <c r="AV1031" s="899">
        <f>IFERROR(INDEX(V1031:AG1031,1,MATCH(Parametres!$B$3,V$1:AG$1,0)-1)*IF(OR(C1031="L",C1031="S",C1031="I"),-1,1),"")</f>
        <v>0</v>
      </c>
      <c r="AW1031" s="899">
        <f t="shared" si="115"/>
        <v>0</v>
      </c>
      <c r="AX1031" s="899">
        <f>INDEX(V1031:AG1031,1,MATCH(Parametres!$B$3,V$1:AG$1,0))*IF(OR(C1031="L",C1031="S",C1031="I"),-1,1)</f>
        <v>0</v>
      </c>
      <c r="AY1031" s="487" t="s">
        <v>337</v>
      </c>
      <c r="AZ1031" s="487">
        <f>+VLOOKUP($AJ1031,Data_Validation!$A:$E,5,0)</f>
        <v>0</v>
      </c>
    </row>
    <row r="1032" spans="1:52" ht="15" hidden="1" customHeight="1">
      <c r="A1032" s="706" t="s">
        <v>1148</v>
      </c>
      <c r="B1032" s="706">
        <v>2026</v>
      </c>
      <c r="C1032" s="706" t="s">
        <v>2944</v>
      </c>
      <c r="D1032" s="706" t="s">
        <v>2945</v>
      </c>
      <c r="E1032" s="706" t="s">
        <v>333</v>
      </c>
      <c r="F1032" s="706" t="s">
        <v>1152</v>
      </c>
      <c r="G1032" s="706">
        <v>29709.91</v>
      </c>
      <c r="H1032" s="706">
        <v>68901.850000000006</v>
      </c>
      <c r="I1032" s="706">
        <v>110629.82</v>
      </c>
      <c r="J1032" s="706">
        <v>157545.79999999999</v>
      </c>
      <c r="K1032" s="706">
        <v>185833.58</v>
      </c>
      <c r="L1032" s="706">
        <v>218696.64</v>
      </c>
      <c r="M1032" s="706">
        <v>248135.07</v>
      </c>
      <c r="N1032" s="706">
        <v>274902.86</v>
      </c>
      <c r="O1032" s="706">
        <v>303969.06</v>
      </c>
      <c r="P1032" s="706">
        <v>310122.57</v>
      </c>
      <c r="Q1032" s="706">
        <v>0</v>
      </c>
      <c r="R1032" s="706">
        <v>0</v>
      </c>
      <c r="S1032" s="706">
        <v>33774.339999999997</v>
      </c>
      <c r="T1032" s="706">
        <v>33774.339999999997</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G68100</v>
      </c>
      <c r="AK1032" s="905" t="str">
        <f t="shared" si="111"/>
        <v>COUT-PIECES INTERNE</v>
      </c>
      <c r="AL1032" s="905">
        <f>IFERROR(INDEX(G1032:R1032,1,MATCH(Parametres!$B$3,G$1:R$1,0)-1)*IF(OR(F1032="L",F1032="S",F1032="I"),-1,1),"")</f>
        <v>274902.86</v>
      </c>
      <c r="AM1032" s="905">
        <f t="shared" si="112"/>
        <v>29066.200000000012</v>
      </c>
      <c r="AN1032" s="905">
        <f>INDEX(G1032:R1032,1,MATCH(Parametres!$B$3,G$1:R$1,0))*IF(OR(F1032="L",F1032="S",F1032="I"),-1,1)</f>
        <v>303969.06</v>
      </c>
      <c r="AO1032" s="487" t="str">
        <f>+VLOOKUP($AJ1032,Data_Validation!$A:$D,1,0)</f>
        <v>G68100</v>
      </c>
      <c r="AP1032" s="487" t="str">
        <f>+VLOOKUP($AJ1032,Data_Validation!$A:$D,3,0)</f>
        <v>Pièces</v>
      </c>
      <c r="AQ1032" s="487" t="str">
        <f>+VLOOKUP($AJ1032,Data_Validation!$A:$D,4,0)</f>
        <v>Ventes Internes</v>
      </c>
      <c r="AR1032" s="487" t="s">
        <v>299</v>
      </c>
      <c r="AS1032" s="487">
        <f>+VLOOKUP($AJ1032,Data_Validation!$A:$E,5,0)</f>
        <v>0</v>
      </c>
      <c r="AT1032" s="904" t="str">
        <f t="shared" si="113"/>
        <v>G68100</v>
      </c>
      <c r="AU1032" s="488" t="str">
        <f t="shared" si="114"/>
        <v>COUT-PIECES INTERNE</v>
      </c>
      <c r="AV1032" s="899">
        <f>IFERROR(INDEX(V1032:AG1032,1,MATCH(Parametres!$B$3,V$1:AG$1,0)-1)*IF(OR(C1032="L",C1032="S",C1032="I"),-1,1),"")</f>
        <v>0</v>
      </c>
      <c r="AW1032" s="899">
        <f t="shared" si="115"/>
        <v>0</v>
      </c>
      <c r="AX1032" s="899">
        <f>INDEX(V1032:AG1032,1,MATCH(Parametres!$B$3,V$1:AG$1,0))*IF(OR(C1032="L",C1032="S",C1032="I"),-1,1)</f>
        <v>0</v>
      </c>
      <c r="AY1032" s="487" t="s">
        <v>337</v>
      </c>
      <c r="AZ1032" s="487">
        <f>+VLOOKUP($AJ1032,Data_Validation!$A:$E,5,0)</f>
        <v>0</v>
      </c>
    </row>
    <row r="1033" spans="1:52" ht="15" hidden="1" customHeight="1">
      <c r="A1033" s="706" t="s">
        <v>1148</v>
      </c>
      <c r="B1033" s="706">
        <v>2026</v>
      </c>
      <c r="C1033" s="706" t="s">
        <v>2946</v>
      </c>
      <c r="D1033" s="706" t="s">
        <v>2947</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G68120</v>
      </c>
      <c r="AK1033" s="905" t="str">
        <f t="shared" si="111"/>
        <v>COUT-P&amp;A INTERN CAM MOYEN</v>
      </c>
      <c r="AL1033" s="905">
        <f>IFERROR(INDEX(G1033:R1033,1,MATCH(Parametres!$B$3,G$1:R$1,0)-1)*IF(OR(F1033="L",F1033="S",F1033="I"),-1,1),"")</f>
        <v>0</v>
      </c>
      <c r="AM1033" s="905">
        <f t="shared" si="112"/>
        <v>0</v>
      </c>
      <c r="AN1033" s="905">
        <f>INDEX(G1033:R1033,1,MATCH(Parametres!$B$3,G$1:R$1,0))*IF(OR(F1033="L",F1033="S",F1033="I"),-1,1)</f>
        <v>0</v>
      </c>
      <c r="AO1033" s="487" t="str">
        <f>+VLOOKUP($AJ1033,Data_Validation!$A:$D,1,0)</f>
        <v>G68120</v>
      </c>
      <c r="AP1033" s="487" t="str">
        <f>+VLOOKUP($AJ1033,Data_Validation!$A:$D,3,0)</f>
        <v>Pièces</v>
      </c>
      <c r="AQ1033" s="487" t="str">
        <f>+VLOOKUP($AJ1033,Data_Validation!$A:$D,4,0)</f>
        <v>Ventes Internes</v>
      </c>
      <c r="AR1033" s="487" t="s">
        <v>299</v>
      </c>
      <c r="AS1033" s="487">
        <f>+VLOOKUP($AJ1033,Data_Validation!$A:$E,5,0)</f>
        <v>0</v>
      </c>
      <c r="AT1033" s="904" t="str">
        <f t="shared" si="113"/>
        <v>G68120</v>
      </c>
      <c r="AU1033" s="488" t="str">
        <f t="shared" si="114"/>
        <v>COUT-P&amp;A INTERN CAM MOYEN</v>
      </c>
      <c r="AV1033" s="899">
        <f>IFERROR(INDEX(V1033:AG1033,1,MATCH(Parametres!$B$3,V$1:AG$1,0)-1)*IF(OR(C1033="L",C1033="S",C1033="I"),-1,1),"")</f>
        <v>0</v>
      </c>
      <c r="AW1033" s="899">
        <f t="shared" si="115"/>
        <v>0</v>
      </c>
      <c r="AX1033" s="899">
        <f>INDEX(V1033:AG1033,1,MATCH(Parametres!$B$3,V$1:AG$1,0))*IF(OR(C1033="L",C1033="S",C1033="I"),-1,1)</f>
        <v>0</v>
      </c>
      <c r="AY1033" s="487" t="s">
        <v>337</v>
      </c>
      <c r="AZ1033" s="487">
        <f>+VLOOKUP($AJ1033,Data_Validation!$A:$E,5,0)</f>
        <v>0</v>
      </c>
    </row>
    <row r="1034" spans="1:52" ht="15" hidden="1" customHeight="1">
      <c r="A1034" s="706" t="s">
        <v>1148</v>
      </c>
      <c r="B1034" s="706">
        <v>2026</v>
      </c>
      <c r="C1034" s="706" t="s">
        <v>2948</v>
      </c>
      <c r="D1034" s="706" t="s">
        <v>2949</v>
      </c>
      <c r="E1034" s="706" t="s">
        <v>333</v>
      </c>
      <c r="F1034" s="706" t="s">
        <v>1152</v>
      </c>
      <c r="G1034" s="706">
        <v>21304.98</v>
      </c>
      <c r="H1034" s="706">
        <v>37077.14</v>
      </c>
      <c r="I1034" s="706">
        <v>69456.759999999995</v>
      </c>
      <c r="J1034" s="706">
        <v>99247.83</v>
      </c>
      <c r="K1034" s="706">
        <v>128788.14</v>
      </c>
      <c r="L1034" s="706">
        <v>167695.60999999999</v>
      </c>
      <c r="M1034" s="706">
        <v>212830.63</v>
      </c>
      <c r="N1034" s="706">
        <v>238127.33</v>
      </c>
      <c r="O1034" s="706">
        <v>262480.88</v>
      </c>
      <c r="P1034" s="706">
        <v>266731.25</v>
      </c>
      <c r="Q1034" s="706">
        <v>0</v>
      </c>
      <c r="R1034" s="706">
        <v>0</v>
      </c>
      <c r="S1034" s="706">
        <v>29164.54</v>
      </c>
      <c r="T1034" s="706">
        <v>29164.54</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G68200</v>
      </c>
      <c r="AK1034" s="905" t="str">
        <f t="shared" si="111"/>
        <v>COUT-PIECES AU DETAIL</v>
      </c>
      <c r="AL1034" s="905">
        <f>IFERROR(INDEX(G1034:R1034,1,MATCH(Parametres!$B$3,G$1:R$1,0)-1)*IF(OR(F1034="L",F1034="S",F1034="I"),-1,1),"")</f>
        <v>238127.33</v>
      </c>
      <c r="AM1034" s="905">
        <f t="shared" si="112"/>
        <v>24353.550000000017</v>
      </c>
      <c r="AN1034" s="905">
        <f>INDEX(G1034:R1034,1,MATCH(Parametres!$B$3,G$1:R$1,0))*IF(OR(F1034="L",F1034="S",F1034="I"),-1,1)</f>
        <v>262480.88</v>
      </c>
      <c r="AO1034" s="487" t="str">
        <f>+VLOOKUP($AJ1034,Data_Validation!$A:$D,1,0)</f>
        <v>G68200</v>
      </c>
      <c r="AP1034" s="487" t="str">
        <f>+VLOOKUP($AJ1034,Data_Validation!$A:$D,3,0)</f>
        <v>Pièces</v>
      </c>
      <c r="AQ1034" s="487" t="str">
        <f>+VLOOKUP($AJ1034,Data_Validation!$A:$D,4,0)</f>
        <v>Ventes Détails</v>
      </c>
      <c r="AR1034" s="487" t="s">
        <v>299</v>
      </c>
      <c r="AS1034" s="487">
        <f>+VLOOKUP($AJ1034,Data_Validation!$A:$E,5,0)</f>
        <v>0</v>
      </c>
      <c r="AT1034" s="904" t="str">
        <f t="shared" si="113"/>
        <v>G68200</v>
      </c>
      <c r="AU1034" s="488" t="str">
        <f t="shared" si="114"/>
        <v>COUT-PIECES AU DETAIL</v>
      </c>
      <c r="AV1034" s="899">
        <f>IFERROR(INDEX(V1034:AG1034,1,MATCH(Parametres!$B$3,V$1:AG$1,0)-1)*IF(OR(C1034="L",C1034="S",C1034="I"),-1,1),"")</f>
        <v>0</v>
      </c>
      <c r="AW1034" s="899">
        <f t="shared" si="115"/>
        <v>0</v>
      </c>
      <c r="AX1034" s="899">
        <f>INDEX(V1034:AG1034,1,MATCH(Parametres!$B$3,V$1:AG$1,0))*IF(OR(C1034="L",C1034="S",C1034="I"),-1,1)</f>
        <v>0</v>
      </c>
      <c r="AY1034" s="487" t="s">
        <v>337</v>
      </c>
      <c r="AZ1034" s="487">
        <f>+VLOOKUP($AJ1034,Data_Validation!$A:$E,5,0)</f>
        <v>0</v>
      </c>
    </row>
    <row r="1035" spans="1:52" ht="15" hidden="1" customHeight="1">
      <c r="A1035" s="706" t="s">
        <v>1148</v>
      </c>
      <c r="B1035" s="706">
        <v>2026</v>
      </c>
      <c r="C1035" s="706" t="s">
        <v>2950</v>
      </c>
      <c r="D1035" s="706" t="s">
        <v>2951</v>
      </c>
      <c r="E1035" s="706" t="s">
        <v>333</v>
      </c>
      <c r="F1035" s="706" t="s">
        <v>1152</v>
      </c>
      <c r="G1035" s="706">
        <v>147820.20000000001</v>
      </c>
      <c r="H1035" s="706">
        <v>262818.71000000002</v>
      </c>
      <c r="I1035" s="706">
        <v>371846.67</v>
      </c>
      <c r="J1035" s="706">
        <v>447721.11</v>
      </c>
      <c r="K1035" s="706">
        <v>553773.17000000004</v>
      </c>
      <c r="L1035" s="706">
        <v>658467.67000000004</v>
      </c>
      <c r="M1035" s="706">
        <v>772589.17</v>
      </c>
      <c r="N1035" s="706">
        <v>865849.91</v>
      </c>
      <c r="O1035" s="706">
        <v>984081.13</v>
      </c>
      <c r="P1035" s="706">
        <v>1104858.67</v>
      </c>
      <c r="Q1035" s="706">
        <v>0</v>
      </c>
      <c r="R1035" s="706">
        <v>0</v>
      </c>
      <c r="S1035" s="706">
        <v>109342.35</v>
      </c>
      <c r="T1035" s="706">
        <v>109342.35</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G68300</v>
      </c>
      <c r="AK1035" s="905" t="str">
        <f t="shared" si="111"/>
        <v>COUT-PIECES EN GROS</v>
      </c>
      <c r="AL1035" s="905">
        <f>IFERROR(INDEX(G1035:R1035,1,MATCH(Parametres!$B$3,G$1:R$1,0)-1)*IF(OR(F1035="L",F1035="S",F1035="I"),-1,1),"")</f>
        <v>865849.91</v>
      </c>
      <c r="AM1035" s="905">
        <f t="shared" si="112"/>
        <v>118231.21999999997</v>
      </c>
      <c r="AN1035" s="905">
        <f>INDEX(G1035:R1035,1,MATCH(Parametres!$B$3,G$1:R$1,0))*IF(OR(F1035="L",F1035="S",F1035="I"),-1,1)</f>
        <v>984081.13</v>
      </c>
      <c r="AO1035" s="487" t="str">
        <f>+VLOOKUP($AJ1035,Data_Validation!$A:$D,1,0)</f>
        <v>G68300</v>
      </c>
      <c r="AP1035" s="487" t="str">
        <f>+VLOOKUP($AJ1035,Data_Validation!$A:$D,3,0)</f>
        <v>Pièces</v>
      </c>
      <c r="AQ1035" s="487" t="str">
        <f>+VLOOKUP($AJ1035,Data_Validation!$A:$D,4,0)</f>
        <v>Ventes de Gros</v>
      </c>
      <c r="AR1035" s="487" t="s">
        <v>299</v>
      </c>
      <c r="AS1035" s="487">
        <f>+VLOOKUP($AJ1035,Data_Validation!$A:$E,5,0)</f>
        <v>0</v>
      </c>
      <c r="AT1035" s="904" t="str">
        <f t="shared" si="113"/>
        <v>G68300</v>
      </c>
      <c r="AU1035" s="488" t="str">
        <f t="shared" si="114"/>
        <v>COUT-PIECES EN GROS</v>
      </c>
      <c r="AV1035" s="899">
        <f>IFERROR(INDEX(V1035:AG1035,1,MATCH(Parametres!$B$3,V$1:AG$1,0)-1)*IF(OR(C1035="L",C1035="S",C1035="I"),-1,1),"")</f>
        <v>0</v>
      </c>
      <c r="AW1035" s="899">
        <f t="shared" si="115"/>
        <v>0</v>
      </c>
      <c r="AX1035" s="899">
        <f>INDEX(V1035:AG1035,1,MATCH(Parametres!$B$3,V$1:AG$1,0))*IF(OR(C1035="L",C1035="S",C1035="I"),-1,1)</f>
        <v>0</v>
      </c>
      <c r="AY1035" s="487" t="s">
        <v>337</v>
      </c>
      <c r="AZ1035" s="487">
        <f>+VLOOKUP($AJ1035,Data_Validation!$A:$E,5,0)</f>
        <v>0</v>
      </c>
    </row>
    <row r="1036" spans="1:52" ht="15" hidden="1" customHeight="1">
      <c r="A1036" s="706" t="s">
        <v>1148</v>
      </c>
      <c r="B1036" s="706">
        <v>2026</v>
      </c>
      <c r="C1036" s="706" t="s">
        <v>2952</v>
      </c>
      <c r="D1036" s="706" t="s">
        <v>2953</v>
      </c>
      <c r="E1036" s="706" t="s">
        <v>333</v>
      </c>
      <c r="F1036" s="706" t="s">
        <v>1152</v>
      </c>
      <c r="G1036" s="706">
        <v>-20065.36</v>
      </c>
      <c r="H1036" s="706">
        <v>-23303.48</v>
      </c>
      <c r="I1036" s="706">
        <v>-26562.22</v>
      </c>
      <c r="J1036" s="706">
        <v>-48976.1</v>
      </c>
      <c r="K1036" s="706">
        <v>-59789.15</v>
      </c>
      <c r="L1036" s="706">
        <v>-62199.199999999997</v>
      </c>
      <c r="M1036" s="706">
        <v>-78658.5</v>
      </c>
      <c r="N1036" s="706">
        <v>-84034.19</v>
      </c>
      <c r="O1036" s="706">
        <v>-88557.63</v>
      </c>
      <c r="P1036" s="706">
        <v>-89048.12</v>
      </c>
      <c r="Q1036" s="706">
        <v>0</v>
      </c>
      <c r="R1036" s="706">
        <v>0</v>
      </c>
      <c r="S1036" s="706">
        <v>-9839.74</v>
      </c>
      <c r="T1036" s="706">
        <v>-9839.74</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G68700</v>
      </c>
      <c r="AK1036" s="905" t="str">
        <f t="shared" si="111"/>
        <v>ESCOMPTES DE VOLUME</v>
      </c>
      <c r="AL1036" s="905">
        <f>IFERROR(INDEX(G1036:R1036,1,MATCH(Parametres!$B$3,G$1:R$1,0)-1)*IF(OR(F1036="L",F1036="S",F1036="I"),-1,1),"")</f>
        <v>-84034.19</v>
      </c>
      <c r="AM1036" s="905">
        <f t="shared" si="112"/>
        <v>-4523.4400000000023</v>
      </c>
      <c r="AN1036" s="905">
        <f>INDEX(G1036:R1036,1,MATCH(Parametres!$B$3,G$1:R$1,0))*IF(OR(F1036="L",F1036="S",F1036="I"),-1,1)</f>
        <v>-88557.63</v>
      </c>
      <c r="AO1036" s="487" t="str">
        <f>+VLOOKUP($AJ1036,Data_Validation!$A:$D,1,0)</f>
        <v>G68700</v>
      </c>
      <c r="AP1036" s="487" t="str">
        <f>+VLOOKUP($AJ1036,Data_Validation!$A:$D,3,0)</f>
        <v>Pièces</v>
      </c>
      <c r="AQ1036" s="487" t="str">
        <f>+VLOOKUP($AJ1036,Data_Validation!$A:$D,4,0)</f>
        <v>Escomptes</v>
      </c>
      <c r="AR1036" s="487" t="s">
        <v>299</v>
      </c>
      <c r="AS1036" s="487">
        <f>+VLOOKUP($AJ1036,Data_Validation!$A:$E,5,0)</f>
        <v>0</v>
      </c>
      <c r="AT1036" s="904" t="str">
        <f t="shared" si="113"/>
        <v>G68700</v>
      </c>
      <c r="AU1036" s="488" t="str">
        <f t="shared" si="114"/>
        <v>ESCOMPTES DE VOLUME</v>
      </c>
      <c r="AV1036" s="899">
        <f>IFERROR(INDEX(V1036:AG1036,1,MATCH(Parametres!$B$3,V$1:AG$1,0)-1)*IF(OR(C1036="L",C1036="S",C1036="I"),-1,1),"")</f>
        <v>0</v>
      </c>
      <c r="AW1036" s="899">
        <f t="shared" si="115"/>
        <v>0</v>
      </c>
      <c r="AX1036" s="899">
        <f>INDEX(V1036:AG1036,1,MATCH(Parametres!$B$3,V$1:AG$1,0))*IF(OR(C1036="L",C1036="S",C1036="I"),-1,1)</f>
        <v>0</v>
      </c>
      <c r="AY1036" s="487" t="s">
        <v>337</v>
      </c>
      <c r="AZ1036" s="487">
        <f>+VLOOKUP($AJ1036,Data_Validation!$A:$E,5,0)</f>
        <v>0</v>
      </c>
    </row>
    <row r="1037" spans="1:52" ht="15" hidden="1" customHeight="1">
      <c r="A1037" s="706" t="s">
        <v>1148</v>
      </c>
      <c r="B1037" s="706">
        <v>2026</v>
      </c>
      <c r="C1037" s="706" t="s">
        <v>2954</v>
      </c>
      <c r="D1037" s="706" t="s">
        <v>2955</v>
      </c>
      <c r="E1037" s="706" t="s">
        <v>333</v>
      </c>
      <c r="F1037" s="706" t="s">
        <v>1152</v>
      </c>
      <c r="G1037" s="706">
        <v>-3656.81</v>
      </c>
      <c r="H1037" s="706">
        <v>-3884.38</v>
      </c>
      <c r="I1037" s="706">
        <v>-5049.5</v>
      </c>
      <c r="J1037" s="706">
        <v>-4993.82</v>
      </c>
      <c r="K1037" s="706">
        <v>-6642.71</v>
      </c>
      <c r="L1037" s="706">
        <v>-7079.42</v>
      </c>
      <c r="M1037" s="706">
        <v>-8200.67</v>
      </c>
      <c r="N1037" s="706">
        <v>-9681.15</v>
      </c>
      <c r="O1037" s="706">
        <v>-12957.8</v>
      </c>
      <c r="P1037" s="706">
        <v>-12957.8</v>
      </c>
      <c r="Q1037" s="706">
        <v>0</v>
      </c>
      <c r="R1037" s="706">
        <v>0</v>
      </c>
      <c r="S1037" s="706">
        <v>-1439.76</v>
      </c>
      <c r="T1037" s="706">
        <v>-1439.76</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G68800</v>
      </c>
      <c r="AK1037" s="905" t="str">
        <f t="shared" si="111"/>
        <v>RECTIFIC.STOCK PIECES</v>
      </c>
      <c r="AL1037" s="905">
        <f>IFERROR(INDEX(G1037:R1037,1,MATCH(Parametres!$B$3,G$1:R$1,0)-1)*IF(OR(F1037="L",F1037="S",F1037="I"),-1,1),"")</f>
        <v>-9681.15</v>
      </c>
      <c r="AM1037" s="905">
        <f t="shared" si="112"/>
        <v>-3276.6499999999996</v>
      </c>
      <c r="AN1037" s="905">
        <f>INDEX(G1037:R1037,1,MATCH(Parametres!$B$3,G$1:R$1,0))*IF(OR(F1037="L",F1037="S",F1037="I"),-1,1)</f>
        <v>-12957.8</v>
      </c>
      <c r="AO1037" s="487" t="str">
        <f>+VLOOKUP($AJ1037,Data_Validation!$A:$D,1,0)</f>
        <v>G68800</v>
      </c>
      <c r="AP1037" s="487" t="str">
        <f>+VLOOKUP($AJ1037,Data_Validation!$A:$D,3,0)</f>
        <v>Pièces</v>
      </c>
      <c r="AQ1037" s="487" t="str">
        <f>+VLOOKUP($AJ1037,Data_Validation!$A:$D,4,0)</f>
        <v>Rectif. Inventaire</v>
      </c>
      <c r="AR1037" s="487" t="s">
        <v>299</v>
      </c>
      <c r="AS1037" s="487">
        <f>+VLOOKUP($AJ1037,Data_Validation!$A:$E,5,0)</f>
        <v>0</v>
      </c>
      <c r="AT1037" s="904" t="str">
        <f t="shared" si="113"/>
        <v>G68800</v>
      </c>
      <c r="AU1037" s="488" t="str">
        <f t="shared" si="114"/>
        <v>RECTIFIC.STOCK PIECES</v>
      </c>
      <c r="AV1037" s="899">
        <f>IFERROR(INDEX(V1037:AG1037,1,MATCH(Parametres!$B$3,V$1:AG$1,0)-1)*IF(OR(C1037="L",C1037="S",C1037="I"),-1,1),"")</f>
        <v>0</v>
      </c>
      <c r="AW1037" s="899">
        <f t="shared" si="115"/>
        <v>0</v>
      </c>
      <c r="AX1037" s="899">
        <f>INDEX(V1037:AG1037,1,MATCH(Parametres!$B$3,V$1:AG$1,0))*IF(OR(C1037="L",C1037="S",C1037="I"),-1,1)</f>
        <v>0</v>
      </c>
      <c r="AY1037" s="487" t="s">
        <v>337</v>
      </c>
      <c r="AZ1037" s="487">
        <f>+VLOOKUP($AJ1037,Data_Validation!$A:$E,5,0)</f>
        <v>0</v>
      </c>
    </row>
    <row r="1038" spans="1:52" ht="15" hidden="1" customHeight="1">
      <c r="A1038" s="706" t="s">
        <v>1148</v>
      </c>
      <c r="B1038" s="706">
        <v>2026</v>
      </c>
      <c r="C1038" s="706" t="s">
        <v>2956</v>
      </c>
      <c r="D1038" s="706" t="s">
        <v>2957</v>
      </c>
      <c r="E1038" s="706" t="s">
        <v>333</v>
      </c>
      <c r="F1038" s="706" t="s">
        <v>1152</v>
      </c>
      <c r="G1038" s="706">
        <v>34926.080000000002</v>
      </c>
      <c r="H1038" s="706">
        <v>62121.599999999999</v>
      </c>
      <c r="I1038" s="706">
        <v>76201.22</v>
      </c>
      <c r="J1038" s="706">
        <v>97234.06</v>
      </c>
      <c r="K1038" s="706">
        <v>110391.72</v>
      </c>
      <c r="L1038" s="706">
        <v>124951.91</v>
      </c>
      <c r="M1038" s="706">
        <v>135615.26</v>
      </c>
      <c r="N1038" s="706">
        <v>151991.71</v>
      </c>
      <c r="O1038" s="706">
        <v>188232.03</v>
      </c>
      <c r="P1038" s="706">
        <v>194784.59</v>
      </c>
      <c r="Q1038" s="706">
        <v>0</v>
      </c>
      <c r="R1038" s="706">
        <v>0</v>
      </c>
      <c r="S1038" s="706">
        <v>20914.669999999998</v>
      </c>
      <c r="T1038" s="706">
        <v>20914.669999999998</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G69000</v>
      </c>
      <c r="AK1038" s="905" t="str">
        <f t="shared" si="111"/>
        <v>COUT-PNEUS VENDUS</v>
      </c>
      <c r="AL1038" s="905">
        <f>IFERROR(INDEX(G1038:R1038,1,MATCH(Parametres!$B$3,G$1:R$1,0)-1)*IF(OR(F1038="L",F1038="S",F1038="I"),-1,1),"")</f>
        <v>151991.71</v>
      </c>
      <c r="AM1038" s="905">
        <f t="shared" si="112"/>
        <v>36240.320000000007</v>
      </c>
      <c r="AN1038" s="905">
        <f>INDEX(G1038:R1038,1,MATCH(Parametres!$B$3,G$1:R$1,0))*IF(OR(F1038="L",F1038="S",F1038="I"),-1,1)</f>
        <v>188232.03</v>
      </c>
      <c r="AO1038" s="487" t="str">
        <f>+VLOOKUP($AJ1038,Data_Validation!$A:$D,1,0)</f>
        <v>G69000</v>
      </c>
      <c r="AP1038" s="487" t="str">
        <f>+VLOOKUP($AJ1038,Data_Validation!$A:$D,3,0)</f>
        <v>Pièces</v>
      </c>
      <c r="AQ1038" s="487" t="str">
        <f>+VLOOKUP($AJ1038,Data_Validation!$A:$D,4,0)</f>
        <v>Ventes Pneus</v>
      </c>
      <c r="AR1038" s="487" t="s">
        <v>299</v>
      </c>
      <c r="AS1038" s="487">
        <f>+VLOOKUP($AJ1038,Data_Validation!$A:$E,5,0)</f>
        <v>0</v>
      </c>
      <c r="AT1038" s="904" t="str">
        <f t="shared" si="113"/>
        <v>G69000</v>
      </c>
      <c r="AU1038" s="488" t="str">
        <f t="shared" si="114"/>
        <v>COUT-PNEUS VENDUS</v>
      </c>
      <c r="AV1038" s="899">
        <f>IFERROR(INDEX(V1038:AG1038,1,MATCH(Parametres!$B$3,V$1:AG$1,0)-1)*IF(OR(C1038="L",C1038="S",C1038="I"),-1,1),"")</f>
        <v>0</v>
      </c>
      <c r="AW1038" s="899">
        <f t="shared" si="115"/>
        <v>0</v>
      </c>
      <c r="AX1038" s="899">
        <f>INDEX(V1038:AG1038,1,MATCH(Parametres!$B$3,V$1:AG$1,0))*IF(OR(C1038="L",C1038="S",C1038="I"),-1,1)</f>
        <v>0</v>
      </c>
      <c r="AY1038" s="487" t="s">
        <v>337</v>
      </c>
      <c r="AZ1038" s="487">
        <f>+VLOOKUP($AJ1038,Data_Validation!$A:$E,5,0)</f>
        <v>0</v>
      </c>
    </row>
    <row r="1039" spans="1:52" ht="15" hidden="1" customHeight="1">
      <c r="A1039" s="706" t="s">
        <v>1148</v>
      </c>
      <c r="B1039" s="706">
        <v>2026</v>
      </c>
      <c r="C1039" s="706" t="s">
        <v>2958</v>
      </c>
      <c r="D1039" s="706" t="s">
        <v>2959</v>
      </c>
      <c r="E1039" s="706" t="s">
        <v>333</v>
      </c>
      <c r="F1039" s="706" t="s">
        <v>1152</v>
      </c>
      <c r="G1039" s="706">
        <v>6801.33</v>
      </c>
      <c r="H1039" s="706">
        <v>13763.25</v>
      </c>
      <c r="I1039" s="706">
        <v>23246.21</v>
      </c>
      <c r="J1039" s="706">
        <v>31500.2</v>
      </c>
      <c r="K1039" s="706">
        <v>39878.769999999997</v>
      </c>
      <c r="L1039" s="706">
        <v>50694.1</v>
      </c>
      <c r="M1039" s="706">
        <v>59900.86</v>
      </c>
      <c r="N1039" s="706">
        <v>69965.3</v>
      </c>
      <c r="O1039" s="706">
        <v>80388.850000000006</v>
      </c>
      <c r="P1039" s="706">
        <v>81960.460000000006</v>
      </c>
      <c r="Q1039" s="706">
        <v>0</v>
      </c>
      <c r="R1039" s="706">
        <v>0</v>
      </c>
      <c r="S1039" s="706">
        <v>8932.09</v>
      </c>
      <c r="T1039" s="706">
        <v>8932.09</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G69100</v>
      </c>
      <c r="AK1039" s="905" t="str">
        <f t="shared" si="111"/>
        <v>COUT-HUILES &amp; GRAISSE</v>
      </c>
      <c r="AL1039" s="905">
        <f>IFERROR(INDEX(G1039:R1039,1,MATCH(Parametres!$B$3,G$1:R$1,0)-1)*IF(OR(F1039="L",F1039="S",F1039="I"),-1,1),"")</f>
        <v>69965.3</v>
      </c>
      <c r="AM1039" s="905">
        <f t="shared" si="112"/>
        <v>10423.550000000003</v>
      </c>
      <c r="AN1039" s="905">
        <f>INDEX(G1039:R1039,1,MATCH(Parametres!$B$3,G$1:R$1,0))*IF(OR(F1039="L",F1039="S",F1039="I"),-1,1)</f>
        <v>80388.850000000006</v>
      </c>
      <c r="AO1039" s="487" t="str">
        <f>+VLOOKUP($AJ1039,Data_Validation!$A:$D,1,0)</f>
        <v>G69100</v>
      </c>
      <c r="AP1039" s="487" t="str">
        <f>+VLOOKUP($AJ1039,Data_Validation!$A:$D,3,0)</f>
        <v>Pièces</v>
      </c>
      <c r="AQ1039" s="487" t="str">
        <f>+VLOOKUP($AJ1039,Data_Validation!$A:$D,4,0)</f>
        <v>Huiles et Graisse</v>
      </c>
      <c r="AR1039" s="487" t="s">
        <v>299</v>
      </c>
      <c r="AS1039" s="487">
        <f>+VLOOKUP($AJ1039,Data_Validation!$A:$E,5,0)</f>
        <v>0</v>
      </c>
      <c r="AT1039" s="904" t="str">
        <f t="shared" si="113"/>
        <v>G69100</v>
      </c>
      <c r="AU1039" s="488" t="str">
        <f t="shared" si="114"/>
        <v>COUT-HUILES &amp; GRAISSE</v>
      </c>
      <c r="AV1039" s="899">
        <f>IFERROR(INDEX(V1039:AG1039,1,MATCH(Parametres!$B$3,V$1:AG$1,0)-1)*IF(OR(C1039="L",C1039="S",C1039="I"),-1,1),"")</f>
        <v>0</v>
      </c>
      <c r="AW1039" s="899">
        <f t="shared" si="115"/>
        <v>0</v>
      </c>
      <c r="AX1039" s="899">
        <f>INDEX(V1039:AG1039,1,MATCH(Parametres!$B$3,V$1:AG$1,0))*IF(OR(C1039="L",C1039="S",C1039="I"),-1,1)</f>
        <v>0</v>
      </c>
      <c r="AY1039" s="487" t="s">
        <v>337</v>
      </c>
      <c r="AZ1039" s="487">
        <f>+VLOOKUP($AJ1039,Data_Validation!$A:$E,5,0)</f>
        <v>0</v>
      </c>
    </row>
    <row r="1040" spans="1:52" ht="15" hidden="1" customHeight="1">
      <c r="A1040" s="706" t="s">
        <v>1148</v>
      </c>
      <c r="B1040" s="706">
        <v>2026</v>
      </c>
      <c r="C1040" s="706" t="s">
        <v>2960</v>
      </c>
      <c r="D1040" s="706" t="s">
        <v>2961</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G711</v>
      </c>
      <c r="AK1040" s="905" t="str">
        <f t="shared" si="111"/>
        <v>INTERETS          -SIMPLE</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G711</v>
      </c>
      <c r="AU1040" s="488" t="str">
        <f t="shared" si="114"/>
        <v>INTERETS          -SIMPLE</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2962</v>
      </c>
      <c r="D1041" s="706" t="s">
        <v>2963</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G712</v>
      </c>
      <c r="AK1041" s="905" t="str">
        <f t="shared" si="111"/>
        <v>AMORTISSEMENT     -SIMPLE</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G712</v>
      </c>
      <c r="AU1041" s="488" t="str">
        <f t="shared" si="114"/>
        <v>AMORTISSEMENT     -SIMPLE</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hidden="1" customHeight="1">
      <c r="A1042" s="706" t="s">
        <v>1148</v>
      </c>
      <c r="B1042" s="706">
        <v>2026</v>
      </c>
      <c r="C1042" s="706" t="s">
        <v>2964</v>
      </c>
      <c r="D1042" s="706" t="s">
        <v>2965</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G713</v>
      </c>
      <c r="AK1042" s="905" t="str">
        <f t="shared" si="111"/>
        <v>ASSUR.VEH EN SERV.-SIMPLE</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G713</v>
      </c>
      <c r="AU1042" s="488" t="str">
        <f t="shared" si="114"/>
        <v>ASSUR.VEH EN SERV.-SIMPLE</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2966</v>
      </c>
      <c r="D1043" s="706" t="s">
        <v>2967</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G714</v>
      </c>
      <c r="AK1043" s="905" t="str">
        <f t="shared" si="111"/>
        <v>PLAQUE,TITRE,TAXES-SIMPLE</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G714</v>
      </c>
      <c r="AU1043" s="488" t="str">
        <f t="shared" si="114"/>
        <v>PLAQUE,TITRE,TAXES-SIMPLE</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hidden="1" customHeight="1">
      <c r="A1044" s="706" t="s">
        <v>1148</v>
      </c>
      <c r="B1044" s="706">
        <v>2026</v>
      </c>
      <c r="C1044" s="706" t="s">
        <v>2968</v>
      </c>
      <c r="D1044" s="706" t="s">
        <v>2969</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G715</v>
      </c>
      <c r="AK1044" s="905" t="str">
        <f t="shared" si="111"/>
        <v>TRAVAUX GRACIEUX  -SIMPLE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G715</v>
      </c>
      <c r="AU1044" s="488" t="str">
        <f t="shared" si="114"/>
        <v>TRAVAUX GRACIEUX  -SIMPLE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2970</v>
      </c>
      <c r="D1045" s="706" t="s">
        <v>2971</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G716</v>
      </c>
      <c r="AK1045" s="905" t="str">
        <f t="shared" si="111"/>
        <v>REPAR.&amp; ENTRETIEN -SIMPLE</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G716</v>
      </c>
      <c r="AU1045" s="488" t="str">
        <f t="shared" si="114"/>
        <v>REPAR.&amp; ENTRETIEN -SIMPLE</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hidden="1" customHeight="1">
      <c r="A1046" s="706" t="s">
        <v>1148</v>
      </c>
      <c r="B1046" s="706">
        <v>2026</v>
      </c>
      <c r="C1046" s="706" t="s">
        <v>2972</v>
      </c>
      <c r="D1046" s="706" t="s">
        <v>2973</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G717</v>
      </c>
      <c r="AK1046" s="905" t="str">
        <f t="shared" si="111"/>
        <v>PRIX LOC.UNIT.S-LOUE-SIMP</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G717</v>
      </c>
      <c r="AU1046" s="488" t="str">
        <f t="shared" si="114"/>
        <v>PRIX LOC.UNIT.S-LOUE-SIMP</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2974</v>
      </c>
      <c r="D1047" s="706" t="s">
        <v>2975</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G718</v>
      </c>
      <c r="AK1047" s="905" t="str">
        <f t="shared" si="111"/>
        <v>AUTRES            -SIMPLE</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G718</v>
      </c>
      <c r="AU1047" s="488" t="str">
        <f t="shared" si="114"/>
        <v>AUTRES            -SIMPLE</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hidden="1" customHeight="1">
      <c r="A1048" s="706" t="s">
        <v>1148</v>
      </c>
      <c r="B1048" s="706">
        <v>2026</v>
      </c>
      <c r="C1048" s="706" t="s">
        <v>2976</v>
      </c>
      <c r="D1048" s="706" t="s">
        <v>2977</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G721</v>
      </c>
      <c r="AK1048" s="905" t="str">
        <f t="shared" si="111"/>
        <v>INTERETS          -ALEATO</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G721</v>
      </c>
      <c r="AU1048" s="488" t="str">
        <f t="shared" si="114"/>
        <v>INTERETS          -ALEATO</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2978</v>
      </c>
      <c r="D1049" s="706" t="s">
        <v>2979</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G722</v>
      </c>
      <c r="AK1049" s="905" t="str">
        <f t="shared" si="111"/>
        <v>AMORTISSEMENT     -ALEATO</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G722</v>
      </c>
      <c r="AU1049" s="488" t="str">
        <f t="shared" si="114"/>
        <v>AMORTISSEMENT     -ALEATO</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hidden="1" customHeight="1">
      <c r="A1050" s="706" t="s">
        <v>1148</v>
      </c>
      <c r="B1050" s="706">
        <v>2026</v>
      </c>
      <c r="C1050" s="706" t="s">
        <v>2980</v>
      </c>
      <c r="D1050" s="706" t="s">
        <v>2981</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G723</v>
      </c>
      <c r="AK1050" s="905" t="str">
        <f t="shared" si="111"/>
        <v>ASSUR.VEH EN SERV.-ALEATO</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G723</v>
      </c>
      <c r="AU1050" s="488" t="str">
        <f t="shared" si="114"/>
        <v>ASSUR.VEH EN SERV.-ALEATO</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2982</v>
      </c>
      <c r="D1051" s="706" t="s">
        <v>2983</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G724</v>
      </c>
      <c r="AK1051" s="905" t="str">
        <f t="shared" si="111"/>
        <v>PLAQUE,TITRE,TAXES-ALEATO</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G724</v>
      </c>
      <c r="AU1051" s="488" t="str">
        <f t="shared" si="114"/>
        <v>PLAQUE,TITRE,TAXES-ALEATO</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hidden="1" customHeight="1">
      <c r="A1052" s="706" t="s">
        <v>1148</v>
      </c>
      <c r="B1052" s="706">
        <v>2026</v>
      </c>
      <c r="C1052" s="706" t="s">
        <v>2984</v>
      </c>
      <c r="D1052" s="706" t="s">
        <v>2985</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G72402</v>
      </c>
      <c r="AK1052" s="905" t="str">
        <f t="shared" si="111"/>
        <v>ENTRETIEN COURT TERME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G72402</v>
      </c>
      <c r="AU1052" s="488" t="str">
        <f t="shared" si="114"/>
        <v>ENTRETIEN COURT TERME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hidden="1" customHeight="1">
      <c r="A1053" s="706" t="s">
        <v>1148</v>
      </c>
      <c r="B1053" s="706">
        <v>2026</v>
      </c>
      <c r="C1053" s="706" t="s">
        <v>2986</v>
      </c>
      <c r="D1053" s="706" t="s">
        <v>2987</v>
      </c>
      <c r="E1053" s="706" t="s">
        <v>333</v>
      </c>
      <c r="F1053" s="706" t="s">
        <v>1104</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G725</v>
      </c>
      <c r="AK1053" s="905" t="str">
        <f t="shared" si="111"/>
        <v>TRAVAUX GRACIEUX  -ALEATO</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G725</v>
      </c>
      <c r="AU1053" s="488" t="str">
        <f t="shared" si="114"/>
        <v>TRAVAUX GRACIEUX  -ALEATO</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2988</v>
      </c>
      <c r="D1054" s="706" t="s">
        <v>2989</v>
      </c>
      <c r="E1054" s="706" t="s">
        <v>333</v>
      </c>
      <c r="F1054" s="706" t="s">
        <v>1104</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G726</v>
      </c>
      <c r="AK1054" s="905" t="str">
        <f t="shared" si="111"/>
        <v>REPAR.&amp; ENTRETIEN -ALEATO</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G726</v>
      </c>
      <c r="AU1054" s="488" t="str">
        <f t="shared" si="114"/>
        <v>REPAR.&amp; ENTRETIEN -ALEATO</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hidden="1" customHeight="1">
      <c r="A1055" s="706" t="s">
        <v>1148</v>
      </c>
      <c r="B1055" s="706">
        <v>2026</v>
      </c>
      <c r="C1055" s="706" t="s">
        <v>2990</v>
      </c>
      <c r="D1055" s="706" t="s">
        <v>2991</v>
      </c>
      <c r="E1055" s="706" t="s">
        <v>333</v>
      </c>
      <c r="F1055" s="706" t="s">
        <v>1104</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G727</v>
      </c>
      <c r="AK1055" s="905" t="str">
        <f t="shared" si="111"/>
        <v>PRIX LOC.UNIT.S-LOUE-ALEA</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G727</v>
      </c>
      <c r="AU1055" s="488" t="str">
        <f t="shared" si="114"/>
        <v>PRIX LOC.UNIT.S-LOUE-ALEA</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hidden="1" customHeight="1">
      <c r="A1056" s="706" t="s">
        <v>1148</v>
      </c>
      <c r="B1056" s="706">
        <v>2026</v>
      </c>
      <c r="C1056" s="706" t="s">
        <v>2992</v>
      </c>
      <c r="D1056" s="706" t="s">
        <v>2993</v>
      </c>
      <c r="E1056" s="706" t="s">
        <v>333</v>
      </c>
      <c r="F1056" s="706" t="s">
        <v>1104</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G728</v>
      </c>
      <c r="AK1056" s="905" t="str">
        <f t="shared" si="111"/>
        <v>AUTRES            -ALEATO</v>
      </c>
      <c r="AL1056" s="905">
        <f>IFERROR(INDEX(G1056:R1056,1,MATCH(Parametres!$B$3,G$1:R$1,0)-1)*IF(OR(F1056="L",F1056="S",F1056="I"),-1,1),"")</f>
        <v>0</v>
      </c>
      <c r="AM1056" s="905">
        <f t="shared" si="112"/>
        <v>0</v>
      </c>
      <c r="AN1056" s="905">
        <f>INDEX(G1056:R1056,1,MATCH(Parametres!$B$3,G$1:R$1,0))*IF(OR(F1056="L",F1056="S",F1056="I"),-1,1)</f>
        <v>0</v>
      </c>
      <c r="AO1056" s="487" t="e">
        <f>+VLOOKUP($AJ1056,Data_Validation!$A:$D,1,0)</f>
        <v>#N/A</v>
      </c>
      <c r="AP1056" s="487" t="e">
        <f>+VLOOKUP($AJ1056,Data_Validation!$A:$D,3,0)</f>
        <v>#N/A</v>
      </c>
      <c r="AQ1056" s="487" t="e">
        <f>+VLOOKUP($AJ1056,Data_Validation!$A:$D,4,0)</f>
        <v>#N/A</v>
      </c>
      <c r="AR1056" s="487" t="s">
        <v>299</v>
      </c>
      <c r="AS1056" s="487" t="e">
        <f>+VLOOKUP($AJ1056,Data_Validation!$A:$E,5,0)</f>
        <v>#N/A</v>
      </c>
      <c r="AT1056" s="904" t="str">
        <f t="shared" si="113"/>
        <v>G728</v>
      </c>
      <c r="AU1056" s="488" t="str">
        <f t="shared" si="114"/>
        <v>AUTRES            -ALEATO</v>
      </c>
      <c r="AV1056" s="899">
        <f>IFERROR(INDEX(V1056:AG1056,1,MATCH(Parametres!$B$3,V$1:AG$1,0)-1)*IF(OR(C1056="L",C1056="S",C1056="I"),-1,1),"")</f>
        <v>0</v>
      </c>
      <c r="AW1056" s="899">
        <f t="shared" si="115"/>
        <v>0</v>
      </c>
      <c r="AX1056" s="899">
        <f>INDEX(V1056:AG1056,1,MATCH(Parametres!$B$3,V$1:AG$1,0))*IF(OR(C1056="L",C1056="S",C1056="I"),-1,1)</f>
        <v>0</v>
      </c>
      <c r="AY1056" s="487" t="s">
        <v>337</v>
      </c>
      <c r="AZ1056" s="487" t="e">
        <f>+VLOOKUP($AJ1056,Data_Validation!$A:$E,5,0)</f>
        <v>#N/A</v>
      </c>
    </row>
    <row r="1057" spans="1:52" ht="15" hidden="1" customHeight="1">
      <c r="A1057" s="706" t="s">
        <v>1148</v>
      </c>
      <c r="B1057" s="706">
        <v>2026</v>
      </c>
      <c r="C1057" s="706" t="s">
        <v>2994</v>
      </c>
      <c r="D1057" s="706" t="s">
        <v>2995</v>
      </c>
      <c r="E1057" s="706" t="s">
        <v>333</v>
      </c>
      <c r="F1057" s="706" t="s">
        <v>1104</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G73000</v>
      </c>
      <c r="AK1057" s="905" t="str">
        <f t="shared" si="111"/>
        <v>COUT VTES VEHICULES CEDES</v>
      </c>
      <c r="AL1057" s="905">
        <f>IFERROR(INDEX(G1057:R1057,1,MATCH(Parametres!$B$3,G$1:R$1,0)-1)*IF(OR(F1057="L",F1057="S",F1057="I"),-1,1),"")</f>
        <v>0</v>
      </c>
      <c r="AM1057" s="905">
        <f t="shared" si="112"/>
        <v>0</v>
      </c>
      <c r="AN1057" s="905">
        <f>INDEX(G1057:R1057,1,MATCH(Parametres!$B$3,G$1:R$1,0))*IF(OR(F1057="L",F1057="S",F1057="I"),-1,1)</f>
        <v>0</v>
      </c>
      <c r="AO1057" s="487" t="str">
        <f>+VLOOKUP($AJ1057,Data_Validation!$A:$D,1,0)</f>
        <v>G73000</v>
      </c>
      <c r="AP1057" s="487">
        <f>+VLOOKUP($AJ1057,Data_Validation!$A:$D,3,0)</f>
        <v>0</v>
      </c>
      <c r="AQ1057" s="487">
        <f>+VLOOKUP($AJ1057,Data_Validation!$A:$D,4,0)</f>
        <v>0</v>
      </c>
      <c r="AR1057" s="487" t="s">
        <v>299</v>
      </c>
      <c r="AS1057" s="487">
        <f>+VLOOKUP($AJ1057,Data_Validation!$A:$E,5,0)</f>
        <v>0</v>
      </c>
      <c r="AT1057" s="904" t="str">
        <f t="shared" si="113"/>
        <v>G73000</v>
      </c>
      <c r="AU1057" s="488" t="str">
        <f t="shared" si="114"/>
        <v>COUT VTES VEHICULES CEDES</v>
      </c>
      <c r="AV1057" s="899">
        <f>IFERROR(INDEX(V1057:AG1057,1,MATCH(Parametres!$B$3,V$1:AG$1,0)-1)*IF(OR(C1057="L",C1057="S",C1057="I"),-1,1),"")</f>
        <v>0</v>
      </c>
      <c r="AW1057" s="899">
        <f t="shared" si="115"/>
        <v>0</v>
      </c>
      <c r="AX1057" s="899">
        <f>INDEX(V1057:AG1057,1,MATCH(Parametres!$B$3,V$1:AG$1,0))*IF(OR(C1057="L",C1057="S",C1057="I"),-1,1)</f>
        <v>0</v>
      </c>
      <c r="AY1057" s="487" t="s">
        <v>337</v>
      </c>
      <c r="AZ1057" s="487">
        <f>+VLOOKUP($AJ1057,Data_Validation!$A:$E,5,0)</f>
        <v>0</v>
      </c>
    </row>
    <row r="1058" spans="1:52" ht="15" hidden="1" customHeight="1">
      <c r="A1058" s="706" t="s">
        <v>1148</v>
      </c>
      <c r="B1058" s="706">
        <v>2026</v>
      </c>
      <c r="C1058" s="706" t="s">
        <v>2996</v>
      </c>
      <c r="D1058" s="706" t="s">
        <v>2997</v>
      </c>
      <c r="E1058" s="706" t="s">
        <v>333</v>
      </c>
      <c r="F1058" s="706" t="s">
        <v>1104</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G731</v>
      </c>
      <c r="AK1058" s="905" t="str">
        <f t="shared" si="111"/>
        <v>INTERETS             -C/T</v>
      </c>
      <c r="AL1058" s="905">
        <f>IFERROR(INDEX(G1058:R1058,1,MATCH(Parametres!$B$3,G$1:R$1,0)-1)*IF(OR(F1058="L",F1058="S",F1058="I"),-1,1),"")</f>
        <v>0</v>
      </c>
      <c r="AM1058" s="905">
        <f t="shared" si="112"/>
        <v>0</v>
      </c>
      <c r="AN1058" s="905">
        <f>INDEX(G1058:R1058,1,MATCH(Parametres!$B$3,G$1:R$1,0))*IF(OR(F1058="L",F1058="S",F1058="I"),-1,1)</f>
        <v>0</v>
      </c>
      <c r="AO1058" s="487" t="e">
        <f>+VLOOKUP($AJ1058,Data_Validation!$A:$D,1,0)</f>
        <v>#N/A</v>
      </c>
      <c r="AP1058" s="487" t="e">
        <f>+VLOOKUP($AJ1058,Data_Validation!$A:$D,3,0)</f>
        <v>#N/A</v>
      </c>
      <c r="AQ1058" s="487" t="e">
        <f>+VLOOKUP($AJ1058,Data_Validation!$A:$D,4,0)</f>
        <v>#N/A</v>
      </c>
      <c r="AR1058" s="487" t="s">
        <v>299</v>
      </c>
      <c r="AS1058" s="487" t="e">
        <f>+VLOOKUP($AJ1058,Data_Validation!$A:$E,5,0)</f>
        <v>#N/A</v>
      </c>
      <c r="AT1058" s="904" t="str">
        <f t="shared" si="113"/>
        <v>G731</v>
      </c>
      <c r="AU1058" s="488" t="str">
        <f t="shared" si="114"/>
        <v>INTERETS             -C/T</v>
      </c>
      <c r="AV1058" s="899">
        <f>IFERROR(INDEX(V1058:AG1058,1,MATCH(Parametres!$B$3,V$1:AG$1,0)-1)*IF(OR(C1058="L",C1058="S",C1058="I"),-1,1),"")</f>
        <v>0</v>
      </c>
      <c r="AW1058" s="899">
        <f t="shared" si="115"/>
        <v>0</v>
      </c>
      <c r="AX1058" s="899">
        <f>INDEX(V1058:AG1058,1,MATCH(Parametres!$B$3,V$1:AG$1,0))*IF(OR(C1058="L",C1058="S",C1058="I"),-1,1)</f>
        <v>0</v>
      </c>
      <c r="AY1058" s="487" t="s">
        <v>337</v>
      </c>
      <c r="AZ1058" s="487" t="e">
        <f>+VLOOKUP($AJ1058,Data_Validation!$A:$E,5,0)</f>
        <v>#N/A</v>
      </c>
    </row>
    <row r="1059" spans="1:52" ht="15" hidden="1" customHeight="1">
      <c r="A1059" s="706" t="s">
        <v>1148</v>
      </c>
      <c r="B1059" s="706">
        <v>2026</v>
      </c>
      <c r="C1059" s="706" t="s">
        <v>2998</v>
      </c>
      <c r="D1059" s="706" t="s">
        <v>2999</v>
      </c>
      <c r="E1059" s="706" t="s">
        <v>333</v>
      </c>
      <c r="F1059" s="706" t="s">
        <v>1104</v>
      </c>
      <c r="G1059" s="706">
        <v>0</v>
      </c>
      <c r="H1059" s="706">
        <v>0</v>
      </c>
      <c r="I1059" s="706">
        <v>0</v>
      </c>
      <c r="J1059" s="706">
        <v>0</v>
      </c>
      <c r="K1059" s="706">
        <v>0</v>
      </c>
      <c r="L1059" s="706">
        <v>0</v>
      </c>
      <c r="M1059" s="706">
        <v>0</v>
      </c>
      <c r="N1059" s="706">
        <v>0</v>
      </c>
      <c r="O1059" s="706">
        <v>0</v>
      </c>
      <c r="P1059" s="706">
        <v>0</v>
      </c>
      <c r="Q1059" s="706">
        <v>0</v>
      </c>
      <c r="R1059" s="706">
        <v>0</v>
      </c>
      <c r="S1059" s="706">
        <v>0</v>
      </c>
      <c r="T1059" s="706">
        <v>0</v>
      </c>
      <c r="U1059" s="706">
        <v>0</v>
      </c>
      <c r="V1059" s="706">
        <v>0</v>
      </c>
      <c r="W1059" s="706">
        <v>0</v>
      </c>
      <c r="X1059" s="706">
        <v>0</v>
      </c>
      <c r="Y1059" s="706">
        <v>0</v>
      </c>
      <c r="Z1059" s="706">
        <v>0</v>
      </c>
      <c r="AA1059" s="706">
        <v>0</v>
      </c>
      <c r="AB1059" s="706">
        <v>0</v>
      </c>
      <c r="AC1059" s="706">
        <v>0</v>
      </c>
      <c r="AD1059" s="706">
        <v>0</v>
      </c>
      <c r="AE1059" s="706">
        <v>0</v>
      </c>
      <c r="AF1059" s="706">
        <v>0</v>
      </c>
      <c r="AG1059" s="706">
        <v>0</v>
      </c>
      <c r="AH1059" s="706">
        <v>0</v>
      </c>
      <c r="AI1059" s="706">
        <v>0</v>
      </c>
      <c r="AJ1059" s="905" t="str">
        <f t="shared" si="110"/>
        <v>G73100</v>
      </c>
      <c r="AK1059" s="905" t="str">
        <f t="shared" si="111"/>
        <v>INTERETS LOCATION C/TERME</v>
      </c>
      <c r="AL1059" s="905">
        <f>IFERROR(INDEX(G1059:R1059,1,MATCH(Parametres!$B$3,G$1:R$1,0)-1)*IF(OR(F1059="L",F1059="S",F1059="I"),-1,1),"")</f>
        <v>0</v>
      </c>
      <c r="AM1059" s="905">
        <f t="shared" si="112"/>
        <v>0</v>
      </c>
      <c r="AN1059" s="905">
        <f>INDEX(G1059:R1059,1,MATCH(Parametres!$B$3,G$1:R$1,0))*IF(OR(F1059="L",F1059="S",F1059="I"),-1,1)</f>
        <v>0</v>
      </c>
      <c r="AO1059" s="487" t="str">
        <f>+VLOOKUP($AJ1059,Data_Validation!$A:$D,1,0)</f>
        <v>G73100</v>
      </c>
      <c r="AP1059" s="487">
        <f>+VLOOKUP($AJ1059,Data_Validation!$A:$D,3,0)</f>
        <v>0</v>
      </c>
      <c r="AQ1059" s="487">
        <f>+VLOOKUP($AJ1059,Data_Validation!$A:$D,4,0)</f>
        <v>0</v>
      </c>
      <c r="AR1059" s="487" t="s">
        <v>299</v>
      </c>
      <c r="AS1059" s="487">
        <f>+VLOOKUP($AJ1059,Data_Validation!$A:$E,5,0)</f>
        <v>0</v>
      </c>
      <c r="AT1059" s="904" t="str">
        <f t="shared" si="113"/>
        <v>G73100</v>
      </c>
      <c r="AU1059" s="488" t="str">
        <f t="shared" si="114"/>
        <v>INTERETS LOCATION C/TERME</v>
      </c>
      <c r="AV1059" s="899">
        <f>IFERROR(INDEX(V1059:AG1059,1,MATCH(Parametres!$B$3,V$1:AG$1,0)-1)*IF(OR(C1059="L",C1059="S",C1059="I"),-1,1),"")</f>
        <v>0</v>
      </c>
      <c r="AW1059" s="899">
        <f t="shared" si="115"/>
        <v>0</v>
      </c>
      <c r="AX1059" s="899">
        <f>INDEX(V1059:AG1059,1,MATCH(Parametres!$B$3,V$1:AG$1,0))*IF(OR(C1059="L",C1059="S",C1059="I"),-1,1)</f>
        <v>0</v>
      </c>
      <c r="AY1059" s="487" t="s">
        <v>337</v>
      </c>
      <c r="AZ1059" s="487">
        <f>+VLOOKUP($AJ1059,Data_Validation!$A:$E,5,0)</f>
        <v>0</v>
      </c>
    </row>
    <row r="1060" spans="1:52" ht="15" hidden="1" customHeight="1">
      <c r="A1060" s="706" t="s">
        <v>1148</v>
      </c>
      <c r="B1060" s="706">
        <v>2026</v>
      </c>
      <c r="C1060" s="706" t="s">
        <v>3000</v>
      </c>
      <c r="D1060" s="706" t="s">
        <v>3001</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G732</v>
      </c>
      <c r="AK1060" s="905" t="str">
        <f t="shared" si="111"/>
        <v>AMORTISSEMENT        -C/T</v>
      </c>
      <c r="AL1060" s="905">
        <f>IFERROR(INDEX(G1060:R1060,1,MATCH(Parametres!$B$3,G$1:R$1,0)-1)*IF(OR(F1060="L",F1060="S",F1060="I"),-1,1),"")</f>
        <v>0</v>
      </c>
      <c r="AM1060" s="905">
        <f t="shared" si="112"/>
        <v>0</v>
      </c>
      <c r="AN1060" s="905">
        <f>INDEX(G1060:R1060,1,MATCH(Parametres!$B$3,G$1:R$1,0))*IF(OR(F1060="L",F1060="S",F1060="I"),-1,1)</f>
        <v>0</v>
      </c>
      <c r="AO1060" s="487" t="e">
        <f>+VLOOKUP($AJ1060,Data_Validation!$A:$D,1,0)</f>
        <v>#N/A</v>
      </c>
      <c r="AP1060" s="487" t="e">
        <f>+VLOOKUP($AJ1060,Data_Validation!$A:$D,3,0)</f>
        <v>#N/A</v>
      </c>
      <c r="AQ1060" s="487" t="e">
        <f>+VLOOKUP($AJ1060,Data_Validation!$A:$D,4,0)</f>
        <v>#N/A</v>
      </c>
      <c r="AR1060" s="487" t="s">
        <v>299</v>
      </c>
      <c r="AS1060" s="487" t="e">
        <f>+VLOOKUP($AJ1060,Data_Validation!$A:$E,5,0)</f>
        <v>#N/A</v>
      </c>
      <c r="AT1060" s="904" t="str">
        <f t="shared" si="113"/>
        <v>G732</v>
      </c>
      <c r="AU1060" s="488" t="str">
        <f t="shared" si="114"/>
        <v>AMORTISSEMENT        -C/T</v>
      </c>
      <c r="AV1060" s="899">
        <f>IFERROR(INDEX(V1060:AG1060,1,MATCH(Parametres!$B$3,V$1:AG$1,0)-1)*IF(OR(C1060="L",C1060="S",C1060="I"),-1,1),"")</f>
        <v>0</v>
      </c>
      <c r="AW1060" s="899">
        <f t="shared" si="115"/>
        <v>0</v>
      </c>
      <c r="AX1060" s="899">
        <f>INDEX(V1060:AG1060,1,MATCH(Parametres!$B$3,V$1:AG$1,0))*IF(OR(C1060="L",C1060="S",C1060="I"),-1,1)</f>
        <v>0</v>
      </c>
      <c r="AY1060" s="487" t="s">
        <v>337</v>
      </c>
      <c r="AZ1060" s="487" t="e">
        <f>+VLOOKUP($AJ1060,Data_Validation!$A:$E,5,0)</f>
        <v>#N/A</v>
      </c>
    </row>
    <row r="1061" spans="1:52" ht="15" hidden="1" customHeight="1">
      <c r="A1061" s="706" t="s">
        <v>1148</v>
      </c>
      <c r="B1061" s="706">
        <v>2026</v>
      </c>
      <c r="C1061" s="706" t="s">
        <v>3002</v>
      </c>
      <c r="D1061" s="706" t="s">
        <v>3003</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G73200</v>
      </c>
      <c r="AK1061" s="905" t="str">
        <f t="shared" si="111"/>
        <v>AMORT. LOCATION C/TERME</v>
      </c>
      <c r="AL1061" s="905">
        <f>IFERROR(INDEX(G1061:R1061,1,MATCH(Parametres!$B$3,G$1:R$1,0)-1)*IF(OR(F1061="L",F1061="S",F1061="I"),-1,1),"")</f>
        <v>0</v>
      </c>
      <c r="AM1061" s="905">
        <f t="shared" si="112"/>
        <v>0</v>
      </c>
      <c r="AN1061" s="905">
        <f>INDEX(G1061:R1061,1,MATCH(Parametres!$B$3,G$1:R$1,0))*IF(OR(F1061="L",F1061="S",F1061="I"),-1,1)</f>
        <v>0</v>
      </c>
      <c r="AO1061" s="487" t="str">
        <f>+VLOOKUP($AJ1061,Data_Validation!$A:$D,1,0)</f>
        <v>G73200</v>
      </c>
      <c r="AP1061" s="487">
        <f>+VLOOKUP($AJ1061,Data_Validation!$A:$D,3,0)</f>
        <v>0</v>
      </c>
      <c r="AQ1061" s="487">
        <f>+VLOOKUP($AJ1061,Data_Validation!$A:$D,4,0)</f>
        <v>0</v>
      </c>
      <c r="AR1061" s="487" t="s">
        <v>299</v>
      </c>
      <c r="AS1061" s="487">
        <f>+VLOOKUP($AJ1061,Data_Validation!$A:$E,5,0)</f>
        <v>0</v>
      </c>
      <c r="AT1061" s="904" t="str">
        <f t="shared" si="113"/>
        <v>G73200</v>
      </c>
      <c r="AU1061" s="488" t="str">
        <f t="shared" si="114"/>
        <v>AMORT. LOCATION C/TERME</v>
      </c>
      <c r="AV1061" s="899">
        <f>IFERROR(INDEX(V1061:AG1061,1,MATCH(Parametres!$B$3,V$1:AG$1,0)-1)*IF(OR(C1061="L",C1061="S",C1061="I"),-1,1),"")</f>
        <v>0</v>
      </c>
      <c r="AW1061" s="899">
        <f t="shared" si="115"/>
        <v>0</v>
      </c>
      <c r="AX1061" s="899">
        <f>INDEX(V1061:AG1061,1,MATCH(Parametres!$B$3,V$1:AG$1,0))*IF(OR(C1061="L",C1061="S",C1061="I"),-1,1)</f>
        <v>0</v>
      </c>
      <c r="AY1061" s="487" t="s">
        <v>337</v>
      </c>
      <c r="AZ1061" s="487">
        <f>+VLOOKUP($AJ1061,Data_Validation!$A:$E,5,0)</f>
        <v>0</v>
      </c>
    </row>
    <row r="1062" spans="1:52" ht="15" hidden="1" customHeight="1">
      <c r="A1062" s="706" t="s">
        <v>1148</v>
      </c>
      <c r="B1062" s="706">
        <v>2026</v>
      </c>
      <c r="C1062" s="706" t="s">
        <v>3004</v>
      </c>
      <c r="D1062" s="706" t="s">
        <v>3005</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G733</v>
      </c>
      <c r="AK1062" s="905" t="str">
        <f t="shared" si="111"/>
        <v>ASSUR.VEH EN SERV.   -C/T</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G733</v>
      </c>
      <c r="AU1062" s="488" t="str">
        <f t="shared" si="114"/>
        <v>ASSUR.VEH EN SERV.   -C/T</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hidden="1" customHeight="1">
      <c r="A1063" s="706" t="s">
        <v>1148</v>
      </c>
      <c r="B1063" s="706">
        <v>2026</v>
      </c>
      <c r="C1063" s="706" t="s">
        <v>3006</v>
      </c>
      <c r="D1063" s="706" t="s">
        <v>3007</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G73300</v>
      </c>
      <c r="AK1063" s="905" t="str">
        <f t="shared" si="111"/>
        <v>ASSURANCES COURTOISIES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G73300</v>
      </c>
      <c r="AU1063" s="488" t="str">
        <f t="shared" si="114"/>
        <v>ASSURANCES COURTOISIES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hidden="1" customHeight="1">
      <c r="A1064" s="706" t="s">
        <v>1148</v>
      </c>
      <c r="B1064" s="706">
        <v>2026</v>
      </c>
      <c r="C1064" s="706" t="s">
        <v>3008</v>
      </c>
      <c r="D1064" s="706" t="s">
        <v>3009</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G734</v>
      </c>
      <c r="AK1064" s="905" t="str">
        <f t="shared" si="111"/>
        <v>PLAQUE,TITRE,TAXES   -C/T</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G734</v>
      </c>
      <c r="AU1064" s="488" t="str">
        <f t="shared" si="114"/>
        <v>PLAQUE,TITRE,TAXES   -C/T</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hidden="1" customHeight="1">
      <c r="A1065" s="706" t="s">
        <v>1148</v>
      </c>
      <c r="B1065" s="706">
        <v>2026</v>
      </c>
      <c r="C1065" s="706" t="s">
        <v>3010</v>
      </c>
      <c r="D1065" s="706" t="s">
        <v>3011</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G73400</v>
      </c>
      <c r="AK1065" s="905" t="str">
        <f t="shared" si="111"/>
        <v>PLAQUES TITRES LOC.C/TERM</v>
      </c>
      <c r="AL1065" s="905">
        <f>IFERROR(INDEX(G1065:R1065,1,MATCH(Parametres!$B$3,G$1:R$1,0)-1)*IF(OR(F1065="L",F1065="S",F1065="I"),-1,1),"")</f>
        <v>0</v>
      </c>
      <c r="AM1065" s="905">
        <f t="shared" si="112"/>
        <v>0</v>
      </c>
      <c r="AN1065" s="905">
        <f>INDEX(G1065:R1065,1,MATCH(Parametres!$B$3,G$1:R$1,0))*IF(OR(F1065="L",F1065="S",F1065="I"),-1,1)</f>
        <v>0</v>
      </c>
      <c r="AO1065" s="487" t="str">
        <f>+VLOOKUP($AJ1065,Data_Validation!$A:$D,1,0)</f>
        <v>G73400</v>
      </c>
      <c r="AP1065" s="487">
        <f>+VLOOKUP($AJ1065,Data_Validation!$A:$D,3,0)</f>
        <v>0</v>
      </c>
      <c r="AQ1065" s="487">
        <f>+VLOOKUP($AJ1065,Data_Validation!$A:$D,4,0)</f>
        <v>0</v>
      </c>
      <c r="AR1065" s="487" t="s">
        <v>299</v>
      </c>
      <c r="AS1065" s="487">
        <f>+VLOOKUP($AJ1065,Data_Validation!$A:$E,5,0)</f>
        <v>0</v>
      </c>
      <c r="AT1065" s="904" t="str">
        <f t="shared" si="113"/>
        <v>G73400</v>
      </c>
      <c r="AU1065" s="488" t="str">
        <f t="shared" si="114"/>
        <v>PLAQUES TITRES LOC.C/TERM</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hidden="1" customHeight="1">
      <c r="A1066" s="706" t="s">
        <v>1148</v>
      </c>
      <c r="B1066" s="706">
        <v>2026</v>
      </c>
      <c r="C1066" s="706" t="s">
        <v>3012</v>
      </c>
      <c r="D1066" s="706" t="s">
        <v>3013</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G735</v>
      </c>
      <c r="AK1066" s="905" t="str">
        <f t="shared" si="111"/>
        <v>TRAVAUX GRACIEUX     -C/T</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G735</v>
      </c>
      <c r="AU1066" s="488" t="str">
        <f t="shared" si="114"/>
        <v>TRAVAUX GRACIEUX     -C/T</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1067" s="706" t="s">
        <v>1148</v>
      </c>
      <c r="B1067" s="706">
        <v>2026</v>
      </c>
      <c r="C1067" s="706" t="s">
        <v>3014</v>
      </c>
      <c r="D1067" s="706" t="s">
        <v>3015</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G736</v>
      </c>
      <c r="AK1067" s="905" t="str">
        <f t="shared" si="111"/>
        <v>REPAR.&amp; ENTRETIEN    -C/T</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t="str">
        <f t="shared" si="113"/>
        <v>G736</v>
      </c>
      <c r="AU1067" s="488" t="str">
        <f t="shared" si="114"/>
        <v>REPAR.&amp; ENTRETIEN    -C/T</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hidden="1" customHeight="1">
      <c r="A1068" s="706" t="s">
        <v>1148</v>
      </c>
      <c r="B1068" s="706">
        <v>2026</v>
      </c>
      <c r="C1068" s="706" t="s">
        <v>3016</v>
      </c>
      <c r="D1068" s="706" t="s">
        <v>3017</v>
      </c>
      <c r="E1068" s="706" t="s">
        <v>333</v>
      </c>
      <c r="F1068" s="706" t="s">
        <v>1104</v>
      </c>
      <c r="G1068" s="706">
        <v>0</v>
      </c>
      <c r="H1068" s="706">
        <v>0</v>
      </c>
      <c r="I1068" s="706">
        <v>0</v>
      </c>
      <c r="J1068" s="706">
        <v>0</v>
      </c>
      <c r="K1068" s="706">
        <v>0</v>
      </c>
      <c r="L1068" s="706">
        <v>0</v>
      </c>
      <c r="M1068" s="706">
        <v>0</v>
      </c>
      <c r="N1068" s="706">
        <v>0</v>
      </c>
      <c r="O1068" s="706">
        <v>0</v>
      </c>
      <c r="P1068" s="706">
        <v>0</v>
      </c>
      <c r="Q1068" s="706">
        <v>0</v>
      </c>
      <c r="R1068" s="706">
        <v>0</v>
      </c>
      <c r="S1068" s="706">
        <v>0</v>
      </c>
      <c r="T1068" s="706">
        <v>0</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G73600</v>
      </c>
      <c r="AK1068" s="905" t="str">
        <f t="shared" si="111"/>
        <v>REPAR. ENTRETIEN LOC C/T</v>
      </c>
      <c r="AL1068" s="905">
        <f>IFERROR(INDEX(G1068:R1068,1,MATCH(Parametres!$B$3,G$1:R$1,0)-1)*IF(OR(F1068="L",F1068="S",F1068="I"),-1,1),"")</f>
        <v>0</v>
      </c>
      <c r="AM1068" s="905">
        <f t="shared" si="112"/>
        <v>0</v>
      </c>
      <c r="AN1068" s="905">
        <f>INDEX(G1068:R1068,1,MATCH(Parametres!$B$3,G$1:R$1,0))*IF(OR(F1068="L",F1068="S",F1068="I"),-1,1)</f>
        <v>0</v>
      </c>
      <c r="AO1068" s="487" t="str">
        <f>+VLOOKUP($AJ1068,Data_Validation!$A:$D,1,0)</f>
        <v>G73600</v>
      </c>
      <c r="AP1068" s="487">
        <f>+VLOOKUP($AJ1068,Data_Validation!$A:$D,3,0)</f>
        <v>0</v>
      </c>
      <c r="AQ1068" s="487">
        <f>+VLOOKUP($AJ1068,Data_Validation!$A:$D,4,0)</f>
        <v>0</v>
      </c>
      <c r="AR1068" s="487" t="s">
        <v>299</v>
      </c>
      <c r="AS1068" s="487">
        <f>+VLOOKUP($AJ1068,Data_Validation!$A:$E,5,0)</f>
        <v>0</v>
      </c>
      <c r="AT1068" s="904" t="str">
        <f t="shared" si="113"/>
        <v>G73600</v>
      </c>
      <c r="AU1068" s="488" t="str">
        <f t="shared" si="114"/>
        <v>REPAR. ENTRETIEN LOC C/T</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hidden="1" customHeight="1">
      <c r="A1069" s="706" t="s">
        <v>1148</v>
      </c>
      <c r="B1069" s="706">
        <v>2026</v>
      </c>
      <c r="C1069" s="706" t="s">
        <v>3018</v>
      </c>
      <c r="D1069" s="706" t="s">
        <v>3019</v>
      </c>
      <c r="E1069" s="706" t="s">
        <v>333</v>
      </c>
      <c r="F1069" s="706" t="s">
        <v>1104</v>
      </c>
      <c r="G1069" s="706">
        <v>0</v>
      </c>
      <c r="H1069" s="706">
        <v>0</v>
      </c>
      <c r="I1069" s="706">
        <v>0</v>
      </c>
      <c r="J1069" s="706">
        <v>0</v>
      </c>
      <c r="K1069" s="706">
        <v>0</v>
      </c>
      <c r="L1069" s="706">
        <v>0</v>
      </c>
      <c r="M1069" s="706">
        <v>0</v>
      </c>
      <c r="N1069" s="706">
        <v>0</v>
      </c>
      <c r="O1069" s="706">
        <v>0</v>
      </c>
      <c r="P1069" s="706">
        <v>0</v>
      </c>
      <c r="Q1069" s="706">
        <v>0</v>
      </c>
      <c r="R1069" s="706">
        <v>0</v>
      </c>
      <c r="S1069" s="706">
        <v>0</v>
      </c>
      <c r="T1069" s="706">
        <v>0</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G737</v>
      </c>
      <c r="AK1069" s="905" t="str">
        <f t="shared" si="111"/>
        <v>PRIX LOC.UNIT.S-LOUE -C/T</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t="str">
        <f t="shared" si="113"/>
        <v>G737</v>
      </c>
      <c r="AU1069" s="488" t="str">
        <f t="shared" si="114"/>
        <v>PRIX LOC.UNIT.S-LOUE -C/T</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1070" s="706" t="s">
        <v>1148</v>
      </c>
      <c r="B1070" s="706">
        <v>2026</v>
      </c>
      <c r="C1070" s="706" t="s">
        <v>3020</v>
      </c>
      <c r="D1070" s="706" t="s">
        <v>3021</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G738</v>
      </c>
      <c r="AK1070" s="905" t="str">
        <f t="shared" si="111"/>
        <v>AUTRES               -C/T</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G738</v>
      </c>
      <c r="AU1070" s="488" t="str">
        <f t="shared" si="114"/>
        <v>AUTRES               -C/T</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1071" s="706" t="s">
        <v>1148</v>
      </c>
      <c r="B1071" s="706">
        <v>2026</v>
      </c>
      <c r="C1071" s="706" t="s">
        <v>3022</v>
      </c>
      <c r="D1071" s="706" t="s">
        <v>3023</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G740</v>
      </c>
      <c r="AK1071" s="905" t="str">
        <f t="shared" si="111"/>
        <v>COMM.DIRECT.F&amp;A LOC C&amp;L</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G740</v>
      </c>
      <c r="AU1071" s="488" t="str">
        <f t="shared" si="114"/>
        <v>COMM.DIRECT.F&amp;A LOC C&amp;L</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1072" s="706" t="s">
        <v>1148</v>
      </c>
      <c r="B1072" s="706">
        <v>2026</v>
      </c>
      <c r="C1072" s="706" t="s">
        <v>3024</v>
      </c>
      <c r="D1072" s="706" t="s">
        <v>3025</v>
      </c>
      <c r="E1072" s="706" t="s">
        <v>333</v>
      </c>
      <c r="F1072" s="706" t="s">
        <v>1104</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G741</v>
      </c>
      <c r="AK1072" s="905" t="str">
        <f t="shared" si="111"/>
        <v>RETROFACT.F&amp;A LOC C&amp;L TER</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t="str">
        <f t="shared" si="113"/>
        <v>G741</v>
      </c>
      <c r="AU1072" s="488" t="str">
        <f t="shared" si="114"/>
        <v>RETROFACT.F&amp;A LOC C&amp;L TER</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1:52" ht="15" hidden="1" customHeight="1">
      <c r="A1073" s="706" t="s">
        <v>1148</v>
      </c>
      <c r="B1073" s="706">
        <v>2026</v>
      </c>
      <c r="C1073" s="706" t="s">
        <v>3026</v>
      </c>
      <c r="D1073" s="706" t="s">
        <v>3027</v>
      </c>
      <c r="E1073" s="706" t="s">
        <v>333</v>
      </c>
      <c r="F1073" s="706" t="s">
        <v>1150</v>
      </c>
      <c r="G1073" s="706">
        <v>0</v>
      </c>
      <c r="H1073" s="706">
        <v>0</v>
      </c>
      <c r="I1073" s="706">
        <v>0</v>
      </c>
      <c r="J1073" s="706">
        <v>0</v>
      </c>
      <c r="K1073" s="706">
        <v>0</v>
      </c>
      <c r="L1073" s="706">
        <v>0</v>
      </c>
      <c r="M1073" s="706">
        <v>0</v>
      </c>
      <c r="N1073" s="706">
        <v>0</v>
      </c>
      <c r="O1073" s="706">
        <v>0</v>
      </c>
      <c r="P1073" s="706">
        <v>0</v>
      </c>
      <c r="Q1073" s="706">
        <v>0</v>
      </c>
      <c r="R1073" s="706">
        <v>0</v>
      </c>
      <c r="S1073" s="706">
        <v>0</v>
      </c>
      <c r="T1073" s="706">
        <v>0</v>
      </c>
      <c r="U1073" s="706">
        <v>0</v>
      </c>
      <c r="V1073" s="706">
        <v>0</v>
      </c>
      <c r="W1073" s="706">
        <v>0</v>
      </c>
      <c r="X1073" s="706">
        <v>0</v>
      </c>
      <c r="Y1073" s="706">
        <v>0</v>
      </c>
      <c r="Z1073" s="706">
        <v>0</v>
      </c>
      <c r="AA1073" s="706">
        <v>0</v>
      </c>
      <c r="AB1073" s="706">
        <v>0</v>
      </c>
      <c r="AC1073" s="706">
        <v>0</v>
      </c>
      <c r="AD1073" s="706">
        <v>0</v>
      </c>
      <c r="AE1073" s="706">
        <v>0</v>
      </c>
      <c r="AF1073" s="706">
        <v>0</v>
      </c>
      <c r="AG1073" s="706">
        <v>0</v>
      </c>
      <c r="AH1073" s="706">
        <v>0</v>
      </c>
      <c r="AI1073" s="706">
        <v>0</v>
      </c>
      <c r="AJ1073" s="905" t="str">
        <f t="shared" si="110"/>
        <v>G806</v>
      </c>
      <c r="AK1073" s="905" t="str">
        <f t="shared" si="111"/>
        <v>REVENU FINANCE - NEUF</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t="str">
        <f t="shared" si="113"/>
        <v>G806</v>
      </c>
      <c r="AU1073" s="488" t="str">
        <f t="shared" si="114"/>
        <v>REVENU FINANCE - NEUF</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1:52" ht="15" hidden="1" customHeight="1">
      <c r="A1074" s="706" t="s">
        <v>1148</v>
      </c>
      <c r="B1074" s="706">
        <v>2026</v>
      </c>
      <c r="C1074" s="706" t="s">
        <v>3028</v>
      </c>
      <c r="D1074" s="706" t="s">
        <v>3029</v>
      </c>
      <c r="E1074" s="706" t="s">
        <v>333</v>
      </c>
      <c r="F1074" s="706" t="s">
        <v>1150</v>
      </c>
      <c r="G1074" s="706">
        <v>0</v>
      </c>
      <c r="H1074" s="706">
        <v>-291.51</v>
      </c>
      <c r="I1074" s="706">
        <v>1158.49</v>
      </c>
      <c r="J1074" s="706">
        <v>6748.1</v>
      </c>
      <c r="K1074" s="706">
        <v>8664.1200000000008</v>
      </c>
      <c r="L1074" s="706">
        <v>11124.29</v>
      </c>
      <c r="M1074" s="706">
        <v>12124.29</v>
      </c>
      <c r="N1074" s="706">
        <v>12124.29</v>
      </c>
      <c r="O1074" s="706">
        <v>14351.34</v>
      </c>
      <c r="P1074" s="706">
        <v>14351.34</v>
      </c>
      <c r="Q1074" s="706">
        <v>0</v>
      </c>
      <c r="R1074" s="706">
        <v>0</v>
      </c>
      <c r="S1074" s="706">
        <v>1594.59</v>
      </c>
      <c r="T1074" s="706">
        <v>1594.59</v>
      </c>
      <c r="U1074" s="706">
        <v>0</v>
      </c>
      <c r="V1074" s="706">
        <v>0</v>
      </c>
      <c r="W1074" s="706">
        <v>-1</v>
      </c>
      <c r="X1074" s="706">
        <v>1</v>
      </c>
      <c r="Y1074" s="706">
        <v>8</v>
      </c>
      <c r="Z1074" s="706">
        <v>9</v>
      </c>
      <c r="AA1074" s="706">
        <v>10</v>
      </c>
      <c r="AB1074" s="706">
        <v>11</v>
      </c>
      <c r="AC1074" s="706">
        <v>11</v>
      </c>
      <c r="AD1074" s="706">
        <v>14</v>
      </c>
      <c r="AE1074" s="706">
        <v>14</v>
      </c>
      <c r="AF1074" s="706">
        <v>0</v>
      </c>
      <c r="AG1074" s="706">
        <v>0</v>
      </c>
      <c r="AH1074" s="706">
        <v>2</v>
      </c>
      <c r="AI1074" s="706">
        <v>2</v>
      </c>
      <c r="AJ1074" s="905" t="str">
        <f t="shared" si="110"/>
        <v>G80600</v>
      </c>
      <c r="AK1074" s="905" t="str">
        <f t="shared" si="111"/>
        <v>REVENUS FINANCE VEH. NEUF</v>
      </c>
      <c r="AL1074" s="905">
        <f>IFERROR(INDEX(G1074:R1074,1,MATCH(Parametres!$B$3,G$1:R$1,0)-1)*IF(OR(F1074="L",F1074="S",F1074="I"),-1,1),"")</f>
        <v>-12124.29</v>
      </c>
      <c r="AM1074" s="905">
        <f t="shared" si="112"/>
        <v>-2227.0499999999993</v>
      </c>
      <c r="AN1074" s="905">
        <f>INDEX(G1074:R1074,1,MATCH(Parametres!$B$3,G$1:R$1,0))*IF(OR(F1074="L",F1074="S",F1074="I"),-1,1)</f>
        <v>-14351.34</v>
      </c>
      <c r="AO1074" s="487" t="str">
        <f>+VLOOKUP($AJ1074,Data_Validation!$A:$D,1,0)</f>
        <v>G80600</v>
      </c>
      <c r="AP1074" s="487" t="str">
        <f>+VLOOKUP($AJ1074,Data_Validation!$A:$D,3,0)</f>
        <v>Véhicules neufs</v>
      </c>
      <c r="AQ1074" s="487" t="str">
        <f>+VLOOKUP($AJ1074,Data_Validation!$A:$D,4,0)</f>
        <v>Rev. Finances</v>
      </c>
      <c r="AR1074" s="487" t="s">
        <v>299</v>
      </c>
      <c r="AS1074" s="487" t="str">
        <f>+VLOOKUP($AJ1074,Data_Validation!$A:$E,5,0)</f>
        <v>Oui</v>
      </c>
      <c r="AT1074" s="904" t="str">
        <f t="shared" si="113"/>
        <v>G80600</v>
      </c>
      <c r="AU1074" s="488" t="str">
        <f t="shared" si="114"/>
        <v>REVENUS FINANCE VEH. NEUF</v>
      </c>
      <c r="AV1074" s="899">
        <f>IFERROR(INDEX(V1074:AG1074,1,MATCH(Parametres!$B$3,V$1:AG$1,0)-1)*IF(OR(C1074="L",C1074="S",C1074="I"),-1,1),"")</f>
        <v>11</v>
      </c>
      <c r="AW1074" s="899">
        <f t="shared" si="115"/>
        <v>3</v>
      </c>
      <c r="AX1074" s="899">
        <f>INDEX(V1074:AG1074,1,MATCH(Parametres!$B$3,V$1:AG$1,0))*IF(OR(C1074="L",C1074="S",C1074="I"),-1,1)</f>
        <v>14</v>
      </c>
      <c r="AY1074" s="487" t="s">
        <v>337</v>
      </c>
      <c r="AZ1074" s="487" t="str">
        <f>+VLOOKUP($AJ1074,Data_Validation!$A:$E,5,0)</f>
        <v>Oui</v>
      </c>
    </row>
    <row r="1075" spans="1:52" ht="15" hidden="1" customHeight="1">
      <c r="A1075" s="706" t="s">
        <v>1148</v>
      </c>
      <c r="B1075" s="706">
        <v>2026</v>
      </c>
      <c r="C1075" s="706" t="s">
        <v>3030</v>
      </c>
      <c r="D1075" s="706" t="s">
        <v>3031</v>
      </c>
      <c r="E1075" s="706" t="s">
        <v>333</v>
      </c>
      <c r="F1075" s="706" t="s">
        <v>1150</v>
      </c>
      <c r="G1075" s="706">
        <v>0</v>
      </c>
      <c r="H1075" s="706">
        <v>0</v>
      </c>
      <c r="I1075" s="706">
        <v>0</v>
      </c>
      <c r="J1075" s="706">
        <v>0</v>
      </c>
      <c r="K1075" s="706">
        <v>0</v>
      </c>
      <c r="L1075" s="706">
        <v>0</v>
      </c>
      <c r="M1075" s="706">
        <v>0</v>
      </c>
      <c r="N1075" s="706">
        <v>0</v>
      </c>
      <c r="O1075" s="706">
        <v>0</v>
      </c>
      <c r="P1075" s="706">
        <v>0</v>
      </c>
      <c r="Q1075" s="706">
        <v>0</v>
      </c>
      <c r="R1075" s="706">
        <v>0</v>
      </c>
      <c r="S1075" s="706">
        <v>0</v>
      </c>
      <c r="T1075" s="706">
        <v>0</v>
      </c>
      <c r="U1075" s="706">
        <v>0</v>
      </c>
      <c r="V1075" s="706">
        <v>0</v>
      </c>
      <c r="W1075" s="706">
        <v>0</v>
      </c>
      <c r="X1075" s="706">
        <v>0</v>
      </c>
      <c r="Y1075" s="706">
        <v>0</v>
      </c>
      <c r="Z1075" s="706">
        <v>0</v>
      </c>
      <c r="AA1075" s="706">
        <v>0</v>
      </c>
      <c r="AB1075" s="706">
        <v>0</v>
      </c>
      <c r="AC1075" s="706">
        <v>0</v>
      </c>
      <c r="AD1075" s="706">
        <v>0</v>
      </c>
      <c r="AE1075" s="706">
        <v>0</v>
      </c>
      <c r="AF1075" s="706">
        <v>0</v>
      </c>
      <c r="AG1075" s="706">
        <v>0</v>
      </c>
      <c r="AH1075" s="706">
        <v>0</v>
      </c>
      <c r="AI1075" s="706">
        <v>0</v>
      </c>
      <c r="AJ1075" s="905" t="str">
        <f t="shared" si="110"/>
        <v>G807</v>
      </c>
      <c r="AK1075" s="905" t="str">
        <f t="shared" si="111"/>
        <v>COMM/ASSURANCE - NEUF</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t="str">
        <f t="shared" si="113"/>
        <v>G807</v>
      </c>
      <c r="AU1075" s="488" t="str">
        <f t="shared" si="114"/>
        <v>COMM/ASSURANCE - NEUF</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1:52" ht="15" hidden="1" customHeight="1">
      <c r="A1076" s="706" t="s">
        <v>1148</v>
      </c>
      <c r="B1076" s="706">
        <v>2026</v>
      </c>
      <c r="C1076" s="706" t="s">
        <v>3032</v>
      </c>
      <c r="D1076" s="706" t="s">
        <v>3033</v>
      </c>
      <c r="E1076" s="706" t="s">
        <v>333</v>
      </c>
      <c r="F1076" s="706" t="s">
        <v>1150</v>
      </c>
      <c r="G1076" s="706">
        <v>2016.14</v>
      </c>
      <c r="H1076" s="706">
        <v>6065.08</v>
      </c>
      <c r="I1076" s="706">
        <v>6065.08</v>
      </c>
      <c r="J1076" s="706">
        <v>9866.18</v>
      </c>
      <c r="K1076" s="706">
        <v>9866.18</v>
      </c>
      <c r="L1076" s="706">
        <v>23237.93</v>
      </c>
      <c r="M1076" s="706">
        <v>23237.93</v>
      </c>
      <c r="N1076" s="706">
        <v>23237.93</v>
      </c>
      <c r="O1076" s="706">
        <v>24732.240000000002</v>
      </c>
      <c r="P1076" s="706">
        <v>25560.41</v>
      </c>
      <c r="Q1076" s="706">
        <v>0</v>
      </c>
      <c r="R1076" s="706">
        <v>0</v>
      </c>
      <c r="S1076" s="706">
        <v>2748.03</v>
      </c>
      <c r="T1076" s="706">
        <v>2748.03</v>
      </c>
      <c r="U1076" s="706">
        <v>0</v>
      </c>
      <c r="V1076" s="706">
        <v>0</v>
      </c>
      <c r="W1076" s="706">
        <v>0</v>
      </c>
      <c r="X1076" s="706">
        <v>0</v>
      </c>
      <c r="Y1076" s="706">
        <v>-1</v>
      </c>
      <c r="Z1076" s="706">
        <v>-1</v>
      </c>
      <c r="AA1076" s="706">
        <v>-1</v>
      </c>
      <c r="AB1076" s="706">
        <v>-1</v>
      </c>
      <c r="AC1076" s="706">
        <v>-1</v>
      </c>
      <c r="AD1076" s="706">
        <v>2</v>
      </c>
      <c r="AE1076" s="706">
        <v>2</v>
      </c>
      <c r="AF1076" s="706">
        <v>0</v>
      </c>
      <c r="AG1076" s="706">
        <v>0</v>
      </c>
      <c r="AH1076" s="706">
        <v>0</v>
      </c>
      <c r="AI1076" s="706">
        <v>0</v>
      </c>
      <c r="AJ1076" s="905" t="str">
        <f t="shared" si="110"/>
        <v>G80700</v>
      </c>
      <c r="AK1076" s="905" t="str">
        <f t="shared" si="111"/>
        <v>REV. ASS-VIE INVAL. NEUF</v>
      </c>
      <c r="AL1076" s="905">
        <f>IFERROR(INDEX(G1076:R1076,1,MATCH(Parametres!$B$3,G$1:R$1,0)-1)*IF(OR(F1076="L",F1076="S",F1076="I"),-1,1),"")</f>
        <v>-23237.93</v>
      </c>
      <c r="AM1076" s="905">
        <f t="shared" si="112"/>
        <v>-1494.3100000000013</v>
      </c>
      <c r="AN1076" s="905">
        <f>INDEX(G1076:R1076,1,MATCH(Parametres!$B$3,G$1:R$1,0))*IF(OR(F1076="L",F1076="S",F1076="I"),-1,1)</f>
        <v>-24732.240000000002</v>
      </c>
      <c r="AO1076" s="487" t="str">
        <f>+VLOOKUP($AJ1076,Data_Validation!$A:$D,1,0)</f>
        <v>G80700</v>
      </c>
      <c r="AP1076" s="487" t="str">
        <f>+VLOOKUP($AJ1076,Data_Validation!$A:$D,3,0)</f>
        <v>Véhicules neufs</v>
      </c>
      <c r="AQ1076" s="487" t="str">
        <f>+VLOOKUP($AJ1076,Data_Validation!$A:$D,4,0)</f>
        <v>Rev. Protections</v>
      </c>
      <c r="AR1076" s="487" t="s">
        <v>299</v>
      </c>
      <c r="AS1076" s="487" t="str">
        <f>+VLOOKUP($AJ1076,Data_Validation!$A:$E,5,0)</f>
        <v>Oui</v>
      </c>
      <c r="AT1076" s="904" t="str">
        <f t="shared" si="113"/>
        <v>G80700</v>
      </c>
      <c r="AU1076" s="488" t="str">
        <f t="shared" si="114"/>
        <v>REV. ASS-VIE INVAL. NEUF</v>
      </c>
      <c r="AV1076" s="899">
        <f>IFERROR(INDEX(V1076:AG1076,1,MATCH(Parametres!$B$3,V$1:AG$1,0)-1)*IF(OR(C1076="L",C1076="S",C1076="I"),-1,1),"")</f>
        <v>-1</v>
      </c>
      <c r="AW1076" s="899">
        <f t="shared" si="115"/>
        <v>3</v>
      </c>
      <c r="AX1076" s="899">
        <f>INDEX(V1076:AG1076,1,MATCH(Parametres!$B$3,V$1:AG$1,0))*IF(OR(C1076="L",C1076="S",C1076="I"),-1,1)</f>
        <v>2</v>
      </c>
      <c r="AY1076" s="487" t="s">
        <v>337</v>
      </c>
      <c r="AZ1076" s="487" t="str">
        <f>+VLOOKUP($AJ1076,Data_Validation!$A:$E,5,0)</f>
        <v>Oui</v>
      </c>
    </row>
    <row r="1077" spans="1:52" ht="15" hidden="1" customHeight="1">
      <c r="A1077" s="706" t="s">
        <v>1148</v>
      </c>
      <c r="B1077" s="706">
        <v>2026</v>
      </c>
      <c r="C1077" s="706" t="s">
        <v>3034</v>
      </c>
      <c r="D1077" s="706" t="s">
        <v>3035</v>
      </c>
      <c r="E1077" s="706" t="s">
        <v>333</v>
      </c>
      <c r="F1077" s="706" t="s">
        <v>1150</v>
      </c>
      <c r="G1077" s="706">
        <v>0</v>
      </c>
      <c r="H1077" s="706">
        <v>0</v>
      </c>
      <c r="I1077" s="706">
        <v>0</v>
      </c>
      <c r="J1077" s="706">
        <v>0</v>
      </c>
      <c r="K1077" s="706">
        <v>0</v>
      </c>
      <c r="L1077" s="706">
        <v>0</v>
      </c>
      <c r="M1077" s="706">
        <v>0</v>
      </c>
      <c r="N1077" s="706">
        <v>0</v>
      </c>
      <c r="O1077" s="706">
        <v>0</v>
      </c>
      <c r="P1077" s="706">
        <v>0</v>
      </c>
      <c r="Q1077" s="706">
        <v>0</v>
      </c>
      <c r="R1077" s="706">
        <v>0</v>
      </c>
      <c r="S1077" s="706">
        <v>0</v>
      </c>
      <c r="T1077" s="706">
        <v>0</v>
      </c>
      <c r="U1077" s="706">
        <v>0</v>
      </c>
      <c r="V1077" s="706">
        <v>0</v>
      </c>
      <c r="W1077" s="706">
        <v>0</v>
      </c>
      <c r="X1077" s="706">
        <v>0</v>
      </c>
      <c r="Y1077" s="706">
        <v>0</v>
      </c>
      <c r="Z1077" s="706">
        <v>0</v>
      </c>
      <c r="AA1077" s="706">
        <v>0</v>
      </c>
      <c r="AB1077" s="706">
        <v>0</v>
      </c>
      <c r="AC1077" s="706">
        <v>0</v>
      </c>
      <c r="AD1077" s="706">
        <v>0</v>
      </c>
      <c r="AE1077" s="706">
        <v>0</v>
      </c>
      <c r="AF1077" s="706">
        <v>0</v>
      </c>
      <c r="AG1077" s="706">
        <v>0</v>
      </c>
      <c r="AH1077" s="706">
        <v>0</v>
      </c>
      <c r="AI1077" s="706">
        <v>0</v>
      </c>
      <c r="AJ1077" s="905" t="str">
        <f t="shared" ref="AJ1077" si="116">C1077</f>
        <v>G808</v>
      </c>
      <c r="AK1077" s="905" t="str">
        <f t="shared" ref="AK1077" si="117">D1077</f>
        <v>REVENU FINANCEMENT USAGES</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t="str">
        <f t="shared" ref="AT1077" si="119">C1077</f>
        <v>G808</v>
      </c>
      <c r="AU1077" s="488" t="str">
        <f t="shared" ref="AU1077" si="120">D1077</f>
        <v>REVENU FINANCEMENT USAGES</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78" spans="1:52" ht="15" hidden="1" customHeight="1">
      <c r="A1078" s="706" t="s">
        <v>1148</v>
      </c>
      <c r="B1078" s="706">
        <v>2026</v>
      </c>
      <c r="C1078" s="706" t="s">
        <v>3036</v>
      </c>
      <c r="D1078" s="706" t="s">
        <v>3037</v>
      </c>
      <c r="E1078" s="706" t="s">
        <v>333</v>
      </c>
      <c r="F1078" s="706" t="s">
        <v>1150</v>
      </c>
      <c r="G1078" s="706">
        <v>6932.74</v>
      </c>
      <c r="H1078" s="706">
        <v>12944.93</v>
      </c>
      <c r="I1078" s="706">
        <v>25188.84</v>
      </c>
      <c r="J1078" s="706">
        <v>34384.089999999997</v>
      </c>
      <c r="K1078" s="706">
        <v>43238.29</v>
      </c>
      <c r="L1078" s="706">
        <v>45460.49</v>
      </c>
      <c r="M1078" s="706">
        <v>62450.49</v>
      </c>
      <c r="N1078" s="706">
        <v>77788.59</v>
      </c>
      <c r="O1078" s="706">
        <v>80970.23</v>
      </c>
      <c r="P1078" s="706">
        <v>80970.23</v>
      </c>
      <c r="Q1078" s="706">
        <v>0</v>
      </c>
      <c r="R1078" s="706">
        <v>0</v>
      </c>
      <c r="S1078" s="706">
        <v>8996.69</v>
      </c>
      <c r="T1078" s="706">
        <v>8996.69</v>
      </c>
      <c r="U1078" s="706">
        <v>0</v>
      </c>
      <c r="V1078" s="706">
        <v>7</v>
      </c>
      <c r="W1078" s="706">
        <v>11</v>
      </c>
      <c r="X1078" s="706">
        <v>21</v>
      </c>
      <c r="Y1078" s="706">
        <v>29</v>
      </c>
      <c r="Z1078" s="706">
        <v>41</v>
      </c>
      <c r="AA1078" s="706">
        <v>44</v>
      </c>
      <c r="AB1078" s="706">
        <v>59</v>
      </c>
      <c r="AC1078" s="706">
        <v>75</v>
      </c>
      <c r="AD1078" s="706">
        <v>77</v>
      </c>
      <c r="AE1078" s="706">
        <v>77</v>
      </c>
      <c r="AF1078" s="706">
        <v>0</v>
      </c>
      <c r="AG1078" s="706">
        <v>0</v>
      </c>
      <c r="AH1078" s="706">
        <v>9</v>
      </c>
      <c r="AI1078" s="706">
        <v>9</v>
      </c>
    </row>
    <row r="1079" spans="1:52" ht="15" hidden="1" customHeight="1">
      <c r="A1079" s="706" t="s">
        <v>1148</v>
      </c>
      <c r="B1079" s="706">
        <v>2026</v>
      </c>
      <c r="C1079" s="706" t="s">
        <v>3038</v>
      </c>
      <c r="D1079" s="706" t="s">
        <v>3039</v>
      </c>
      <c r="E1079" s="706" t="s">
        <v>333</v>
      </c>
      <c r="F1079" s="706" t="s">
        <v>1150</v>
      </c>
      <c r="G1079" s="706">
        <v>0</v>
      </c>
      <c r="H1079" s="706">
        <v>0</v>
      </c>
      <c r="I1079" s="706">
        <v>0</v>
      </c>
      <c r="J1079" s="706">
        <v>0</v>
      </c>
      <c r="K1079" s="706">
        <v>0</v>
      </c>
      <c r="L1079" s="706">
        <v>0</v>
      </c>
      <c r="M1079" s="706">
        <v>0</v>
      </c>
      <c r="N1079" s="706">
        <v>0</v>
      </c>
      <c r="O1079" s="706">
        <v>0</v>
      </c>
      <c r="P1079" s="706">
        <v>0</v>
      </c>
      <c r="Q1079" s="706">
        <v>0</v>
      </c>
      <c r="R1079" s="706">
        <v>0</v>
      </c>
      <c r="S1079" s="706">
        <v>0</v>
      </c>
      <c r="T1079" s="706">
        <v>0</v>
      </c>
      <c r="U1079" s="706">
        <v>0</v>
      </c>
      <c r="V1079" s="706">
        <v>0</v>
      </c>
      <c r="W1079" s="706">
        <v>0</v>
      </c>
      <c r="X1079" s="706">
        <v>0</v>
      </c>
      <c r="Y1079" s="706">
        <v>0</v>
      </c>
      <c r="Z1079" s="706">
        <v>0</v>
      </c>
      <c r="AA1079" s="706">
        <v>0</v>
      </c>
      <c r="AB1079" s="706">
        <v>0</v>
      </c>
      <c r="AC1079" s="706">
        <v>0</v>
      </c>
      <c r="AD1079" s="706">
        <v>0</v>
      </c>
      <c r="AE1079" s="706">
        <v>0</v>
      </c>
      <c r="AF1079" s="706">
        <v>0</v>
      </c>
      <c r="AG1079" s="706">
        <v>0</v>
      </c>
      <c r="AH1079" s="706">
        <v>0</v>
      </c>
      <c r="AI1079" s="706">
        <v>0</v>
      </c>
    </row>
    <row r="1080" spans="1:52" ht="15" hidden="1" customHeight="1">
      <c r="A1080" s="706" t="s">
        <v>1148</v>
      </c>
      <c r="B1080" s="706">
        <v>2026</v>
      </c>
      <c r="C1080" s="706" t="s">
        <v>3040</v>
      </c>
      <c r="D1080" s="706" t="s">
        <v>3041</v>
      </c>
      <c r="E1080" s="706" t="s">
        <v>333</v>
      </c>
      <c r="F1080" s="706" t="s">
        <v>1150</v>
      </c>
      <c r="G1080" s="706">
        <v>969.88</v>
      </c>
      <c r="H1080" s="706">
        <v>969.88</v>
      </c>
      <c r="I1080" s="706">
        <v>969.88</v>
      </c>
      <c r="J1080" s="706">
        <v>3540.5</v>
      </c>
      <c r="K1080" s="706">
        <v>3540.5</v>
      </c>
      <c r="L1080" s="706">
        <v>3540.5</v>
      </c>
      <c r="M1080" s="706">
        <v>3540.5</v>
      </c>
      <c r="N1080" s="706">
        <v>3540.5</v>
      </c>
      <c r="O1080" s="706">
        <v>3540.5</v>
      </c>
      <c r="P1080" s="706">
        <v>3540.5</v>
      </c>
      <c r="Q1080" s="706">
        <v>0</v>
      </c>
      <c r="R1080" s="706">
        <v>0</v>
      </c>
      <c r="S1080" s="706">
        <v>393.39</v>
      </c>
      <c r="T1080" s="706">
        <v>393.39</v>
      </c>
      <c r="U1080" s="706">
        <v>0</v>
      </c>
      <c r="V1080" s="706">
        <v>0</v>
      </c>
      <c r="W1080" s="706">
        <v>0</v>
      </c>
      <c r="X1080" s="706">
        <v>0</v>
      </c>
      <c r="Y1080" s="706">
        <v>-1</v>
      </c>
      <c r="Z1080" s="706">
        <v>-1</v>
      </c>
      <c r="AA1080" s="706">
        <v>-1</v>
      </c>
      <c r="AB1080" s="706">
        <v>-1</v>
      </c>
      <c r="AC1080" s="706">
        <v>-1</v>
      </c>
      <c r="AD1080" s="706">
        <v>-1</v>
      </c>
      <c r="AE1080" s="706">
        <v>-1</v>
      </c>
      <c r="AF1080" s="706">
        <v>0</v>
      </c>
      <c r="AG1080" s="706">
        <v>0</v>
      </c>
      <c r="AH1080" s="706">
        <v>0</v>
      </c>
      <c r="AI1080" s="706">
        <v>0</v>
      </c>
    </row>
    <row r="1081" spans="1:52" ht="15" hidden="1" customHeight="1">
      <c r="A1081" s="706" t="s">
        <v>1148</v>
      </c>
      <c r="B1081" s="706">
        <v>2026</v>
      </c>
      <c r="C1081" s="706" t="s">
        <v>3042</v>
      </c>
      <c r="D1081" s="706" t="s">
        <v>3043</v>
      </c>
      <c r="E1081" s="706" t="s">
        <v>333</v>
      </c>
      <c r="F1081" s="706" t="s">
        <v>1149</v>
      </c>
      <c r="G1081" s="706">
        <v>0</v>
      </c>
      <c r="H1081" s="706">
        <v>0</v>
      </c>
      <c r="I1081" s="706">
        <v>0</v>
      </c>
      <c r="J1081" s="706">
        <v>0</v>
      </c>
      <c r="K1081" s="706">
        <v>0</v>
      </c>
      <c r="L1081" s="706">
        <v>0</v>
      </c>
      <c r="M1081" s="706">
        <v>0</v>
      </c>
      <c r="N1081" s="706">
        <v>0</v>
      </c>
      <c r="O1081" s="706">
        <v>0</v>
      </c>
      <c r="P1081" s="706">
        <v>0</v>
      </c>
      <c r="Q1081" s="706">
        <v>0</v>
      </c>
      <c r="R1081" s="706">
        <v>0</v>
      </c>
      <c r="S1081" s="706">
        <v>0</v>
      </c>
      <c r="T1081" s="706">
        <v>0</v>
      </c>
      <c r="U1081" s="706">
        <v>0</v>
      </c>
      <c r="V1081" s="706">
        <v>0</v>
      </c>
      <c r="W1081" s="706">
        <v>0</v>
      </c>
      <c r="X1081" s="706">
        <v>0</v>
      </c>
      <c r="Y1081" s="706">
        <v>0</v>
      </c>
      <c r="Z1081" s="706">
        <v>0</v>
      </c>
      <c r="AA1081" s="706">
        <v>0</v>
      </c>
      <c r="AB1081" s="706">
        <v>0</v>
      </c>
      <c r="AC1081" s="706">
        <v>0</v>
      </c>
      <c r="AD1081" s="706">
        <v>0</v>
      </c>
      <c r="AE1081" s="706">
        <v>0</v>
      </c>
      <c r="AF1081" s="706">
        <v>0</v>
      </c>
      <c r="AG1081" s="706">
        <v>0</v>
      </c>
      <c r="AH1081" s="706">
        <v>0</v>
      </c>
      <c r="AI1081" s="706">
        <v>0</v>
      </c>
    </row>
    <row r="1082" spans="1:52" ht="15" hidden="1" customHeight="1">
      <c r="A1082" s="706" t="s">
        <v>1148</v>
      </c>
      <c r="B1082" s="706">
        <v>2026</v>
      </c>
      <c r="C1082" s="706" t="s">
        <v>3044</v>
      </c>
      <c r="D1082" s="706" t="s">
        <v>3045</v>
      </c>
      <c r="E1082" s="706" t="s">
        <v>333</v>
      </c>
      <c r="F1082" s="706" t="s">
        <v>1152</v>
      </c>
      <c r="G1082" s="706">
        <v>0</v>
      </c>
      <c r="H1082" s="706">
        <v>0</v>
      </c>
      <c r="I1082" s="706">
        <v>0</v>
      </c>
      <c r="J1082" s="706">
        <v>0</v>
      </c>
      <c r="K1082" s="706">
        <v>0</v>
      </c>
      <c r="L1082" s="706">
        <v>0</v>
      </c>
      <c r="M1082" s="706">
        <v>0</v>
      </c>
      <c r="N1082" s="706">
        <v>0</v>
      </c>
      <c r="O1082" s="706">
        <v>0</v>
      </c>
      <c r="P1082" s="706">
        <v>0</v>
      </c>
      <c r="Q1082" s="706">
        <v>0</v>
      </c>
      <c r="R1082" s="706">
        <v>0</v>
      </c>
      <c r="S1082" s="706">
        <v>0</v>
      </c>
      <c r="T1082" s="706">
        <v>0</v>
      </c>
      <c r="U1082" s="706">
        <v>0</v>
      </c>
      <c r="V1082" s="706">
        <v>0</v>
      </c>
      <c r="W1082" s="706">
        <v>0</v>
      </c>
      <c r="X1082" s="706">
        <v>0</v>
      </c>
      <c r="Y1082" s="706">
        <v>0</v>
      </c>
      <c r="Z1082" s="706">
        <v>0</v>
      </c>
      <c r="AA1082" s="706">
        <v>0</v>
      </c>
      <c r="AB1082" s="706">
        <v>0</v>
      </c>
      <c r="AC1082" s="706">
        <v>0</v>
      </c>
      <c r="AD1082" s="706">
        <v>0</v>
      </c>
      <c r="AE1082" s="706">
        <v>0</v>
      </c>
      <c r="AF1082" s="706">
        <v>0</v>
      </c>
      <c r="AG1082" s="706">
        <v>0</v>
      </c>
      <c r="AH1082" s="706">
        <v>0</v>
      </c>
      <c r="AI1082" s="706">
        <v>0</v>
      </c>
    </row>
    <row r="1083" spans="1:52" ht="15" hidden="1" customHeight="1">
      <c r="A1083" s="706" t="s">
        <v>1148</v>
      </c>
      <c r="B1083" s="706">
        <v>2026</v>
      </c>
      <c r="C1083" s="706" t="s">
        <v>3046</v>
      </c>
      <c r="D1083" s="706" t="s">
        <v>3047</v>
      </c>
      <c r="E1083" s="706" t="s">
        <v>333</v>
      </c>
      <c r="F1083" s="706" t="s">
        <v>1149</v>
      </c>
      <c r="G1083" s="706">
        <v>0</v>
      </c>
      <c r="H1083" s="706">
        <v>0</v>
      </c>
      <c r="I1083" s="706">
        <v>0</v>
      </c>
      <c r="J1083" s="706">
        <v>0</v>
      </c>
      <c r="K1083" s="706">
        <v>0</v>
      </c>
      <c r="L1083" s="706">
        <v>0</v>
      </c>
      <c r="M1083" s="706">
        <v>0</v>
      </c>
      <c r="N1083" s="706">
        <v>0</v>
      </c>
      <c r="O1083" s="706">
        <v>0</v>
      </c>
      <c r="P1083" s="706">
        <v>0</v>
      </c>
      <c r="Q1083" s="706">
        <v>0</v>
      </c>
      <c r="R1083" s="706">
        <v>0</v>
      </c>
      <c r="S1083" s="706">
        <v>0</v>
      </c>
      <c r="T1083" s="706">
        <v>0</v>
      </c>
      <c r="U1083" s="706">
        <v>0</v>
      </c>
      <c r="V1083" s="706">
        <v>0</v>
      </c>
      <c r="W1083" s="706">
        <v>0</v>
      </c>
      <c r="X1083" s="706">
        <v>0</v>
      </c>
      <c r="Y1083" s="706">
        <v>0</v>
      </c>
      <c r="Z1083" s="706">
        <v>0</v>
      </c>
      <c r="AA1083" s="706">
        <v>0</v>
      </c>
      <c r="AB1083" s="706">
        <v>0</v>
      </c>
      <c r="AC1083" s="706">
        <v>0</v>
      </c>
      <c r="AD1083" s="706">
        <v>0</v>
      </c>
      <c r="AE1083" s="706">
        <v>0</v>
      </c>
      <c r="AF1083" s="706">
        <v>0</v>
      </c>
      <c r="AG1083" s="706">
        <v>0</v>
      </c>
      <c r="AH1083" s="706">
        <v>0</v>
      </c>
      <c r="AI1083" s="706">
        <v>0</v>
      </c>
    </row>
    <row r="1084" spans="1:52" ht="15" hidden="1" customHeight="1">
      <c r="A1084" s="706" t="s">
        <v>1148</v>
      </c>
      <c r="B1084" s="706">
        <v>2026</v>
      </c>
      <c r="C1084" s="706" t="s">
        <v>3048</v>
      </c>
      <c r="D1084" s="706" t="s">
        <v>3049</v>
      </c>
      <c r="E1084" s="706" t="s">
        <v>333</v>
      </c>
      <c r="F1084" s="706" t="s">
        <v>1152</v>
      </c>
      <c r="G1084" s="706">
        <v>0</v>
      </c>
      <c r="H1084" s="706">
        <v>0</v>
      </c>
      <c r="I1084" s="706">
        <v>0</v>
      </c>
      <c r="J1084" s="706">
        <v>0</v>
      </c>
      <c r="K1084" s="706">
        <v>0</v>
      </c>
      <c r="L1084" s="706">
        <v>0</v>
      </c>
      <c r="M1084" s="706">
        <v>0</v>
      </c>
      <c r="N1084" s="706">
        <v>0</v>
      </c>
      <c r="O1084" s="706">
        <v>0</v>
      </c>
      <c r="P1084" s="706">
        <v>0</v>
      </c>
      <c r="Q1084" s="706">
        <v>0</v>
      </c>
      <c r="R1084" s="706">
        <v>0</v>
      </c>
      <c r="S1084" s="706">
        <v>0</v>
      </c>
      <c r="T1084" s="706">
        <v>0</v>
      </c>
      <c r="U1084" s="706">
        <v>0</v>
      </c>
      <c r="V1084" s="706">
        <v>0</v>
      </c>
      <c r="W1084" s="706">
        <v>0</v>
      </c>
      <c r="X1084" s="706">
        <v>0</v>
      </c>
      <c r="Y1084" s="706">
        <v>0</v>
      </c>
      <c r="Z1084" s="706">
        <v>0</v>
      </c>
      <c r="AA1084" s="706">
        <v>0</v>
      </c>
      <c r="AB1084" s="706">
        <v>0</v>
      </c>
      <c r="AC1084" s="706">
        <v>0</v>
      </c>
      <c r="AD1084" s="706">
        <v>0</v>
      </c>
      <c r="AE1084" s="706">
        <v>0</v>
      </c>
      <c r="AF1084" s="706">
        <v>0</v>
      </c>
      <c r="AG1084" s="706">
        <v>0</v>
      </c>
      <c r="AH1084" s="706">
        <v>0</v>
      </c>
      <c r="AI1084" s="706">
        <v>0</v>
      </c>
    </row>
    <row r="1085" spans="1:52" ht="15" hidden="1" customHeight="1">
      <c r="A1085" s="706" t="s">
        <v>1148</v>
      </c>
      <c r="B1085" s="706">
        <v>2026</v>
      </c>
      <c r="C1085" s="706" t="s">
        <v>3050</v>
      </c>
      <c r="D1085" s="706" t="s">
        <v>3051</v>
      </c>
      <c r="E1085" s="706" t="s">
        <v>333</v>
      </c>
      <c r="F1085" s="706" t="s">
        <v>1150</v>
      </c>
      <c r="G1085" s="706">
        <v>0</v>
      </c>
      <c r="H1085" s="706">
        <v>0</v>
      </c>
      <c r="I1085" s="706">
        <v>0</v>
      </c>
      <c r="J1085" s="706">
        <v>0</v>
      </c>
      <c r="K1085" s="706">
        <v>0</v>
      </c>
      <c r="L1085" s="706">
        <v>0</v>
      </c>
      <c r="M1085" s="706">
        <v>0</v>
      </c>
      <c r="N1085" s="706">
        <v>0</v>
      </c>
      <c r="O1085" s="706">
        <v>0</v>
      </c>
      <c r="P1085" s="706">
        <v>0</v>
      </c>
      <c r="Q1085" s="706">
        <v>0</v>
      </c>
      <c r="R1085" s="706">
        <v>0</v>
      </c>
      <c r="S1085" s="706">
        <v>0</v>
      </c>
      <c r="T1085" s="706">
        <v>0</v>
      </c>
      <c r="U1085" s="706">
        <v>0</v>
      </c>
      <c r="V1085" s="706">
        <v>0</v>
      </c>
      <c r="W1085" s="706">
        <v>0</v>
      </c>
      <c r="X1085" s="706">
        <v>0</v>
      </c>
      <c r="Y1085" s="706">
        <v>0</v>
      </c>
      <c r="Z1085" s="706">
        <v>0</v>
      </c>
      <c r="AA1085" s="706">
        <v>0</v>
      </c>
      <c r="AB1085" s="706">
        <v>0</v>
      </c>
      <c r="AC1085" s="706">
        <v>0</v>
      </c>
      <c r="AD1085" s="706">
        <v>0</v>
      </c>
      <c r="AE1085" s="706">
        <v>0</v>
      </c>
      <c r="AF1085" s="706">
        <v>0</v>
      </c>
      <c r="AG1085" s="706">
        <v>0</v>
      </c>
      <c r="AH1085" s="706">
        <v>0</v>
      </c>
      <c r="AI1085" s="706">
        <v>0</v>
      </c>
    </row>
    <row r="1086" spans="1:52" ht="15" hidden="1" customHeight="1">
      <c r="A1086" s="706" t="s">
        <v>1148</v>
      </c>
      <c r="B1086" s="706">
        <v>2026</v>
      </c>
      <c r="C1086" s="706" t="s">
        <v>3052</v>
      </c>
      <c r="D1086" s="706" t="s">
        <v>3053</v>
      </c>
      <c r="E1086" s="706" t="s">
        <v>333</v>
      </c>
      <c r="F1086" s="706" t="s">
        <v>1150</v>
      </c>
      <c r="G1086" s="706">
        <v>0</v>
      </c>
      <c r="H1086" s="706">
        <v>0</v>
      </c>
      <c r="I1086" s="706">
        <v>0</v>
      </c>
      <c r="J1086" s="706">
        <v>0</v>
      </c>
      <c r="K1086" s="706">
        <v>0</v>
      </c>
      <c r="L1086" s="706">
        <v>0</v>
      </c>
      <c r="M1086" s="706">
        <v>0</v>
      </c>
      <c r="N1086" s="706">
        <v>0</v>
      </c>
      <c r="O1086" s="706">
        <v>0</v>
      </c>
      <c r="P1086" s="706">
        <v>0</v>
      </c>
      <c r="Q1086" s="706">
        <v>0</v>
      </c>
      <c r="R1086" s="706">
        <v>0</v>
      </c>
      <c r="S1086" s="706">
        <v>0</v>
      </c>
      <c r="T1086" s="706">
        <v>0</v>
      </c>
      <c r="U1086" s="706">
        <v>0</v>
      </c>
      <c r="V1086" s="706">
        <v>0</v>
      </c>
      <c r="W1086" s="706">
        <v>0</v>
      </c>
      <c r="X1086" s="706">
        <v>0</v>
      </c>
      <c r="Y1086" s="706">
        <v>0</v>
      </c>
      <c r="Z1086" s="706">
        <v>0</v>
      </c>
      <c r="AA1086" s="706">
        <v>0</v>
      </c>
      <c r="AB1086" s="706">
        <v>0</v>
      </c>
      <c r="AC1086" s="706">
        <v>0</v>
      </c>
      <c r="AD1086" s="706">
        <v>0</v>
      </c>
      <c r="AE1086" s="706">
        <v>0</v>
      </c>
      <c r="AF1086" s="706">
        <v>0</v>
      </c>
      <c r="AG1086" s="706">
        <v>0</v>
      </c>
      <c r="AH1086" s="706">
        <v>0</v>
      </c>
      <c r="AI1086" s="706">
        <v>0</v>
      </c>
    </row>
    <row r="1087" spans="1:52" ht="15" hidden="1" customHeight="1">
      <c r="A1087" s="706" t="s">
        <v>1148</v>
      </c>
      <c r="B1087" s="706">
        <v>2026</v>
      </c>
      <c r="C1087" s="706" t="s">
        <v>3054</v>
      </c>
      <c r="D1087" s="706" t="s">
        <v>3055</v>
      </c>
      <c r="E1087" s="706" t="s">
        <v>333</v>
      </c>
      <c r="F1087" s="706" t="s">
        <v>1104</v>
      </c>
      <c r="G1087" s="706">
        <v>0</v>
      </c>
      <c r="H1087" s="706">
        <v>0</v>
      </c>
      <c r="I1087" s="706">
        <v>0</v>
      </c>
      <c r="J1087" s="706">
        <v>0</v>
      </c>
      <c r="K1087" s="706">
        <v>0</v>
      </c>
      <c r="L1087" s="706">
        <v>0</v>
      </c>
      <c r="M1087" s="706">
        <v>0</v>
      </c>
      <c r="N1087" s="706">
        <v>0</v>
      </c>
      <c r="O1087" s="706">
        <v>0</v>
      </c>
      <c r="P1087" s="706">
        <v>0</v>
      </c>
      <c r="Q1087" s="706">
        <v>0</v>
      </c>
      <c r="R1087" s="706">
        <v>0</v>
      </c>
      <c r="S1087" s="706">
        <v>0</v>
      </c>
      <c r="T1087" s="706">
        <v>0</v>
      </c>
      <c r="U1087" s="706">
        <v>0</v>
      </c>
      <c r="V1087" s="706">
        <v>0</v>
      </c>
      <c r="W1087" s="706">
        <v>0</v>
      </c>
      <c r="X1087" s="706">
        <v>0</v>
      </c>
      <c r="Y1087" s="706">
        <v>0</v>
      </c>
      <c r="Z1087" s="706">
        <v>0</v>
      </c>
      <c r="AA1087" s="706">
        <v>0</v>
      </c>
      <c r="AB1087" s="706">
        <v>0</v>
      </c>
      <c r="AC1087" s="706">
        <v>0</v>
      </c>
      <c r="AD1087" s="706">
        <v>0</v>
      </c>
      <c r="AE1087" s="706">
        <v>0</v>
      </c>
      <c r="AF1087" s="706">
        <v>0</v>
      </c>
      <c r="AG1087" s="706">
        <v>0</v>
      </c>
      <c r="AH1087" s="706">
        <v>0</v>
      </c>
      <c r="AI1087" s="706">
        <v>0</v>
      </c>
    </row>
    <row r="1088" spans="1:52" ht="15" hidden="1" customHeight="1">
      <c r="A1088" s="706" t="s">
        <v>1148</v>
      </c>
      <c r="B1088" s="706">
        <v>2026</v>
      </c>
      <c r="C1088" s="706" t="s">
        <v>3056</v>
      </c>
      <c r="D1088" s="706" t="s">
        <v>3057</v>
      </c>
      <c r="E1088" s="706" t="s">
        <v>333</v>
      </c>
      <c r="F1088" s="706" t="s">
        <v>1104</v>
      </c>
      <c r="G1088" s="706">
        <v>0</v>
      </c>
      <c r="H1088" s="706">
        <v>0</v>
      </c>
      <c r="I1088" s="706">
        <v>0</v>
      </c>
      <c r="J1088" s="706">
        <v>0</v>
      </c>
      <c r="K1088" s="706">
        <v>0</v>
      </c>
      <c r="L1088" s="706">
        <v>0</v>
      </c>
      <c r="M1088" s="706">
        <v>0</v>
      </c>
      <c r="N1088" s="706">
        <v>0</v>
      </c>
      <c r="O1088" s="706">
        <v>0</v>
      </c>
      <c r="P1088" s="706">
        <v>0</v>
      </c>
      <c r="Q1088" s="706">
        <v>0</v>
      </c>
      <c r="R1088" s="706">
        <v>0</v>
      </c>
      <c r="S1088" s="706">
        <v>0</v>
      </c>
      <c r="T1088" s="706">
        <v>0</v>
      </c>
      <c r="U1088" s="706">
        <v>0</v>
      </c>
      <c r="V1088" s="706">
        <v>0</v>
      </c>
      <c r="W1088" s="706">
        <v>0</v>
      </c>
      <c r="X1088" s="706">
        <v>0</v>
      </c>
      <c r="Y1088" s="706">
        <v>0</v>
      </c>
      <c r="Z1088" s="706">
        <v>0</v>
      </c>
      <c r="AA1088" s="706">
        <v>0</v>
      </c>
      <c r="AB1088" s="706">
        <v>0</v>
      </c>
      <c r="AC1088" s="706">
        <v>0</v>
      </c>
      <c r="AD1088" s="706">
        <v>0</v>
      </c>
      <c r="AE1088" s="706">
        <v>0</v>
      </c>
      <c r="AF1088" s="706">
        <v>0</v>
      </c>
      <c r="AG1088" s="706">
        <v>0</v>
      </c>
      <c r="AH1088" s="706">
        <v>0</v>
      </c>
      <c r="AI1088" s="706">
        <v>0</v>
      </c>
    </row>
    <row r="1089" spans="1:42" ht="15" hidden="1" customHeight="1">
      <c r="A1089" s="706" t="s">
        <v>1148</v>
      </c>
      <c r="B1089" s="706">
        <v>2026</v>
      </c>
      <c r="C1089" s="706" t="s">
        <v>3058</v>
      </c>
      <c r="D1089" s="706" t="s">
        <v>3059</v>
      </c>
      <c r="E1089" s="706" t="s">
        <v>333</v>
      </c>
      <c r="F1089" s="706" t="s">
        <v>1104</v>
      </c>
      <c r="G1089" s="706">
        <v>0</v>
      </c>
      <c r="H1089" s="706">
        <v>0</v>
      </c>
      <c r="I1089" s="706">
        <v>0</v>
      </c>
      <c r="J1089" s="706">
        <v>0</v>
      </c>
      <c r="K1089" s="706">
        <v>0</v>
      </c>
      <c r="L1089" s="706">
        <v>0</v>
      </c>
      <c r="M1089" s="706">
        <v>0</v>
      </c>
      <c r="N1089" s="706">
        <v>0</v>
      </c>
      <c r="O1089" s="706">
        <v>0</v>
      </c>
      <c r="P1089" s="706">
        <v>0</v>
      </c>
      <c r="Q1089" s="706">
        <v>0</v>
      </c>
      <c r="R1089" s="706">
        <v>0</v>
      </c>
      <c r="S1089" s="706">
        <v>0</v>
      </c>
      <c r="T1089" s="706">
        <v>0</v>
      </c>
      <c r="U1089" s="706">
        <v>0</v>
      </c>
      <c r="V1089" s="706">
        <v>0</v>
      </c>
      <c r="W1089" s="706">
        <v>0</v>
      </c>
      <c r="X1089" s="706">
        <v>0</v>
      </c>
      <c r="Y1089" s="706">
        <v>0</v>
      </c>
      <c r="Z1089" s="706">
        <v>0</v>
      </c>
      <c r="AA1089" s="706">
        <v>0</v>
      </c>
      <c r="AB1089" s="706">
        <v>0</v>
      </c>
      <c r="AC1089" s="706">
        <v>0</v>
      </c>
      <c r="AD1089" s="706">
        <v>0</v>
      </c>
      <c r="AE1089" s="706">
        <v>0</v>
      </c>
      <c r="AF1089" s="706">
        <v>0</v>
      </c>
      <c r="AG1089" s="706">
        <v>0</v>
      </c>
      <c r="AH1089" s="706">
        <v>0</v>
      </c>
      <c r="AI1089" s="706">
        <v>0</v>
      </c>
      <c r="AP1089">
        <v>0</v>
      </c>
    </row>
    <row r="1090" spans="1:42" ht="15" hidden="1" customHeight="1">
      <c r="A1090" s="706" t="s">
        <v>1148</v>
      </c>
      <c r="B1090" s="706">
        <v>2026</v>
      </c>
      <c r="C1090" s="706" t="s">
        <v>3060</v>
      </c>
      <c r="D1090" s="706" t="s">
        <v>3059</v>
      </c>
      <c r="E1090" s="706" t="s">
        <v>333</v>
      </c>
      <c r="F1090" s="706" t="s">
        <v>1104</v>
      </c>
      <c r="G1090" s="706">
        <v>0</v>
      </c>
      <c r="H1090" s="706">
        <v>0</v>
      </c>
      <c r="I1090" s="706">
        <v>0</v>
      </c>
      <c r="J1090" s="706">
        <v>0</v>
      </c>
      <c r="K1090" s="706">
        <v>0</v>
      </c>
      <c r="L1090" s="706">
        <v>0</v>
      </c>
      <c r="M1090" s="706">
        <v>0</v>
      </c>
      <c r="N1090" s="706">
        <v>0</v>
      </c>
      <c r="O1090" s="706">
        <v>0</v>
      </c>
      <c r="P1090" s="706">
        <v>0</v>
      </c>
      <c r="Q1090" s="706">
        <v>0</v>
      </c>
      <c r="R1090" s="706">
        <v>0</v>
      </c>
      <c r="S1090" s="706">
        <v>0</v>
      </c>
      <c r="T1090" s="706">
        <v>0</v>
      </c>
      <c r="U1090" s="706">
        <v>0</v>
      </c>
      <c r="V1090" s="706">
        <v>0</v>
      </c>
      <c r="W1090" s="706">
        <v>0</v>
      </c>
      <c r="X1090" s="706">
        <v>0</v>
      </c>
      <c r="Y1090" s="706">
        <v>0</v>
      </c>
      <c r="Z1090" s="706">
        <v>0</v>
      </c>
      <c r="AA1090" s="706">
        <v>0</v>
      </c>
      <c r="AB1090" s="706">
        <v>0</v>
      </c>
      <c r="AC1090" s="706">
        <v>0</v>
      </c>
      <c r="AD1090" s="706">
        <v>0</v>
      </c>
      <c r="AE1090" s="706">
        <v>0</v>
      </c>
      <c r="AF1090" s="706">
        <v>0</v>
      </c>
      <c r="AG1090" s="706">
        <v>0</v>
      </c>
      <c r="AH1090" s="706">
        <v>0</v>
      </c>
      <c r="AI1090" s="706">
        <v>0</v>
      </c>
    </row>
    <row r="1091" spans="1:42" ht="15" hidden="1" customHeight="1">
      <c r="A1091" s="706" t="s">
        <v>1148</v>
      </c>
      <c r="B1091" s="706">
        <v>2026</v>
      </c>
      <c r="C1091" s="706" t="s">
        <v>3061</v>
      </c>
      <c r="D1091" s="706" t="s">
        <v>3062</v>
      </c>
      <c r="E1091" s="706" t="s">
        <v>333</v>
      </c>
      <c r="F1091" s="706" t="s">
        <v>1104</v>
      </c>
      <c r="G1091" s="706">
        <v>0</v>
      </c>
      <c r="H1091" s="706">
        <v>0</v>
      </c>
      <c r="I1091" s="706">
        <v>0</v>
      </c>
      <c r="J1091" s="706">
        <v>0</v>
      </c>
      <c r="K1091" s="706">
        <v>0</v>
      </c>
      <c r="L1091" s="706">
        <v>0</v>
      </c>
      <c r="M1091" s="706">
        <v>0</v>
      </c>
      <c r="N1091" s="706">
        <v>0</v>
      </c>
      <c r="O1091" s="706">
        <v>0</v>
      </c>
      <c r="P1091" s="706">
        <v>0</v>
      </c>
      <c r="Q1091" s="706">
        <v>0</v>
      </c>
      <c r="R1091" s="706">
        <v>0</v>
      </c>
      <c r="S1091" s="706">
        <v>0</v>
      </c>
      <c r="T1091" s="706">
        <v>0</v>
      </c>
      <c r="U1091" s="706">
        <v>0</v>
      </c>
      <c r="V1091" s="706">
        <v>0</v>
      </c>
      <c r="W1091" s="706">
        <v>0</v>
      </c>
      <c r="X1091" s="706">
        <v>0</v>
      </c>
      <c r="Y1091" s="706">
        <v>0</v>
      </c>
      <c r="Z1091" s="706">
        <v>0</v>
      </c>
      <c r="AA1091" s="706">
        <v>0</v>
      </c>
      <c r="AB1091" s="706">
        <v>0</v>
      </c>
      <c r="AC1091" s="706">
        <v>0</v>
      </c>
      <c r="AD1091" s="706">
        <v>0</v>
      </c>
      <c r="AE1091" s="706">
        <v>0</v>
      </c>
      <c r="AF1091" s="706">
        <v>0</v>
      </c>
      <c r="AG1091" s="706">
        <v>0</v>
      </c>
      <c r="AH1091" s="706">
        <v>0</v>
      </c>
      <c r="AI1091" s="706">
        <v>0</v>
      </c>
    </row>
    <row r="1092" spans="1:42" ht="15" hidden="1" customHeight="1">
      <c r="A1092" s="706" t="s">
        <v>1148</v>
      </c>
      <c r="B1092" s="706">
        <v>2026</v>
      </c>
      <c r="C1092" s="706" t="s">
        <v>3063</v>
      </c>
      <c r="D1092" s="706" t="s">
        <v>3064</v>
      </c>
      <c r="E1092" s="706" t="s">
        <v>333</v>
      </c>
      <c r="F1092" s="706" t="s">
        <v>1104</v>
      </c>
      <c r="G1092" s="706">
        <v>0</v>
      </c>
      <c r="H1092" s="706">
        <v>0</v>
      </c>
      <c r="I1092" s="706">
        <v>0</v>
      </c>
      <c r="J1092" s="706">
        <v>0</v>
      </c>
      <c r="K1092" s="706">
        <v>0</v>
      </c>
      <c r="L1092" s="706">
        <v>0</v>
      </c>
      <c r="M1092" s="706">
        <v>0</v>
      </c>
      <c r="N1092" s="706">
        <v>0</v>
      </c>
      <c r="O1092" s="706">
        <v>0</v>
      </c>
      <c r="P1092" s="706">
        <v>0</v>
      </c>
      <c r="Q1092" s="706">
        <v>0</v>
      </c>
      <c r="R1092" s="706">
        <v>0</v>
      </c>
      <c r="S1092" s="706">
        <v>0</v>
      </c>
      <c r="T1092" s="706">
        <v>0</v>
      </c>
      <c r="U1092" s="706">
        <v>0</v>
      </c>
      <c r="V1092" s="706">
        <v>0</v>
      </c>
      <c r="W1092" s="706">
        <v>0</v>
      </c>
      <c r="X1092" s="706">
        <v>0</v>
      </c>
      <c r="Y1092" s="706">
        <v>0</v>
      </c>
      <c r="Z1092" s="706">
        <v>0</v>
      </c>
      <c r="AA1092" s="706">
        <v>0</v>
      </c>
      <c r="AB1092" s="706">
        <v>0</v>
      </c>
      <c r="AC1092" s="706">
        <v>0</v>
      </c>
      <c r="AD1092" s="706">
        <v>0</v>
      </c>
      <c r="AE1092" s="706">
        <v>0</v>
      </c>
      <c r="AF1092" s="706">
        <v>0</v>
      </c>
      <c r="AG1092" s="706">
        <v>0</v>
      </c>
      <c r="AH1092" s="706">
        <v>0</v>
      </c>
      <c r="AI1092" s="706">
        <v>0</v>
      </c>
    </row>
    <row r="1093" spans="1:42" ht="15" hidden="1" customHeight="1">
      <c r="A1093" s="706" t="s">
        <v>1148</v>
      </c>
      <c r="B1093" s="706">
        <v>2026</v>
      </c>
      <c r="C1093" s="706" t="s">
        <v>3065</v>
      </c>
      <c r="D1093" s="706" t="s">
        <v>3066</v>
      </c>
      <c r="E1093" s="706" t="s">
        <v>333</v>
      </c>
      <c r="F1093" s="706" t="s">
        <v>1104</v>
      </c>
      <c r="G1093" s="706">
        <v>0</v>
      </c>
      <c r="H1093" s="706">
        <v>0</v>
      </c>
      <c r="I1093" s="706">
        <v>0</v>
      </c>
      <c r="J1093" s="706">
        <v>0</v>
      </c>
      <c r="K1093" s="706">
        <v>0</v>
      </c>
      <c r="L1093" s="706">
        <v>0</v>
      </c>
      <c r="M1093" s="706">
        <v>0</v>
      </c>
      <c r="N1093" s="706">
        <v>0</v>
      </c>
      <c r="O1093" s="706">
        <v>0</v>
      </c>
      <c r="P1093" s="706">
        <v>0</v>
      </c>
      <c r="Q1093" s="706">
        <v>0</v>
      </c>
      <c r="R1093" s="706">
        <v>0</v>
      </c>
      <c r="S1093" s="706">
        <v>0</v>
      </c>
      <c r="T1093" s="706">
        <v>0</v>
      </c>
      <c r="U1093" s="706">
        <v>0</v>
      </c>
      <c r="V1093" s="706">
        <v>0</v>
      </c>
      <c r="W1093" s="706">
        <v>0</v>
      </c>
      <c r="X1093" s="706">
        <v>0</v>
      </c>
      <c r="Y1093" s="706">
        <v>0</v>
      </c>
      <c r="Z1093" s="706">
        <v>0</v>
      </c>
      <c r="AA1093" s="706">
        <v>0</v>
      </c>
      <c r="AB1093" s="706">
        <v>0</v>
      </c>
      <c r="AC1093" s="706">
        <v>0</v>
      </c>
      <c r="AD1093" s="706">
        <v>0</v>
      </c>
      <c r="AE1093" s="706">
        <v>0</v>
      </c>
      <c r="AF1093" s="706">
        <v>0</v>
      </c>
      <c r="AG1093" s="706">
        <v>0</v>
      </c>
      <c r="AH1093" s="706">
        <v>0</v>
      </c>
      <c r="AI1093" s="706">
        <v>0</v>
      </c>
    </row>
    <row r="1094" spans="1:42" ht="15" hidden="1" customHeight="1">
      <c r="A1094" s="706" t="s">
        <v>1148</v>
      </c>
      <c r="B1094" s="706">
        <v>2026</v>
      </c>
      <c r="C1094" s="706" t="s">
        <v>3067</v>
      </c>
      <c r="D1094" s="706" t="s">
        <v>3068</v>
      </c>
      <c r="E1094" s="706" t="s">
        <v>333</v>
      </c>
      <c r="F1094" s="706" t="s">
        <v>1104</v>
      </c>
      <c r="G1094" s="706">
        <v>12958.69</v>
      </c>
      <c r="H1094" s="706">
        <v>21768.99</v>
      </c>
      <c r="I1094" s="706">
        <v>32787.4</v>
      </c>
      <c r="J1094" s="706">
        <v>57498.720000000001</v>
      </c>
      <c r="K1094" s="706">
        <v>68000.55</v>
      </c>
      <c r="L1094" s="706">
        <v>83684.160000000003</v>
      </c>
      <c r="M1094" s="706">
        <v>96110.74</v>
      </c>
      <c r="N1094" s="706">
        <v>105171.33</v>
      </c>
      <c r="O1094" s="706">
        <v>119647.58</v>
      </c>
      <c r="P1094" s="706">
        <v>121019.3</v>
      </c>
      <c r="Q1094" s="706">
        <v>0</v>
      </c>
      <c r="R1094" s="706">
        <v>0</v>
      </c>
      <c r="S1094" s="706">
        <v>13294.18</v>
      </c>
      <c r="T1094" s="706">
        <v>13294.18</v>
      </c>
      <c r="U1094" s="706">
        <v>0</v>
      </c>
      <c r="V1094" s="706">
        <v>0</v>
      </c>
      <c r="W1094" s="706">
        <v>0</v>
      </c>
      <c r="X1094" s="706">
        <v>0</v>
      </c>
      <c r="Y1094" s="706">
        <v>0</v>
      </c>
      <c r="Z1094" s="706">
        <v>0</v>
      </c>
      <c r="AA1094" s="706">
        <v>0</v>
      </c>
      <c r="AB1094" s="706">
        <v>0</v>
      </c>
      <c r="AC1094" s="706">
        <v>0</v>
      </c>
      <c r="AD1094" s="706">
        <v>0</v>
      </c>
      <c r="AE1094" s="706">
        <v>0</v>
      </c>
      <c r="AF1094" s="706">
        <v>0</v>
      </c>
      <c r="AG1094" s="706">
        <v>0</v>
      </c>
      <c r="AH1094" s="706">
        <v>0</v>
      </c>
      <c r="AI1094" s="706">
        <v>0</v>
      </c>
    </row>
    <row r="1095" spans="1:42" ht="15" hidden="1" customHeight="1">
      <c r="A1095" s="706" t="s">
        <v>1148</v>
      </c>
      <c r="B1095" s="706">
        <v>2026</v>
      </c>
      <c r="C1095" s="706" t="s">
        <v>3069</v>
      </c>
      <c r="D1095" s="706" t="s">
        <v>3070</v>
      </c>
      <c r="E1095" s="706" t="s">
        <v>333</v>
      </c>
      <c r="F1095" s="706" t="s">
        <v>1104</v>
      </c>
      <c r="G1095" s="706">
        <v>0</v>
      </c>
      <c r="H1095" s="706">
        <v>0</v>
      </c>
      <c r="I1095" s="706">
        <v>0</v>
      </c>
      <c r="J1095" s="706">
        <v>0</v>
      </c>
      <c r="K1095" s="706">
        <v>0</v>
      </c>
      <c r="L1095" s="706">
        <v>0</v>
      </c>
      <c r="M1095" s="706">
        <v>0</v>
      </c>
      <c r="N1095" s="706">
        <v>0</v>
      </c>
      <c r="O1095" s="706">
        <v>0</v>
      </c>
      <c r="P1095" s="706">
        <v>0</v>
      </c>
      <c r="Q1095" s="706">
        <v>0</v>
      </c>
      <c r="R1095" s="706">
        <v>0</v>
      </c>
      <c r="S1095" s="706">
        <v>0</v>
      </c>
      <c r="T1095" s="706">
        <v>0</v>
      </c>
      <c r="U1095" s="706">
        <v>0</v>
      </c>
      <c r="V1095" s="706">
        <v>0</v>
      </c>
      <c r="W1095" s="706">
        <v>0</v>
      </c>
      <c r="X1095" s="706">
        <v>0</v>
      </c>
      <c r="Y1095" s="706">
        <v>0</v>
      </c>
      <c r="Z1095" s="706">
        <v>0</v>
      </c>
      <c r="AA1095" s="706">
        <v>0</v>
      </c>
      <c r="AB1095" s="706">
        <v>0</v>
      </c>
      <c r="AC1095" s="706">
        <v>0</v>
      </c>
      <c r="AD1095" s="706">
        <v>0</v>
      </c>
      <c r="AE1095" s="706">
        <v>0</v>
      </c>
      <c r="AF1095" s="706">
        <v>0</v>
      </c>
      <c r="AG1095" s="706">
        <v>0</v>
      </c>
      <c r="AH1095" s="706">
        <v>0</v>
      </c>
      <c r="AI1095" s="706">
        <v>0</v>
      </c>
    </row>
    <row r="1096" spans="1:42" ht="15" hidden="1" customHeight="1">
      <c r="A1096" s="706" t="s">
        <v>1148</v>
      </c>
      <c r="B1096" s="706">
        <v>2026</v>
      </c>
      <c r="C1096" s="706" t="s">
        <v>3071</v>
      </c>
      <c r="D1096" s="706" t="s">
        <v>3072</v>
      </c>
      <c r="E1096" s="706" t="s">
        <v>333</v>
      </c>
      <c r="F1096" s="706" t="s">
        <v>1104</v>
      </c>
      <c r="G1096" s="706">
        <v>6574.65</v>
      </c>
      <c r="H1096" s="706">
        <v>9305.9500000000007</v>
      </c>
      <c r="I1096" s="706">
        <v>13960.22</v>
      </c>
      <c r="J1096" s="706">
        <v>21591.39</v>
      </c>
      <c r="K1096" s="706">
        <v>27429.56</v>
      </c>
      <c r="L1096" s="706">
        <v>31922.66</v>
      </c>
      <c r="M1096" s="706">
        <v>36714.019999999997</v>
      </c>
      <c r="N1096" s="706">
        <v>42473.25</v>
      </c>
      <c r="O1096" s="706">
        <v>45011.85</v>
      </c>
      <c r="P1096" s="706">
        <v>45011.85</v>
      </c>
      <c r="Q1096" s="706">
        <v>0</v>
      </c>
      <c r="R1096" s="706">
        <v>0</v>
      </c>
      <c r="S1096" s="706">
        <v>5001.32</v>
      </c>
      <c r="T1096" s="706">
        <v>5001.32</v>
      </c>
      <c r="U1096" s="706">
        <v>0</v>
      </c>
      <c r="V1096" s="706">
        <v>0</v>
      </c>
      <c r="W1096" s="706">
        <v>0</v>
      </c>
      <c r="X1096" s="706">
        <v>0</v>
      </c>
      <c r="Y1096" s="706">
        <v>0</v>
      </c>
      <c r="Z1096" s="706">
        <v>0</v>
      </c>
      <c r="AA1096" s="706">
        <v>0</v>
      </c>
      <c r="AB1096" s="706">
        <v>0</v>
      </c>
      <c r="AC1096" s="706">
        <v>0</v>
      </c>
      <c r="AD1096" s="706">
        <v>0</v>
      </c>
      <c r="AE1096" s="706">
        <v>0</v>
      </c>
      <c r="AF1096" s="706">
        <v>0</v>
      </c>
      <c r="AG1096" s="706">
        <v>0</v>
      </c>
      <c r="AH1096" s="706">
        <v>0</v>
      </c>
      <c r="AI1096" s="706">
        <v>0</v>
      </c>
    </row>
    <row r="1097" spans="1:42" ht="15" hidden="1" customHeight="1">
      <c r="A1097" s="706" t="s">
        <v>1148</v>
      </c>
      <c r="B1097" s="706">
        <v>2026</v>
      </c>
      <c r="C1097" s="706" t="s">
        <v>3073</v>
      </c>
      <c r="D1097" s="706" t="s">
        <v>3051</v>
      </c>
      <c r="E1097" s="706" t="s">
        <v>333</v>
      </c>
      <c r="F1097" s="706" t="s">
        <v>1104</v>
      </c>
      <c r="G1097" s="706">
        <v>0</v>
      </c>
      <c r="H1097" s="706">
        <v>0</v>
      </c>
      <c r="I1097" s="706">
        <v>0</v>
      </c>
      <c r="J1097" s="706">
        <v>0</v>
      </c>
      <c r="K1097" s="706">
        <v>0</v>
      </c>
      <c r="L1097" s="706">
        <v>0</v>
      </c>
      <c r="M1097" s="706">
        <v>0</v>
      </c>
      <c r="N1097" s="706">
        <v>0</v>
      </c>
      <c r="O1097" s="706">
        <v>0</v>
      </c>
      <c r="P1097" s="706">
        <v>0</v>
      </c>
      <c r="Q1097" s="706">
        <v>0</v>
      </c>
      <c r="R1097" s="706">
        <v>0</v>
      </c>
      <c r="S1097" s="706">
        <v>0</v>
      </c>
      <c r="T1097" s="706">
        <v>0</v>
      </c>
      <c r="U1097" s="706">
        <v>0</v>
      </c>
      <c r="V1097" s="706">
        <v>0</v>
      </c>
      <c r="W1097" s="706">
        <v>0</v>
      </c>
      <c r="X1097" s="706">
        <v>0</v>
      </c>
      <c r="Y1097" s="706">
        <v>0</v>
      </c>
      <c r="Z1097" s="706">
        <v>0</v>
      </c>
      <c r="AA1097" s="706">
        <v>0</v>
      </c>
      <c r="AB1097" s="706">
        <v>0</v>
      </c>
      <c r="AC1097" s="706">
        <v>0</v>
      </c>
      <c r="AD1097" s="706">
        <v>0</v>
      </c>
      <c r="AE1097" s="706">
        <v>0</v>
      </c>
      <c r="AF1097" s="706">
        <v>0</v>
      </c>
      <c r="AG1097" s="706">
        <v>0</v>
      </c>
      <c r="AH1097" s="706">
        <v>0</v>
      </c>
      <c r="AI1097" s="706">
        <v>0</v>
      </c>
    </row>
    <row r="1098" spans="1:42" ht="15" hidden="1" customHeight="1">
      <c r="A1098" s="706" t="s">
        <v>1148</v>
      </c>
      <c r="B1098" s="706">
        <v>2026</v>
      </c>
      <c r="C1098" s="706" t="s">
        <v>3074</v>
      </c>
      <c r="D1098" s="706" t="s">
        <v>3075</v>
      </c>
      <c r="E1098" s="706" t="s">
        <v>333</v>
      </c>
      <c r="F1098" s="706" t="s">
        <v>1104</v>
      </c>
      <c r="G1098" s="706">
        <v>0</v>
      </c>
      <c r="H1098" s="706">
        <v>0</v>
      </c>
      <c r="I1098" s="706">
        <v>0</v>
      </c>
      <c r="J1098" s="706">
        <v>0</v>
      </c>
      <c r="K1098" s="706">
        <v>0</v>
      </c>
      <c r="L1098" s="706">
        <v>0</v>
      </c>
      <c r="M1098" s="706">
        <v>0</v>
      </c>
      <c r="N1098" s="706">
        <v>0</v>
      </c>
      <c r="O1098" s="706">
        <v>0</v>
      </c>
      <c r="P1098" s="706">
        <v>0</v>
      </c>
      <c r="Q1098" s="706">
        <v>0</v>
      </c>
      <c r="R1098" s="706">
        <v>0</v>
      </c>
      <c r="S1098" s="706">
        <v>0</v>
      </c>
      <c r="T1098" s="706">
        <v>0</v>
      </c>
      <c r="U1098" s="706">
        <v>0</v>
      </c>
      <c r="V1098" s="706">
        <v>0</v>
      </c>
      <c r="W1098" s="706">
        <v>0</v>
      </c>
      <c r="X1098" s="706">
        <v>0</v>
      </c>
      <c r="Y1098" s="706">
        <v>0</v>
      </c>
      <c r="Z1098" s="706">
        <v>0</v>
      </c>
      <c r="AA1098" s="706">
        <v>0</v>
      </c>
      <c r="AB1098" s="706">
        <v>0</v>
      </c>
      <c r="AC1098" s="706">
        <v>0</v>
      </c>
      <c r="AD1098" s="706">
        <v>0</v>
      </c>
      <c r="AE1098" s="706">
        <v>0</v>
      </c>
      <c r="AF1098" s="706">
        <v>0</v>
      </c>
      <c r="AG1098" s="706">
        <v>0</v>
      </c>
      <c r="AH1098" s="706">
        <v>0</v>
      </c>
      <c r="AI1098" s="706">
        <v>0</v>
      </c>
    </row>
    <row r="1099" spans="1:42" ht="15" hidden="1" customHeight="1">
      <c r="A1099" s="706" t="s">
        <v>1148</v>
      </c>
      <c r="B1099" s="706">
        <v>2026</v>
      </c>
      <c r="C1099" s="706" t="s">
        <v>3076</v>
      </c>
      <c r="D1099" s="706" t="s">
        <v>1153</v>
      </c>
      <c r="E1099" s="706" t="s">
        <v>333</v>
      </c>
      <c r="F1099" s="706" t="s">
        <v>1150</v>
      </c>
      <c r="G1099" s="706">
        <v>0</v>
      </c>
      <c r="H1099" s="706">
        <v>0</v>
      </c>
      <c r="I1099" s="706">
        <v>0</v>
      </c>
      <c r="J1099" s="706">
        <v>0</v>
      </c>
      <c r="K1099" s="706">
        <v>0</v>
      </c>
      <c r="L1099" s="706">
        <v>0</v>
      </c>
      <c r="M1099" s="706">
        <v>0</v>
      </c>
      <c r="N1099" s="706">
        <v>0</v>
      </c>
      <c r="O1099" s="706">
        <v>0</v>
      </c>
      <c r="P1099" s="706">
        <v>0</v>
      </c>
      <c r="Q1099" s="706">
        <v>0</v>
      </c>
      <c r="R1099" s="706">
        <v>0</v>
      </c>
      <c r="S1099" s="706">
        <v>0</v>
      </c>
      <c r="T1099" s="706">
        <v>0</v>
      </c>
      <c r="U1099" s="706">
        <v>0</v>
      </c>
      <c r="V1099" s="706">
        <v>0</v>
      </c>
      <c r="W1099" s="706">
        <v>0</v>
      </c>
      <c r="X1099" s="706">
        <v>0</v>
      </c>
      <c r="Y1099" s="706">
        <v>0</v>
      </c>
      <c r="Z1099" s="706">
        <v>0</v>
      </c>
      <c r="AA1099" s="706">
        <v>0</v>
      </c>
      <c r="AB1099" s="706">
        <v>0</v>
      </c>
      <c r="AC1099" s="706">
        <v>0</v>
      </c>
      <c r="AD1099" s="706">
        <v>0</v>
      </c>
      <c r="AE1099" s="706">
        <v>0</v>
      </c>
      <c r="AF1099" s="706">
        <v>0</v>
      </c>
      <c r="AG1099" s="706">
        <v>0</v>
      </c>
      <c r="AH1099" s="706">
        <v>0</v>
      </c>
      <c r="AI1099" s="706">
        <v>0</v>
      </c>
    </row>
    <row r="1100" spans="1:42" ht="15" hidden="1" customHeight="1">
      <c r="A1100" s="706" t="s">
        <v>1148</v>
      </c>
      <c r="B1100" s="706">
        <v>2026</v>
      </c>
      <c r="C1100" s="706" t="s">
        <v>3077</v>
      </c>
      <c r="D1100" s="706" t="s">
        <v>3078</v>
      </c>
      <c r="E1100" s="706" t="s">
        <v>333</v>
      </c>
      <c r="F1100" s="706" t="s">
        <v>1150</v>
      </c>
      <c r="G1100" s="706">
        <v>0</v>
      </c>
      <c r="H1100" s="706">
        <v>0</v>
      </c>
      <c r="I1100" s="706">
        <v>0</v>
      </c>
      <c r="J1100" s="706">
        <v>0</v>
      </c>
      <c r="K1100" s="706">
        <v>0</v>
      </c>
      <c r="L1100" s="706">
        <v>0</v>
      </c>
      <c r="M1100" s="706">
        <v>0</v>
      </c>
      <c r="N1100" s="706">
        <v>0</v>
      </c>
      <c r="O1100" s="706">
        <v>0</v>
      </c>
      <c r="P1100" s="706">
        <v>0</v>
      </c>
      <c r="Q1100" s="706">
        <v>0</v>
      </c>
      <c r="R1100" s="706">
        <v>0</v>
      </c>
      <c r="S1100" s="706">
        <v>0</v>
      </c>
      <c r="T1100" s="706">
        <v>0</v>
      </c>
      <c r="U1100" s="706">
        <v>0</v>
      </c>
      <c r="V1100" s="706">
        <v>0</v>
      </c>
      <c r="W1100" s="706">
        <v>0</v>
      </c>
      <c r="X1100" s="706">
        <v>0</v>
      </c>
      <c r="Y1100" s="706">
        <v>0</v>
      </c>
      <c r="Z1100" s="706">
        <v>0</v>
      </c>
      <c r="AA1100" s="706">
        <v>0</v>
      </c>
      <c r="AB1100" s="706">
        <v>0</v>
      </c>
      <c r="AC1100" s="706">
        <v>0</v>
      </c>
      <c r="AD1100" s="706">
        <v>0</v>
      </c>
      <c r="AE1100" s="706">
        <v>0</v>
      </c>
      <c r="AF1100" s="706">
        <v>0</v>
      </c>
      <c r="AG1100" s="706">
        <v>0</v>
      </c>
      <c r="AH1100" s="706">
        <v>0</v>
      </c>
      <c r="AI1100" s="706">
        <v>0</v>
      </c>
    </row>
    <row r="1101" spans="1:42" ht="15" hidden="1" customHeight="1">
      <c r="A1101" s="706" t="s">
        <v>1148</v>
      </c>
      <c r="B1101" s="706">
        <v>2026</v>
      </c>
      <c r="C1101" s="706" t="s">
        <v>3079</v>
      </c>
      <c r="D1101" s="706" t="s">
        <v>3080</v>
      </c>
      <c r="E1101" s="706" t="s">
        <v>333</v>
      </c>
      <c r="F1101" s="706" t="s">
        <v>1150</v>
      </c>
      <c r="G1101" s="706">
        <v>0</v>
      </c>
      <c r="H1101" s="706">
        <v>0</v>
      </c>
      <c r="I1101" s="706">
        <v>0</v>
      </c>
      <c r="J1101" s="706">
        <v>0</v>
      </c>
      <c r="K1101" s="706">
        <v>0</v>
      </c>
      <c r="L1101" s="706">
        <v>0</v>
      </c>
      <c r="M1101" s="706">
        <v>0</v>
      </c>
      <c r="N1101" s="706">
        <v>0</v>
      </c>
      <c r="O1101" s="706">
        <v>0</v>
      </c>
      <c r="P1101" s="706">
        <v>0</v>
      </c>
      <c r="Q1101" s="706">
        <v>0</v>
      </c>
      <c r="R1101" s="706">
        <v>0</v>
      </c>
      <c r="S1101" s="706">
        <v>0</v>
      </c>
      <c r="T1101" s="706">
        <v>0</v>
      </c>
      <c r="U1101" s="706">
        <v>0</v>
      </c>
      <c r="V1101" s="706">
        <v>0</v>
      </c>
      <c r="W1101" s="706">
        <v>0</v>
      </c>
      <c r="X1101" s="706">
        <v>0</v>
      </c>
      <c r="Y1101" s="706">
        <v>0</v>
      </c>
      <c r="Z1101" s="706">
        <v>0</v>
      </c>
      <c r="AA1101" s="706">
        <v>0</v>
      </c>
      <c r="AB1101" s="706">
        <v>0</v>
      </c>
      <c r="AC1101" s="706">
        <v>0</v>
      </c>
      <c r="AD1101" s="706">
        <v>0</v>
      </c>
      <c r="AE1101" s="706">
        <v>0</v>
      </c>
      <c r="AF1101" s="706">
        <v>0</v>
      </c>
      <c r="AG1101" s="706">
        <v>0</v>
      </c>
      <c r="AH1101" s="706">
        <v>0</v>
      </c>
      <c r="AI1101" s="706">
        <v>0</v>
      </c>
    </row>
    <row r="1102" spans="1:42" ht="15" hidden="1" customHeight="1">
      <c r="A1102" s="706" t="s">
        <v>1148</v>
      </c>
      <c r="B1102" s="706">
        <v>2026</v>
      </c>
      <c r="C1102" s="706" t="s">
        <v>3081</v>
      </c>
      <c r="D1102" s="706" t="s">
        <v>3082</v>
      </c>
      <c r="E1102" s="706" t="s">
        <v>333</v>
      </c>
      <c r="F1102" s="706" t="s">
        <v>1150</v>
      </c>
      <c r="G1102" s="706">
        <v>0</v>
      </c>
      <c r="H1102" s="706">
        <v>0</v>
      </c>
      <c r="I1102" s="706">
        <v>0</v>
      </c>
      <c r="J1102" s="706">
        <v>0</v>
      </c>
      <c r="K1102" s="706">
        <v>0</v>
      </c>
      <c r="L1102" s="706">
        <v>0</v>
      </c>
      <c r="M1102" s="706">
        <v>0</v>
      </c>
      <c r="N1102" s="706">
        <v>0</v>
      </c>
      <c r="O1102" s="706">
        <v>0</v>
      </c>
      <c r="P1102" s="706">
        <v>0</v>
      </c>
      <c r="Q1102" s="706">
        <v>0</v>
      </c>
      <c r="R1102" s="706">
        <v>0</v>
      </c>
      <c r="S1102" s="706">
        <v>0</v>
      </c>
      <c r="T1102" s="706">
        <v>0</v>
      </c>
      <c r="U1102" s="706">
        <v>0</v>
      </c>
      <c r="V1102" s="706">
        <v>0</v>
      </c>
      <c r="W1102" s="706">
        <v>0</v>
      </c>
      <c r="X1102" s="706">
        <v>0</v>
      </c>
      <c r="Y1102" s="706">
        <v>0</v>
      </c>
      <c r="Z1102" s="706">
        <v>0</v>
      </c>
      <c r="AA1102" s="706">
        <v>0</v>
      </c>
      <c r="AB1102" s="706">
        <v>0</v>
      </c>
      <c r="AC1102" s="706">
        <v>0</v>
      </c>
      <c r="AD1102" s="706">
        <v>0</v>
      </c>
      <c r="AE1102" s="706">
        <v>0</v>
      </c>
      <c r="AF1102" s="706">
        <v>0</v>
      </c>
      <c r="AG1102" s="706">
        <v>0</v>
      </c>
      <c r="AH1102" s="706">
        <v>0</v>
      </c>
      <c r="AI1102" s="706">
        <v>0</v>
      </c>
    </row>
    <row r="1103" spans="1:42" ht="15" hidden="1" customHeight="1">
      <c r="A1103" s="706" t="s">
        <v>1148</v>
      </c>
      <c r="B1103" s="706">
        <v>2026</v>
      </c>
      <c r="C1103" s="706" t="s">
        <v>3083</v>
      </c>
      <c r="D1103" s="706" t="s">
        <v>3082</v>
      </c>
      <c r="E1103" s="706" t="s">
        <v>333</v>
      </c>
      <c r="F1103" s="706" t="s">
        <v>1150</v>
      </c>
      <c r="G1103" s="706">
        <v>2822.27</v>
      </c>
      <c r="H1103" s="706">
        <v>17220.16</v>
      </c>
      <c r="I1103" s="706">
        <v>42749.61</v>
      </c>
      <c r="J1103" s="706">
        <v>65183.51</v>
      </c>
      <c r="K1103" s="706">
        <v>26545.14</v>
      </c>
      <c r="L1103" s="706">
        <v>31155.05</v>
      </c>
      <c r="M1103" s="706">
        <v>42868.43</v>
      </c>
      <c r="N1103" s="706">
        <v>47093.88</v>
      </c>
      <c r="O1103" s="706">
        <v>56040.74</v>
      </c>
      <c r="P1103" s="706">
        <v>65825.38</v>
      </c>
      <c r="Q1103" s="706">
        <v>0</v>
      </c>
      <c r="R1103" s="706">
        <v>0</v>
      </c>
      <c r="S1103" s="706">
        <v>6226.75</v>
      </c>
      <c r="T1103" s="706">
        <v>6226.75</v>
      </c>
      <c r="U1103" s="706">
        <v>0</v>
      </c>
      <c r="V1103" s="706">
        <v>-1</v>
      </c>
      <c r="W1103" s="706">
        <v>-2</v>
      </c>
      <c r="X1103" s="706">
        <v>-12</v>
      </c>
      <c r="Y1103" s="706">
        <v>-20</v>
      </c>
      <c r="Z1103" s="706">
        <v>-25</v>
      </c>
      <c r="AA1103" s="706">
        <v>-34</v>
      </c>
      <c r="AB1103" s="706">
        <v>-48</v>
      </c>
      <c r="AC1103" s="706">
        <v>-49</v>
      </c>
      <c r="AD1103" s="706">
        <v>-54</v>
      </c>
      <c r="AE1103" s="706">
        <v>-54</v>
      </c>
      <c r="AF1103" s="706">
        <v>0</v>
      </c>
      <c r="AG1103" s="706">
        <v>0</v>
      </c>
      <c r="AH1103" s="706">
        <v>-6</v>
      </c>
      <c r="AI1103" s="706">
        <v>-6</v>
      </c>
    </row>
    <row r="1104" spans="1:42" ht="15" hidden="1" customHeight="1">
      <c r="A1104" s="706" t="s">
        <v>1148</v>
      </c>
      <c r="B1104" s="706">
        <v>2026</v>
      </c>
      <c r="C1104" s="706" t="s">
        <v>3410</v>
      </c>
      <c r="D1104" s="706" t="s">
        <v>3411</v>
      </c>
      <c r="E1104" s="706" t="s">
        <v>333</v>
      </c>
      <c r="F1104" s="706" t="s">
        <v>1150</v>
      </c>
      <c r="G1104" s="706">
        <v>0</v>
      </c>
      <c r="H1104" s="706">
        <v>0</v>
      </c>
      <c r="I1104" s="706">
        <v>0</v>
      </c>
      <c r="J1104" s="706">
        <v>0</v>
      </c>
      <c r="K1104" s="706">
        <v>0</v>
      </c>
      <c r="L1104" s="706">
        <v>0</v>
      </c>
      <c r="M1104" s="706">
        <v>0</v>
      </c>
      <c r="N1104" s="706">
        <v>0</v>
      </c>
      <c r="O1104" s="706">
        <v>0</v>
      </c>
      <c r="P1104" s="706">
        <v>0</v>
      </c>
      <c r="Q1104" s="706">
        <v>0</v>
      </c>
      <c r="R1104" s="706">
        <v>0</v>
      </c>
      <c r="S1104" s="706">
        <v>0</v>
      </c>
      <c r="T1104" s="706">
        <v>0</v>
      </c>
      <c r="U1104" s="706">
        <v>0</v>
      </c>
      <c r="V1104" s="706">
        <v>0</v>
      </c>
      <c r="W1104" s="706">
        <v>0</v>
      </c>
      <c r="X1104" s="706">
        <v>0</v>
      </c>
      <c r="Y1104" s="706">
        <v>0</v>
      </c>
      <c r="Z1104" s="706">
        <v>0</v>
      </c>
      <c r="AA1104" s="706">
        <v>0</v>
      </c>
      <c r="AB1104" s="706">
        <v>0</v>
      </c>
      <c r="AC1104" s="706">
        <v>0</v>
      </c>
      <c r="AD1104" s="706">
        <v>0</v>
      </c>
      <c r="AE1104" s="706">
        <v>0</v>
      </c>
      <c r="AF1104" s="706">
        <v>0</v>
      </c>
      <c r="AG1104" s="706">
        <v>0</v>
      </c>
      <c r="AH1104" s="706">
        <v>0</v>
      </c>
      <c r="AI1104" s="706">
        <v>0</v>
      </c>
    </row>
    <row r="1105" spans="1:35" ht="15" hidden="1" customHeight="1">
      <c r="A1105" s="706" t="s">
        <v>1148</v>
      </c>
      <c r="B1105" s="706">
        <v>2026</v>
      </c>
      <c r="C1105" s="706" t="s">
        <v>3148</v>
      </c>
      <c r="D1105" s="706" t="s">
        <v>3149</v>
      </c>
      <c r="E1105" s="706" t="s">
        <v>333</v>
      </c>
      <c r="F1105" s="706" t="s">
        <v>1150</v>
      </c>
      <c r="G1105" s="706">
        <v>0</v>
      </c>
      <c r="H1105" s="706">
        <v>0</v>
      </c>
      <c r="I1105" s="706">
        <v>0</v>
      </c>
      <c r="J1105" s="706">
        <v>0</v>
      </c>
      <c r="K1105" s="706">
        <v>41353.94</v>
      </c>
      <c r="L1105" s="706">
        <v>55228.639999999999</v>
      </c>
      <c r="M1105" s="706">
        <v>66487.56</v>
      </c>
      <c r="N1105" s="706">
        <v>76787.350000000006</v>
      </c>
      <c r="O1105" s="706">
        <v>86351.21</v>
      </c>
      <c r="P1105" s="706">
        <v>86351.21</v>
      </c>
      <c r="Q1105" s="706">
        <v>0</v>
      </c>
      <c r="R1105" s="706">
        <v>0</v>
      </c>
      <c r="S1105" s="706">
        <v>9594.58</v>
      </c>
      <c r="T1105" s="706">
        <v>9594.58</v>
      </c>
      <c r="U1105" s="706">
        <v>0</v>
      </c>
      <c r="V1105" s="706">
        <v>0</v>
      </c>
      <c r="W1105" s="706">
        <v>0</v>
      </c>
      <c r="X1105" s="706">
        <v>0</v>
      </c>
      <c r="Y1105" s="706">
        <v>0</v>
      </c>
      <c r="Z1105" s="706">
        <v>3</v>
      </c>
      <c r="AA1105" s="706">
        <v>4</v>
      </c>
      <c r="AB1105" s="706">
        <v>5</v>
      </c>
      <c r="AC1105" s="706">
        <v>6</v>
      </c>
      <c r="AD1105" s="706">
        <v>7</v>
      </c>
      <c r="AE1105" s="706">
        <v>7</v>
      </c>
      <c r="AF1105" s="706">
        <v>0</v>
      </c>
      <c r="AG1105" s="706">
        <v>0</v>
      </c>
      <c r="AH1105" s="706">
        <v>1</v>
      </c>
      <c r="AI1105" s="706">
        <v>1</v>
      </c>
    </row>
    <row r="1106" spans="1:35" ht="15" hidden="1" customHeight="1">
      <c r="A1106" s="706" t="s">
        <v>1148</v>
      </c>
      <c r="B1106" s="706">
        <v>2026</v>
      </c>
      <c r="C1106" s="706" t="s">
        <v>3150</v>
      </c>
      <c r="D1106" s="706" t="s">
        <v>3151</v>
      </c>
      <c r="E1106" s="706" t="s">
        <v>333</v>
      </c>
      <c r="F1106" s="706" t="s">
        <v>1150</v>
      </c>
      <c r="G1106" s="706">
        <v>0</v>
      </c>
      <c r="H1106" s="706">
        <v>0</v>
      </c>
      <c r="I1106" s="706">
        <v>0</v>
      </c>
      <c r="J1106" s="706">
        <v>0</v>
      </c>
      <c r="K1106" s="706">
        <v>27569.29</v>
      </c>
      <c r="L1106" s="706">
        <v>34506.639999999999</v>
      </c>
      <c r="M1106" s="706">
        <v>35329.78</v>
      </c>
      <c r="N1106" s="706">
        <v>36949.339999999997</v>
      </c>
      <c r="O1106" s="706">
        <v>38095.230000000003</v>
      </c>
      <c r="P1106" s="706">
        <v>38095.230000000003</v>
      </c>
      <c r="Q1106" s="706">
        <v>0</v>
      </c>
      <c r="R1106" s="706">
        <v>0</v>
      </c>
      <c r="S1106" s="706">
        <v>4232.8</v>
      </c>
      <c r="T1106" s="706">
        <v>4232.8</v>
      </c>
      <c r="U1106" s="706">
        <v>0</v>
      </c>
      <c r="V1106" s="706">
        <v>0</v>
      </c>
      <c r="W1106" s="706">
        <v>0</v>
      </c>
      <c r="X1106" s="706">
        <v>0</v>
      </c>
      <c r="Y1106" s="706">
        <v>0</v>
      </c>
      <c r="Z1106" s="706">
        <v>3</v>
      </c>
      <c r="AA1106" s="706">
        <v>4</v>
      </c>
      <c r="AB1106" s="706">
        <v>5</v>
      </c>
      <c r="AC1106" s="706">
        <v>6</v>
      </c>
      <c r="AD1106" s="706">
        <v>7</v>
      </c>
      <c r="AE1106" s="706">
        <v>7</v>
      </c>
      <c r="AF1106" s="706">
        <v>0</v>
      </c>
      <c r="AG1106" s="706">
        <v>0</v>
      </c>
      <c r="AH1106" s="706">
        <v>1</v>
      </c>
      <c r="AI1106" s="706">
        <v>1</v>
      </c>
    </row>
    <row r="1107" spans="1:35" ht="15" hidden="1" customHeight="1">
      <c r="A1107" s="706" t="s">
        <v>1148</v>
      </c>
      <c r="B1107" s="706">
        <v>2026</v>
      </c>
      <c r="C1107" s="706" t="s">
        <v>3412</v>
      </c>
      <c r="D1107" s="706" t="s">
        <v>3413</v>
      </c>
      <c r="E1107" s="706" t="s">
        <v>333</v>
      </c>
      <c r="F1107" s="706" t="s">
        <v>1150</v>
      </c>
      <c r="G1107" s="706">
        <v>0</v>
      </c>
      <c r="H1107" s="706">
        <v>0</v>
      </c>
      <c r="I1107" s="706">
        <v>0</v>
      </c>
      <c r="J1107" s="706">
        <v>0</v>
      </c>
      <c r="K1107" s="706">
        <v>0</v>
      </c>
      <c r="L1107" s="706">
        <v>0</v>
      </c>
      <c r="M1107" s="706">
        <v>4744.12</v>
      </c>
      <c r="N1107" s="706">
        <v>6676.04</v>
      </c>
      <c r="O1107" s="706">
        <v>7502.89</v>
      </c>
      <c r="P1107" s="706">
        <v>7502.89</v>
      </c>
      <c r="Q1107" s="706">
        <v>0</v>
      </c>
      <c r="R1107" s="706">
        <v>0</v>
      </c>
      <c r="S1107" s="706">
        <v>833.65</v>
      </c>
      <c r="T1107" s="706">
        <v>833.65</v>
      </c>
      <c r="U1107" s="706">
        <v>0</v>
      </c>
      <c r="V1107" s="706">
        <v>0</v>
      </c>
      <c r="W1107" s="706">
        <v>0</v>
      </c>
      <c r="X1107" s="706">
        <v>0</v>
      </c>
      <c r="Y1107" s="706">
        <v>0</v>
      </c>
      <c r="Z1107" s="706">
        <v>0</v>
      </c>
      <c r="AA1107" s="706">
        <v>0</v>
      </c>
      <c r="AB1107" s="706">
        <v>1</v>
      </c>
      <c r="AC1107" s="706">
        <v>2</v>
      </c>
      <c r="AD1107" s="706">
        <v>2</v>
      </c>
      <c r="AE1107" s="706">
        <v>2</v>
      </c>
      <c r="AF1107" s="706">
        <v>0</v>
      </c>
      <c r="AG1107" s="706">
        <v>0</v>
      </c>
      <c r="AH1107" s="706">
        <v>0</v>
      </c>
      <c r="AI1107" s="706">
        <v>0</v>
      </c>
    </row>
    <row r="1108" spans="1:35" ht="15" hidden="1" customHeight="1">
      <c r="A1108" s="706" t="s">
        <v>1148</v>
      </c>
      <c r="B1108" s="706">
        <v>2026</v>
      </c>
      <c r="C1108" s="706" t="s">
        <v>3084</v>
      </c>
      <c r="D1108" s="706" t="s">
        <v>3085</v>
      </c>
      <c r="E1108" s="706" t="s">
        <v>333</v>
      </c>
      <c r="F1108" s="706" t="s">
        <v>1150</v>
      </c>
      <c r="G1108" s="706">
        <v>0</v>
      </c>
      <c r="H1108" s="706">
        <v>0</v>
      </c>
      <c r="I1108" s="706">
        <v>37199.85</v>
      </c>
      <c r="J1108" s="706">
        <v>50434.879999999997</v>
      </c>
      <c r="K1108" s="706">
        <v>63583.76</v>
      </c>
      <c r="L1108" s="706">
        <v>76646.100000000006</v>
      </c>
      <c r="M1108" s="706">
        <v>89621.54</v>
      </c>
      <c r="N1108" s="706">
        <v>102509.7</v>
      </c>
      <c r="O1108" s="706">
        <v>115310.2</v>
      </c>
      <c r="P1108" s="706">
        <v>115310.2</v>
      </c>
      <c r="Q1108" s="706">
        <v>0</v>
      </c>
      <c r="R1108" s="706">
        <v>0</v>
      </c>
      <c r="S1108" s="706">
        <v>12812.24</v>
      </c>
      <c r="T1108" s="706">
        <v>12812.24</v>
      </c>
      <c r="U1108" s="706">
        <v>0</v>
      </c>
      <c r="V1108" s="706">
        <v>0</v>
      </c>
      <c r="W1108" s="706">
        <v>0</v>
      </c>
      <c r="X1108" s="706">
        <v>2</v>
      </c>
      <c r="Y1108" s="706">
        <v>4</v>
      </c>
      <c r="Z1108" s="706">
        <v>6</v>
      </c>
      <c r="AA1108" s="706">
        <v>8</v>
      </c>
      <c r="AB1108" s="706">
        <v>10</v>
      </c>
      <c r="AC1108" s="706">
        <v>12</v>
      </c>
      <c r="AD1108" s="706">
        <v>14</v>
      </c>
      <c r="AE1108" s="706">
        <v>14</v>
      </c>
      <c r="AF1108" s="706">
        <v>0</v>
      </c>
      <c r="AG1108" s="706">
        <v>0</v>
      </c>
      <c r="AH1108" s="706">
        <v>2</v>
      </c>
      <c r="AI1108" s="706">
        <v>2</v>
      </c>
    </row>
    <row r="1109" spans="1:35" ht="15" hidden="1" customHeight="1">
      <c r="A1109" s="706" t="s">
        <v>1148</v>
      </c>
      <c r="B1109" s="706">
        <v>2026</v>
      </c>
      <c r="C1109" s="706" t="s">
        <v>3086</v>
      </c>
      <c r="D1109" s="706" t="s">
        <v>3087</v>
      </c>
      <c r="E1109" s="706" t="s">
        <v>333</v>
      </c>
      <c r="F1109" s="706" t="s">
        <v>1150</v>
      </c>
      <c r="G1109" s="706">
        <v>0</v>
      </c>
      <c r="H1109" s="706">
        <v>0</v>
      </c>
      <c r="I1109" s="706">
        <v>0</v>
      </c>
      <c r="J1109" s="706">
        <v>810.96</v>
      </c>
      <c r="K1109" s="706">
        <v>3953.43</v>
      </c>
      <c r="L1109" s="706">
        <v>5930.14</v>
      </c>
      <c r="M1109" s="706">
        <v>5980.82</v>
      </c>
      <c r="N1109" s="706">
        <v>5980.82</v>
      </c>
      <c r="O1109" s="706">
        <v>5980.82</v>
      </c>
      <c r="P1109" s="706">
        <v>5980.82</v>
      </c>
      <c r="Q1109" s="706">
        <v>0</v>
      </c>
      <c r="R1109" s="706">
        <v>0</v>
      </c>
      <c r="S1109" s="706">
        <v>664.54</v>
      </c>
      <c r="T1109" s="706">
        <v>664.54</v>
      </c>
      <c r="U1109" s="706">
        <v>0</v>
      </c>
      <c r="V1109" s="706">
        <v>0</v>
      </c>
      <c r="W1109" s="706">
        <v>0</v>
      </c>
      <c r="X1109" s="706">
        <v>0</v>
      </c>
      <c r="Y1109" s="706">
        <v>1</v>
      </c>
      <c r="Z1109" s="706">
        <v>2</v>
      </c>
      <c r="AA1109" s="706">
        <v>3</v>
      </c>
      <c r="AB1109" s="706">
        <v>4</v>
      </c>
      <c r="AC1109" s="706">
        <v>4</v>
      </c>
      <c r="AD1109" s="706">
        <v>4</v>
      </c>
      <c r="AE1109" s="706">
        <v>4</v>
      </c>
      <c r="AF1109" s="706">
        <v>0</v>
      </c>
      <c r="AG1109" s="706">
        <v>0</v>
      </c>
      <c r="AH1109" s="706">
        <v>0</v>
      </c>
      <c r="AI1109" s="706">
        <v>0</v>
      </c>
    </row>
    <row r="1110" spans="1:35" ht="15" hidden="1" customHeight="1">
      <c r="A1110" s="706" t="s">
        <v>1148</v>
      </c>
      <c r="B1110" s="706">
        <v>2026</v>
      </c>
      <c r="C1110" s="706" t="s">
        <v>3444</v>
      </c>
      <c r="D1110" s="706" t="s">
        <v>3445</v>
      </c>
      <c r="E1110" s="706" t="s">
        <v>333</v>
      </c>
      <c r="F1110" s="706" t="s">
        <v>1150</v>
      </c>
      <c r="G1110" s="706">
        <v>0</v>
      </c>
      <c r="H1110" s="706">
        <v>0</v>
      </c>
      <c r="I1110" s="706">
        <v>0</v>
      </c>
      <c r="J1110" s="706">
        <v>0</v>
      </c>
      <c r="K1110" s="706">
        <v>0</v>
      </c>
      <c r="L1110" s="706">
        <v>0</v>
      </c>
      <c r="M1110" s="706">
        <v>0</v>
      </c>
      <c r="N1110" s="706">
        <v>0</v>
      </c>
      <c r="O1110" s="706">
        <v>178.07</v>
      </c>
      <c r="P1110" s="706">
        <v>178.07</v>
      </c>
      <c r="Q1110" s="706">
        <v>0</v>
      </c>
      <c r="R1110" s="706">
        <v>0</v>
      </c>
      <c r="S1110" s="706">
        <v>19.79</v>
      </c>
      <c r="T1110" s="706">
        <v>19.79</v>
      </c>
      <c r="U1110" s="706">
        <v>0</v>
      </c>
      <c r="V1110" s="706">
        <v>0</v>
      </c>
      <c r="W1110" s="706">
        <v>0</v>
      </c>
      <c r="X1110" s="706">
        <v>0</v>
      </c>
      <c r="Y1110" s="706">
        <v>0</v>
      </c>
      <c r="Z1110" s="706">
        <v>0</v>
      </c>
      <c r="AA1110" s="706">
        <v>0</v>
      </c>
      <c r="AB1110" s="706">
        <v>0</v>
      </c>
      <c r="AC1110" s="706">
        <v>0</v>
      </c>
      <c r="AD1110" s="706">
        <v>2</v>
      </c>
      <c r="AE1110" s="706">
        <v>2</v>
      </c>
      <c r="AF1110" s="706">
        <v>0</v>
      </c>
      <c r="AG1110" s="706">
        <v>0</v>
      </c>
      <c r="AH1110" s="706">
        <v>0</v>
      </c>
      <c r="AI1110" s="706">
        <v>0</v>
      </c>
    </row>
    <row r="1111" spans="1:35" ht="15" hidden="1" customHeight="1">
      <c r="A1111" s="706" t="s">
        <v>1148</v>
      </c>
      <c r="B1111" s="706">
        <v>2026</v>
      </c>
      <c r="C1111" s="706" t="s">
        <v>3088</v>
      </c>
      <c r="D1111" s="706" t="s">
        <v>3089</v>
      </c>
      <c r="E1111" s="706" t="s">
        <v>333</v>
      </c>
      <c r="F1111" s="706" t="s">
        <v>1150</v>
      </c>
      <c r="G1111" s="706">
        <v>31433.86</v>
      </c>
      <c r="H1111" s="706">
        <v>29413.86</v>
      </c>
      <c r="I1111" s="706">
        <v>29146.86</v>
      </c>
      <c r="J1111" s="706">
        <v>37628.720000000001</v>
      </c>
      <c r="K1111" s="706">
        <v>69120.7</v>
      </c>
      <c r="L1111" s="706">
        <v>93472.23</v>
      </c>
      <c r="M1111" s="706">
        <v>96266.62</v>
      </c>
      <c r="N1111" s="706">
        <v>131508.06</v>
      </c>
      <c r="O1111" s="706">
        <v>176893.77</v>
      </c>
      <c r="P1111" s="706">
        <v>176893.77</v>
      </c>
      <c r="Q1111" s="706">
        <v>0</v>
      </c>
      <c r="R1111" s="706">
        <v>0</v>
      </c>
      <c r="S1111" s="706">
        <v>19654.86</v>
      </c>
      <c r="T1111" s="706">
        <v>19654.86</v>
      </c>
      <c r="U1111" s="706">
        <v>0</v>
      </c>
      <c r="V1111" s="706">
        <v>3</v>
      </c>
      <c r="W1111" s="706">
        <v>1</v>
      </c>
      <c r="X1111" s="706">
        <v>0</v>
      </c>
      <c r="Y1111" s="706">
        <v>1</v>
      </c>
      <c r="Z1111" s="706">
        <v>7</v>
      </c>
      <c r="AA1111" s="706">
        <v>25</v>
      </c>
      <c r="AB1111" s="706">
        <v>33</v>
      </c>
      <c r="AC1111" s="706">
        <v>40</v>
      </c>
      <c r="AD1111" s="706">
        <v>59</v>
      </c>
      <c r="AE1111" s="706">
        <v>59</v>
      </c>
      <c r="AF1111" s="706">
        <v>0</v>
      </c>
      <c r="AG1111" s="706">
        <v>0</v>
      </c>
      <c r="AH1111" s="706">
        <v>7</v>
      </c>
      <c r="AI1111" s="706">
        <v>7</v>
      </c>
    </row>
    <row r="1112" spans="1:35" ht="15" hidden="1" customHeight="1">
      <c r="A1112" s="706" t="s">
        <v>1148</v>
      </c>
      <c r="B1112" s="706">
        <v>2026</v>
      </c>
      <c r="C1112" s="706" t="s">
        <v>3090</v>
      </c>
      <c r="D1112" s="706" t="s">
        <v>3091</v>
      </c>
      <c r="E1112" s="706" t="s">
        <v>333</v>
      </c>
      <c r="F1112" s="706" t="s">
        <v>1104</v>
      </c>
      <c r="G1112" s="706">
        <v>0</v>
      </c>
      <c r="H1112" s="706">
        <v>0</v>
      </c>
      <c r="I1112" s="706">
        <v>0</v>
      </c>
      <c r="J1112" s="706">
        <v>0</v>
      </c>
      <c r="K1112" s="706">
        <v>0</v>
      </c>
      <c r="L1112" s="706">
        <v>0</v>
      </c>
      <c r="M1112" s="706">
        <v>0</v>
      </c>
      <c r="N1112" s="706">
        <v>0</v>
      </c>
      <c r="O1112" s="706">
        <v>0</v>
      </c>
      <c r="P1112" s="706">
        <v>0</v>
      </c>
      <c r="Q1112" s="706">
        <v>0</v>
      </c>
      <c r="R1112" s="706">
        <v>0</v>
      </c>
      <c r="S1112" s="706">
        <v>0</v>
      </c>
      <c r="T1112" s="706">
        <v>0</v>
      </c>
      <c r="U1112" s="706">
        <v>0</v>
      </c>
      <c r="V1112" s="706">
        <v>0</v>
      </c>
      <c r="W1112" s="706">
        <v>0</v>
      </c>
      <c r="X1112" s="706">
        <v>0</v>
      </c>
      <c r="Y1112" s="706">
        <v>0</v>
      </c>
      <c r="Z1112" s="706">
        <v>0</v>
      </c>
      <c r="AA1112" s="706">
        <v>0</v>
      </c>
      <c r="AB1112" s="706">
        <v>0</v>
      </c>
      <c r="AC1112" s="706">
        <v>0</v>
      </c>
      <c r="AD1112" s="706">
        <v>0</v>
      </c>
      <c r="AE1112" s="706">
        <v>0</v>
      </c>
      <c r="AF1112" s="706">
        <v>0</v>
      </c>
      <c r="AG1112" s="706">
        <v>0</v>
      </c>
      <c r="AH1112" s="706">
        <v>0</v>
      </c>
      <c r="AI1112" s="706">
        <v>0</v>
      </c>
    </row>
    <row r="1113" spans="1:35" ht="15" hidden="1" customHeight="1">
      <c r="A1113" s="706" t="s">
        <v>1148</v>
      </c>
      <c r="B1113" s="706">
        <v>2026</v>
      </c>
      <c r="C1113" s="706" t="s">
        <v>3092</v>
      </c>
      <c r="D1113" s="706" t="s">
        <v>3093</v>
      </c>
      <c r="E1113" s="706" t="s">
        <v>333</v>
      </c>
      <c r="F1113" s="706" t="s">
        <v>1104</v>
      </c>
      <c r="G1113" s="706">
        <v>0</v>
      </c>
      <c r="H1113" s="706">
        <v>0</v>
      </c>
      <c r="I1113" s="706">
        <v>0</v>
      </c>
      <c r="J1113" s="706">
        <v>0</v>
      </c>
      <c r="K1113" s="706">
        <v>0</v>
      </c>
      <c r="L1113" s="706">
        <v>0</v>
      </c>
      <c r="M1113" s="706">
        <v>0</v>
      </c>
      <c r="N1113" s="706">
        <v>0</v>
      </c>
      <c r="O1113" s="706">
        <v>0</v>
      </c>
      <c r="P1113" s="706">
        <v>0</v>
      </c>
      <c r="Q1113" s="706">
        <v>0</v>
      </c>
      <c r="R1113" s="706">
        <v>0</v>
      </c>
      <c r="S1113" s="706">
        <v>0</v>
      </c>
      <c r="T1113" s="706">
        <v>0</v>
      </c>
      <c r="U1113" s="706">
        <v>0</v>
      </c>
      <c r="V1113" s="706">
        <v>0</v>
      </c>
      <c r="W1113" s="706">
        <v>0</v>
      </c>
      <c r="X1113" s="706">
        <v>0</v>
      </c>
      <c r="Y1113" s="706">
        <v>0</v>
      </c>
      <c r="Z1113" s="706">
        <v>0</v>
      </c>
      <c r="AA1113" s="706">
        <v>0</v>
      </c>
      <c r="AB1113" s="706">
        <v>0</v>
      </c>
      <c r="AC1113" s="706">
        <v>0</v>
      </c>
      <c r="AD1113" s="706">
        <v>0</v>
      </c>
      <c r="AE1113" s="706">
        <v>0</v>
      </c>
      <c r="AF1113" s="706">
        <v>0</v>
      </c>
      <c r="AG1113" s="706">
        <v>0</v>
      </c>
      <c r="AH1113" s="706">
        <v>0</v>
      </c>
      <c r="AI1113" s="706">
        <v>0</v>
      </c>
    </row>
    <row r="1114" spans="1:35" ht="15" hidden="1" customHeight="1">
      <c r="A1114" s="706" t="s">
        <v>1148</v>
      </c>
      <c r="B1114" s="706">
        <v>2026</v>
      </c>
      <c r="C1114" s="706" t="s">
        <v>3094</v>
      </c>
      <c r="D1114" s="706" t="s">
        <v>3093</v>
      </c>
      <c r="E1114" s="706" t="s">
        <v>333</v>
      </c>
      <c r="F1114" s="706" t="s">
        <v>1104</v>
      </c>
      <c r="G1114" s="706">
        <v>40.75</v>
      </c>
      <c r="H1114" s="706">
        <v>305.54000000000002</v>
      </c>
      <c r="I1114" s="706">
        <v>-1036.4000000000001</v>
      </c>
      <c r="J1114" s="706">
        <v>-1010.84</v>
      </c>
      <c r="K1114" s="706">
        <v>49163.08</v>
      </c>
      <c r="L1114" s="706">
        <v>49240.4</v>
      </c>
      <c r="M1114" s="706">
        <v>51449.07</v>
      </c>
      <c r="N1114" s="706">
        <v>51496.87</v>
      </c>
      <c r="O1114" s="706">
        <v>52813.65</v>
      </c>
      <c r="P1114" s="706">
        <v>52814.61</v>
      </c>
      <c r="Q1114" s="706">
        <v>0</v>
      </c>
      <c r="R1114" s="706">
        <v>0</v>
      </c>
      <c r="S1114" s="706">
        <v>5868.18</v>
      </c>
      <c r="T1114" s="706">
        <v>5868.18</v>
      </c>
      <c r="U1114" s="706">
        <v>0</v>
      </c>
      <c r="V1114" s="706">
        <v>0</v>
      </c>
      <c r="W1114" s="706">
        <v>0</v>
      </c>
      <c r="X1114" s="706">
        <v>0</v>
      </c>
      <c r="Y1114" s="706">
        <v>0</v>
      </c>
      <c r="Z1114" s="706">
        <v>0</v>
      </c>
      <c r="AA1114" s="706">
        <v>0</v>
      </c>
      <c r="AB1114" s="706">
        <v>0</v>
      </c>
      <c r="AC1114" s="706">
        <v>0</v>
      </c>
      <c r="AD1114" s="706">
        <v>0</v>
      </c>
      <c r="AE1114" s="706">
        <v>0</v>
      </c>
      <c r="AF1114" s="706">
        <v>0</v>
      </c>
      <c r="AG1114" s="706">
        <v>0</v>
      </c>
      <c r="AH1114" s="706">
        <v>0</v>
      </c>
      <c r="AI1114" s="706">
        <v>0</v>
      </c>
    </row>
    <row r="1115" spans="1:35" ht="15" hidden="1" customHeight="1">
      <c r="A1115" s="706" t="s">
        <v>1148</v>
      </c>
      <c r="B1115" s="706">
        <v>2026</v>
      </c>
      <c r="C1115" s="706" t="s">
        <v>3095</v>
      </c>
      <c r="D1115" s="706" t="s">
        <v>3549</v>
      </c>
      <c r="E1115" s="706" t="s">
        <v>333</v>
      </c>
      <c r="F1115" s="706" t="s">
        <v>1104</v>
      </c>
      <c r="G1115" s="706">
        <v>0</v>
      </c>
      <c r="H1115" s="706">
        <v>0</v>
      </c>
      <c r="I1115" s="706">
        <v>37199.85</v>
      </c>
      <c r="J1115" s="706">
        <v>58589.83</v>
      </c>
      <c r="K1115" s="706">
        <v>79840.570000000007</v>
      </c>
      <c r="L1115" s="706">
        <v>100951.46</v>
      </c>
      <c r="M1115" s="706">
        <v>121921.9</v>
      </c>
      <c r="N1115" s="706">
        <v>142751.28</v>
      </c>
      <c r="O1115" s="706">
        <v>163438.99</v>
      </c>
      <c r="P1115" s="706">
        <v>163438.99</v>
      </c>
      <c r="Q1115" s="706">
        <v>0</v>
      </c>
      <c r="R1115" s="706">
        <v>0</v>
      </c>
      <c r="S1115" s="706">
        <v>18159.89</v>
      </c>
      <c r="T1115" s="706">
        <v>18159.89</v>
      </c>
      <c r="U1115" s="706">
        <v>0</v>
      </c>
      <c r="V1115" s="706">
        <v>0</v>
      </c>
      <c r="W1115" s="706">
        <v>0</v>
      </c>
      <c r="X1115" s="706">
        <v>0</v>
      </c>
      <c r="Y1115" s="706">
        <v>0</v>
      </c>
      <c r="Z1115" s="706">
        <v>0</v>
      </c>
      <c r="AA1115" s="706">
        <v>0</v>
      </c>
      <c r="AB1115" s="706">
        <v>0</v>
      </c>
      <c r="AC1115" s="706">
        <v>0</v>
      </c>
      <c r="AD1115" s="706">
        <v>0</v>
      </c>
      <c r="AE1115" s="706">
        <v>0</v>
      </c>
      <c r="AF1115" s="706">
        <v>0</v>
      </c>
      <c r="AG1115" s="706">
        <v>0</v>
      </c>
      <c r="AH1115" s="706">
        <v>0</v>
      </c>
      <c r="AI1115" s="706">
        <v>0</v>
      </c>
    </row>
    <row r="1116" spans="1:35" ht="15" hidden="1" customHeight="1">
      <c r="A1116" s="706" t="s">
        <v>1148</v>
      </c>
      <c r="B1116" s="706">
        <v>2026</v>
      </c>
      <c r="C1116" s="706" t="s">
        <v>3446</v>
      </c>
      <c r="D1116" s="706" t="s">
        <v>3447</v>
      </c>
      <c r="E1116" s="706" t="s">
        <v>333</v>
      </c>
      <c r="F1116" s="706" t="s">
        <v>1104</v>
      </c>
      <c r="G1116" s="706">
        <v>0</v>
      </c>
      <c r="H1116" s="706">
        <v>0</v>
      </c>
      <c r="I1116" s="706">
        <v>0</v>
      </c>
      <c r="J1116" s="706">
        <v>0</v>
      </c>
      <c r="K1116" s="706">
        <v>0</v>
      </c>
      <c r="L1116" s="706">
        <v>0</v>
      </c>
      <c r="M1116" s="706">
        <v>0</v>
      </c>
      <c r="N1116" s="706">
        <v>266.98</v>
      </c>
      <c r="O1116" s="706">
        <v>266.98</v>
      </c>
      <c r="P1116" s="706">
        <v>266.98</v>
      </c>
      <c r="Q1116" s="706">
        <v>0</v>
      </c>
      <c r="R1116" s="706">
        <v>0</v>
      </c>
      <c r="S1116" s="706">
        <v>29.66</v>
      </c>
      <c r="T1116" s="706">
        <v>29.66</v>
      </c>
      <c r="U1116" s="706">
        <v>0</v>
      </c>
      <c r="V1116" s="706">
        <v>0</v>
      </c>
      <c r="W1116" s="706">
        <v>0</v>
      </c>
      <c r="X1116" s="706">
        <v>0</v>
      </c>
      <c r="Y1116" s="706">
        <v>0</v>
      </c>
      <c r="Z1116" s="706">
        <v>0</v>
      </c>
      <c r="AA1116" s="706">
        <v>0</v>
      </c>
      <c r="AB1116" s="706">
        <v>0</v>
      </c>
      <c r="AC1116" s="706">
        <v>0</v>
      </c>
      <c r="AD1116" s="706">
        <v>0</v>
      </c>
      <c r="AE1116" s="706">
        <v>0</v>
      </c>
      <c r="AF1116" s="706">
        <v>0</v>
      </c>
      <c r="AG1116" s="706">
        <v>0</v>
      </c>
      <c r="AH1116" s="706">
        <v>0</v>
      </c>
      <c r="AI1116" s="706">
        <v>0</v>
      </c>
    </row>
    <row r="1117" spans="1:35" ht="15" hidden="1" customHeight="1">
      <c r="A1117" s="706" t="s">
        <v>1148</v>
      </c>
      <c r="B1117" s="706">
        <v>2026</v>
      </c>
      <c r="C1117" s="706" t="s">
        <v>3097</v>
      </c>
      <c r="D1117" s="706" t="s">
        <v>1784</v>
      </c>
      <c r="E1117" s="706" t="s">
        <v>333</v>
      </c>
      <c r="F1117" s="706" t="s">
        <v>1104</v>
      </c>
      <c r="G1117" s="706">
        <v>0</v>
      </c>
      <c r="H1117" s="706">
        <v>0</v>
      </c>
      <c r="I1117" s="706">
        <v>0</v>
      </c>
      <c r="J1117" s="706">
        <v>0</v>
      </c>
      <c r="K1117" s="706">
        <v>0</v>
      </c>
      <c r="L1117" s="706">
        <v>0</v>
      </c>
      <c r="M1117" s="706">
        <v>0</v>
      </c>
      <c r="N1117" s="706">
        <v>0</v>
      </c>
      <c r="O1117" s="706">
        <v>0</v>
      </c>
      <c r="P1117" s="706">
        <v>0</v>
      </c>
      <c r="Q1117" s="706">
        <v>0</v>
      </c>
      <c r="R1117" s="706">
        <v>0</v>
      </c>
      <c r="S1117" s="706">
        <v>0</v>
      </c>
      <c r="T1117" s="706">
        <v>0</v>
      </c>
      <c r="U1117" s="706">
        <v>0</v>
      </c>
      <c r="V1117" s="706">
        <v>0</v>
      </c>
      <c r="W1117" s="706">
        <v>0</v>
      </c>
      <c r="X1117" s="706">
        <v>0</v>
      </c>
      <c r="Y1117" s="706">
        <v>0</v>
      </c>
      <c r="Z1117" s="706">
        <v>0</v>
      </c>
      <c r="AA1117" s="706">
        <v>0</v>
      </c>
      <c r="AB1117" s="706">
        <v>0</v>
      </c>
      <c r="AC1117" s="706">
        <v>0</v>
      </c>
      <c r="AD1117" s="706">
        <v>0</v>
      </c>
      <c r="AE1117" s="706">
        <v>0</v>
      </c>
      <c r="AF1117" s="706">
        <v>0</v>
      </c>
      <c r="AG1117" s="706">
        <v>0</v>
      </c>
      <c r="AH1117" s="706">
        <v>0</v>
      </c>
      <c r="AI1117" s="706">
        <v>0</v>
      </c>
    </row>
    <row r="1118" spans="1:35" ht="15" hidden="1" customHeight="1">
      <c r="A1118" s="706" t="s">
        <v>1148</v>
      </c>
      <c r="B1118" s="706">
        <v>2026</v>
      </c>
      <c r="C1118" s="706" t="s">
        <v>3098</v>
      </c>
      <c r="D1118" s="706" t="s">
        <v>3099</v>
      </c>
      <c r="E1118" s="706" t="s">
        <v>1141</v>
      </c>
      <c r="F1118" s="706" t="s">
        <v>1104</v>
      </c>
      <c r="G1118" s="706">
        <v>0</v>
      </c>
      <c r="H1118" s="706">
        <v>0</v>
      </c>
      <c r="I1118" s="706">
        <v>0</v>
      </c>
      <c r="J1118" s="706">
        <v>0</v>
      </c>
      <c r="K1118" s="706">
        <v>0</v>
      </c>
      <c r="L1118" s="706">
        <v>0</v>
      </c>
      <c r="M1118" s="706">
        <v>0</v>
      </c>
      <c r="N1118" s="706">
        <v>0</v>
      </c>
      <c r="O1118" s="706">
        <v>0</v>
      </c>
      <c r="P1118" s="706">
        <v>0</v>
      </c>
      <c r="Q1118" s="706">
        <v>0</v>
      </c>
      <c r="R1118" s="706">
        <v>0</v>
      </c>
      <c r="S1118" s="706">
        <v>0</v>
      </c>
      <c r="T1118" s="706">
        <v>0</v>
      </c>
      <c r="U1118" s="706">
        <v>0</v>
      </c>
      <c r="V1118" s="706">
        <v>0</v>
      </c>
      <c r="W1118" s="706">
        <v>0</v>
      </c>
      <c r="X1118" s="706">
        <v>0</v>
      </c>
      <c r="Y1118" s="706">
        <v>0</v>
      </c>
      <c r="Z1118" s="706">
        <v>0</v>
      </c>
      <c r="AA1118" s="706">
        <v>0</v>
      </c>
      <c r="AB1118" s="706">
        <v>0</v>
      </c>
      <c r="AC1118" s="706">
        <v>0</v>
      </c>
      <c r="AD1118" s="706">
        <v>0</v>
      </c>
      <c r="AE1118" s="706">
        <v>0</v>
      </c>
      <c r="AF1118" s="706">
        <v>0</v>
      </c>
      <c r="AG1118" s="706">
        <v>0</v>
      </c>
      <c r="AH1118" s="706">
        <v>0</v>
      </c>
      <c r="AI1118" s="706">
        <v>0</v>
      </c>
    </row>
  </sheetData>
  <autoFilter ref="A2:AZ1118" xr:uid="{00000000-0001-0000-0E00-000000000000}">
    <filterColumn colId="38">
      <filters>
        <filter val="(168,200.00)"/>
        <filter val="(378,500.00)"/>
        <filter val="(562,442.43)"/>
        <filter val="(564,232.00)"/>
        <filter val="(627,112.74)"/>
        <filter val="164,575.00"/>
        <filter val="372,500.00"/>
        <filter val="546,799.83"/>
        <filter val="629,379.80"/>
        <filter val="633,649.70"/>
      </filters>
    </filterColumn>
    <filterColumn colId="42">
      <filters>
        <filter val="Ventes au Gros"/>
        <filter val="Wholesale Canada"/>
        <filter val="Wholesale Luxueux"/>
        <filter val="Wholesale USA"/>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86" workbookViewId="0">
      <selection activeCell="D798" sqref="D798"/>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t="s">
        <v>148</v>
      </c>
      <c r="D774" s="710" t="s">
        <v>100</v>
      </c>
      <c r="E774" s="710" t="s">
        <v>3456</v>
      </c>
      <c r="F774" s="3"/>
    </row>
    <row r="775" spans="1:6" ht="15" customHeight="1">
      <c r="A775" t="s">
        <v>3391</v>
      </c>
      <c r="B775" t="s">
        <v>3392</v>
      </c>
      <c r="C775" s="710" t="s">
        <v>148</v>
      </c>
      <c r="D775" s="710" t="s">
        <v>100</v>
      </c>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3431</v>
      </c>
      <c r="C788" s="710" t="s">
        <v>148</v>
      </c>
      <c r="D788" s="710" t="s">
        <v>1081</v>
      </c>
      <c r="E788" s="710"/>
      <c r="F788" s="3"/>
    </row>
    <row r="789" spans="1:6" ht="15" customHeight="1">
      <c r="A789" t="s">
        <v>3385</v>
      </c>
      <c r="B789" t="s">
        <v>3432</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3440</v>
      </c>
      <c r="B793" t="s">
        <v>3441</v>
      </c>
      <c r="C793" s="710" t="s">
        <v>652</v>
      </c>
      <c r="D793" s="710" t="s">
        <v>56</v>
      </c>
      <c r="E793" s="710"/>
      <c r="F793" s="3"/>
    </row>
    <row r="794" spans="1:6" ht="15" customHeight="1">
      <c r="A794" t="s">
        <v>3442</v>
      </c>
      <c r="B794" t="s">
        <v>3443</v>
      </c>
      <c r="C794" s="710" t="s">
        <v>652</v>
      </c>
      <c r="D794" s="710" t="s">
        <v>53</v>
      </c>
      <c r="E794" s="710"/>
      <c r="F794" s="3"/>
    </row>
    <row r="795" spans="1:6" ht="15" customHeight="1">
      <c r="A795" t="s">
        <v>3446</v>
      </c>
      <c r="B795" t="s">
        <v>3447</v>
      </c>
      <c r="C795" s="710" t="s">
        <v>667</v>
      </c>
      <c r="D795" s="710" t="s">
        <v>212</v>
      </c>
      <c r="E795" s="710"/>
      <c r="F795" s="3"/>
    </row>
    <row r="796" spans="1:6" ht="15" customHeight="1">
      <c r="A796" s="1260" t="s">
        <v>3453</v>
      </c>
      <c r="B796" s="1260" t="s">
        <v>3455</v>
      </c>
      <c r="C796" s="710" t="s">
        <v>652</v>
      </c>
      <c r="D796" s="710" t="s">
        <v>53</v>
      </c>
      <c r="E796" s="710"/>
      <c r="F796" s="3"/>
    </row>
    <row r="797" spans="1:6" ht="15" customHeight="1">
      <c r="A797" t="s">
        <v>3429</v>
      </c>
      <c r="B797" t="s">
        <v>3430</v>
      </c>
      <c r="C797" s="710" t="s">
        <v>1162</v>
      </c>
      <c r="D797" s="710" t="s">
        <v>130</v>
      </c>
      <c r="E797" s="710"/>
      <c r="F797" s="3"/>
    </row>
    <row r="798" spans="1:6" ht="15" customHeight="1">
      <c r="A798" t="s">
        <v>3550</v>
      </c>
      <c r="B798" t="s">
        <v>3551</v>
      </c>
      <c r="C798" s="710" t="s">
        <v>652</v>
      </c>
      <c r="D798" s="710" t="s">
        <v>56</v>
      </c>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topLeftCell="A871" zoomScale="80" zoomScaleNormal="80" workbookViewId="0">
      <selection activeCell="O16" sqref="O16"/>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446262.76</v>
      </c>
      <c r="AM3" s="905">
        <f>AN3-AL3</f>
        <v>61855.409999999974</v>
      </c>
      <c r="AN3" s="905">
        <f>INDEX(G3:R3,1,MATCH(Parametres!$B$3,G$1:R$1,0))*IF(OR(F3="L",F3="S",F3="I"),-1,1)</f>
        <v>508118.17</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90433.83</v>
      </c>
      <c r="AM4" s="905">
        <f t="shared" ref="AM4:AM67" si="1">AN4-AL4</f>
        <v>22985.690000000002</v>
      </c>
      <c r="AN4" s="905">
        <f>INDEX(G4:R4,1,MATCH(Parametres!$B$3,G$1:R$1,0))*IF(OR(F4="L",F4="S",F4="I"),-1,1)</f>
        <v>113419.52</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-33018.25</v>
      </c>
      <c r="AM6" s="905">
        <f t="shared" si="1"/>
        <v>-2141.6999999999971</v>
      </c>
      <c r="AN6" s="905">
        <f>INDEX(G6:R6,1,MATCH(Parametres!$B$3,G$1:R$1,0))*IF(OR(F6="L",F6="S",F6="I"),-1,1)</f>
        <v>-35159.949999999997</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-6659.07</v>
      </c>
      <c r="AM7" s="905">
        <f t="shared" si="1"/>
        <v>-5568.7800000000007</v>
      </c>
      <c r="AN7" s="905">
        <f>INDEX(G7:R7,1,MATCH(Parametres!$B$3,G$1:R$1,0))*IF(OR(F7="L",F7="S",F7="I"),-1,1)</f>
        <v>-12227.85</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6132.45</v>
      </c>
      <c r="AM8" s="905">
        <f t="shared" si="1"/>
        <v>2205.46</v>
      </c>
      <c r="AN8" s="905">
        <f>INDEX(G8:R8,1,MATCH(Parametres!$B$3,G$1:R$1,0))*IF(OR(F8="L",F8="S",F8="I"),-1,1)</f>
        <v>8337.91</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3342.81</v>
      </c>
      <c r="AM9" s="905">
        <f t="shared" si="1"/>
        <v>343.28999999999996</v>
      </c>
      <c r="AN9" s="905">
        <f>INDEX(G9:R9,1,MATCH(Parametres!$B$3,G$1:R$1,0))*IF(OR(F9="L",F9="S",F9="I"),-1,1)</f>
        <v>3686.1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1462.05</v>
      </c>
      <c r="AM10" s="905">
        <f t="shared" si="1"/>
        <v>128.73000000000002</v>
      </c>
      <c r="AN10" s="905">
        <f>INDEX(G10:R10,1,MATCH(Parametres!$B$3,G$1:R$1,0))*IF(OR(F10="L",F10="S",F10="I"),-1,1)</f>
        <v>1590.78</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88138.82</v>
      </c>
      <c r="AM13" s="905">
        <f t="shared" si="1"/>
        <v>756.65999999998894</v>
      </c>
      <c r="AN13" s="905">
        <f>INDEX(G13:R13,1,MATCH(Parametres!$B$3,G$1:R$1,0))*IF(OR(F13="L",F13="S",F13="I"),-1,1)</f>
        <v>88895.48</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58759.24</v>
      </c>
      <c r="AM14" s="905">
        <f t="shared" si="1"/>
        <v>504.43000000000029</v>
      </c>
      <c r="AN14" s="905">
        <f>INDEX(G14:R14,1,MATCH(Parametres!$B$3,G$1:R$1,0))*IF(OR(F14="L",F14="S",F14="I"),-1,1)</f>
        <v>59263.67</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88138.82</v>
      </c>
      <c r="AM15" s="905">
        <f t="shared" si="1"/>
        <v>756.65999999998894</v>
      </c>
      <c r="AN15" s="905">
        <f>INDEX(G15:R15,1,MATCH(Parametres!$B$3,G$1:R$1,0))*IF(OR(F15="L",F15="S",F15="I"),-1,1)</f>
        <v>88895.48</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29379.61</v>
      </c>
      <c r="AM16" s="905">
        <f t="shared" si="1"/>
        <v>252.22000000000116</v>
      </c>
      <c r="AN16" s="905">
        <f>INDEX(G16:R16,1,MATCH(Parametres!$B$3,G$1:R$1,0))*IF(OR(F16="L",F16="S",F16="I"),-1,1)</f>
        <v>29631.83</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29379.599999999999</v>
      </c>
      <c r="AM17" s="905">
        <f t="shared" si="1"/>
        <v>252.21000000000276</v>
      </c>
      <c r="AN17" s="905">
        <f>INDEX(G17:R17,1,MATCH(Parametres!$B$3,G$1:R$1,0))*IF(OR(F17="L",F17="S",F17="I"),-1,1)</f>
        <v>29631.81</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122465.64</v>
      </c>
      <c r="AM19" s="905">
        <f t="shared" si="1"/>
        <v>3195.3999999999942</v>
      </c>
      <c r="AN19" s="905">
        <f>INDEX(G19:R19,1,MATCH(Parametres!$B$3,G$1:R$1,0))*IF(OR(F19="L",F19="S",F19="I"),-1,1)</f>
        <v>125661.04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105903.06</v>
      </c>
      <c r="AM20" s="905">
        <f t="shared" si="1"/>
        <v>8566.4900000000052</v>
      </c>
      <c r="AN20" s="905">
        <f>INDEX(G20:R20,1,MATCH(Parametres!$B$3,G$1:R$1,0))*IF(OR(F20="L",F20="S",F20="I"),-1,1)</f>
        <v>114469.55</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330828.59000000003</v>
      </c>
      <c r="AM21" s="905">
        <f t="shared" si="1"/>
        <v>1000</v>
      </c>
      <c r="AN21" s="905">
        <f>INDEX(G21:R21,1,MATCH(Parametres!$B$3,G$1:R$1,0))*IF(OR(F21="L",F21="S",F21="I"),-1,1)</f>
        <v>331828.59000000003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74168.929999999993</v>
      </c>
      <c r="AM22" s="905">
        <f t="shared" si="1"/>
        <v>15276.050000000003</v>
      </c>
      <c r="AN22" s="905">
        <f>INDEX(G22:R22,1,MATCH(Parametres!$B$3,G$1:R$1,0))*IF(OR(F22="L",F22="S",F22="I"),-1,1)</f>
        <v>89444.98</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73347.56</v>
      </c>
      <c r="AM23" s="905">
        <f t="shared" si="1"/>
        <v>20900.510000000009</v>
      </c>
      <c r="AN23" s="905">
        <f>INDEX(G23:R23,1,MATCH(Parametres!$B$3,G$1:R$1,0))*IF(OR(F23="L",F23="S",F23="I"),-1,1)</f>
        <v>94248.07</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27310.37</v>
      </c>
      <c r="AM24" s="905">
        <f t="shared" si="1"/>
        <v>-3302.119999999999</v>
      </c>
      <c r="AN24" s="905">
        <f>INDEX(G24:R24,1,MATCH(Parametres!$B$3,G$1:R$1,0))*IF(OR(F24="L",F24="S",F24="I"),-1,1)</f>
        <v>24008.25</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199441.88</v>
      </c>
      <c r="AM26" s="905">
        <f t="shared" si="1"/>
        <v>33101.899999999994</v>
      </c>
      <c r="AN26" s="905">
        <f>INDEX(G26:R26,1,MATCH(Parametres!$B$3,G$1:R$1,0))*IF(OR(F26="L",F26="S",F26="I"),-1,1)</f>
        <v>232543.78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36912.550000000003</v>
      </c>
      <c r="AM27" s="905">
        <f t="shared" si="1"/>
        <v>14083.079999999994</v>
      </c>
      <c r="AN27" s="905">
        <f>INDEX(G27:R27,1,MATCH(Parametres!$B$3,G$1:R$1,0))*IF(OR(F27="L",F27="S",F27="I"),-1,1)</f>
        <v>50995.63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80631.66</v>
      </c>
      <c r="AM28" s="905">
        <f t="shared" si="1"/>
        <v>13845.399999999994</v>
      </c>
      <c r="AN28" s="905">
        <f>INDEX(G28:R28,1,MATCH(Parametres!$B$3,G$1:R$1,0))*IF(OR(F28="L",F28="S",F28="I"),-1,1)</f>
        <v>94477.06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202766.32</v>
      </c>
      <c r="AM29" s="905">
        <f t="shared" si="1"/>
        <v>27639.72</v>
      </c>
      <c r="AN29" s="905">
        <f>INDEX(G29:R29,1,MATCH(Parametres!$B$3,G$1:R$1,0))*IF(OR(F29="L",F29="S",F29="I"),-1,1)</f>
        <v>230406.04</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59037.86</v>
      </c>
      <c r="AM30" s="905">
        <f t="shared" si="1"/>
        <v>6227.1900000000023</v>
      </c>
      <c r="AN30" s="905">
        <f>INDEX(G30:R30,1,MATCH(Parametres!$B$3,G$1:R$1,0))*IF(OR(F30="L",F30="S",F30="I"),-1,1)</f>
        <v>65265.05</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19100.330000000002</v>
      </c>
      <c r="AM31" s="905">
        <f t="shared" si="1"/>
        <v>3258.5399999999972</v>
      </c>
      <c r="AN31" s="905">
        <f>INDEX(G31:R31,1,MATCH(Parametres!$B$3,G$1:R$1,0))*IF(OR(F31="L",F31="S",F31="I"),-1,1)</f>
        <v>22358.87</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26446.33</v>
      </c>
      <c r="AM33" s="905">
        <f t="shared" si="1"/>
        <v>4615.0499999999993</v>
      </c>
      <c r="AN33" s="905">
        <f>INDEX(G33:R33,1,MATCH(Parametres!$B$3,G$1:R$1,0))*IF(OR(F33="L",F33="S",F33="I"),-1,1)</f>
        <v>31061.38</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15221.58</v>
      </c>
      <c r="AM34" s="905">
        <f t="shared" si="1"/>
        <v>1534.6799999999985</v>
      </c>
      <c r="AN34" s="905">
        <f>INDEX(G34:R34,1,MATCH(Parametres!$B$3,G$1:R$1,0))*IF(OR(F34="L",F34="S",F34="I"),-1,1)</f>
        <v>16756.259999999998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309599.99</v>
      </c>
      <c r="AM35" s="905">
        <f t="shared" si="1"/>
        <v>46957.5</v>
      </c>
      <c r="AN35" s="905">
        <f>INDEX(G35:R35,1,MATCH(Parametres!$B$3,G$1:R$1,0))*IF(OR(F35="L",F35="S",F35="I"),-1,1)</f>
        <v>356557.49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224220.79999999999</v>
      </c>
      <c r="AM36" s="905">
        <f t="shared" si="1"/>
        <v>19414.080000000016</v>
      </c>
      <c r="AN36" s="905">
        <f>INDEX(G36:R36,1,MATCH(Parametres!$B$3,G$1:R$1,0))*IF(OR(F36="L",F36="S",F36="I"),-1,1)</f>
        <v>243634.88</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133489.10999999999</v>
      </c>
      <c r="AM38" s="905">
        <f t="shared" si="1"/>
        <v>21239.360000000015</v>
      </c>
      <c r="AN38" s="905">
        <f>INDEX(G38:R38,1,MATCH(Parametres!$B$3,G$1:R$1,0))*IF(OR(F38="L",F38="S",F38="I"),-1,1)</f>
        <v>154728.47</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96954.97</v>
      </c>
      <c r="AM40" s="905">
        <f t="shared" si="1"/>
        <v>13387.36</v>
      </c>
      <c r="AN40" s="905">
        <f>INDEX(G40:R40,1,MATCH(Parametres!$B$3,G$1:R$1,0))*IF(OR(F40="L",F40="S",F40="I"),-1,1)</f>
        <v>110342.33</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8749.76</v>
      </c>
      <c r="AM41" s="905">
        <f t="shared" si="1"/>
        <v>1439.1000000000004</v>
      </c>
      <c r="AN41" s="905">
        <f>INDEX(G41:R41,1,MATCH(Parametres!$B$3,G$1:R$1,0))*IF(OR(F41="L",F41="S",F41="I"),-1,1)</f>
        <v>10188.86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20648.810000000001</v>
      </c>
      <c r="AM42" s="905">
        <f t="shared" si="1"/>
        <v>2708.369999999999</v>
      </c>
      <c r="AN42" s="905">
        <f>INDEX(G42:R42,1,MATCH(Parametres!$B$3,G$1:R$1,0))*IF(OR(F42="L",F42="S",F42="I"),-1,1)</f>
        <v>23357.18</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128310.71</v>
      </c>
      <c r="AM43" s="905">
        <f t="shared" si="1"/>
        <v>15591.599999999991</v>
      </c>
      <c r="AN43" s="905">
        <f>INDEX(G43:R43,1,MATCH(Parametres!$B$3,G$1:R$1,0))*IF(OR(F43="L",F43="S",F43="I"),-1,1)</f>
        <v>143902.31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26397.119999999999</v>
      </c>
      <c r="AM44" s="905">
        <f t="shared" si="1"/>
        <v>4524.4200000000019</v>
      </c>
      <c r="AN44" s="905">
        <f>INDEX(G44:R44,1,MATCH(Parametres!$B$3,G$1:R$1,0))*IF(OR(F44="L",F44="S",F44="I"),-1,1)</f>
        <v>30921.54</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17739.57</v>
      </c>
      <c r="AM45" s="905">
        <f t="shared" si="1"/>
        <v>2683.9300000000003</v>
      </c>
      <c r="AN45" s="905">
        <f>INDEX(G45:R45,1,MATCH(Parametres!$B$3,G$1:R$1,0))*IF(OR(F45="L",F45="S",F45="I"),-1,1)</f>
        <v>20423.5</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152045.29999999999</v>
      </c>
      <c r="AM47" s="905">
        <f t="shared" si="1"/>
        <v>14720.75</v>
      </c>
      <c r="AN47" s="905">
        <f>INDEX(G47:R47,1,MATCH(Parametres!$B$3,G$1:R$1,0))*IF(OR(F47="L",F47="S",F47="I"),-1,1)</f>
        <v>166766.04999999999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19814.14</v>
      </c>
      <c r="AM48" s="905">
        <f t="shared" si="1"/>
        <v>1792.9300000000003</v>
      </c>
      <c r="AN48" s="905">
        <f>INDEX(G48:R48,1,MATCH(Parametres!$B$3,G$1:R$1,0))*IF(OR(F48="L",F48="S",F48="I"),-1,1)</f>
        <v>21607.07</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30879.29</v>
      </c>
      <c r="AM49" s="905">
        <f t="shared" si="1"/>
        <v>3245.260000000002</v>
      </c>
      <c r="AN49" s="905">
        <f>INDEX(G49:R49,1,MATCH(Parametres!$B$3,G$1:R$1,0))*IF(OR(F49="L",F49="S",F49="I"),-1,1)</f>
        <v>34124.550000000003</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142421.76999999999</v>
      </c>
      <c r="AM50" s="905">
        <f t="shared" si="1"/>
        <v>15459.040000000008</v>
      </c>
      <c r="AN50" s="905">
        <f>INDEX(G50:R50,1,MATCH(Parametres!$B$3,G$1:R$1,0))*IF(OR(F50="L",F50="S",F50="I"),-1,1)</f>
        <v>157880.81</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34080.07</v>
      </c>
      <c r="AM51" s="905">
        <f t="shared" si="1"/>
        <v>5123.9100000000035</v>
      </c>
      <c r="AN51" s="905">
        <f>INDEX(G51:R51,1,MATCH(Parametres!$B$3,G$1:R$1,0))*IF(OR(F51="L",F51="S",F51="I"),-1,1)</f>
        <v>39203.980000000003</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24797.1</v>
      </c>
      <c r="AM52" s="905">
        <f t="shared" si="1"/>
        <v>2841.1700000000019</v>
      </c>
      <c r="AN52" s="905">
        <f>INDEX(G52:R52,1,MATCH(Parametres!$B$3,G$1:R$1,0))*IF(OR(F52="L",F52="S",F52="I"),-1,1)</f>
        <v>27638.27</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41061.14</v>
      </c>
      <c r="AM54" s="905">
        <f t="shared" si="1"/>
        <v>4541.75</v>
      </c>
      <c r="AN54" s="905">
        <f>INDEX(G54:R54,1,MATCH(Parametres!$B$3,G$1:R$1,0))*IF(OR(F54="L",F54="S",F54="I"),-1,1)</f>
        <v>45602.89</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18432.87</v>
      </c>
      <c r="AM55" s="905">
        <f t="shared" si="1"/>
        <v>3430.5800000000017</v>
      </c>
      <c r="AN55" s="905">
        <f>INDEX(G55:R55,1,MATCH(Parametres!$B$3,G$1:R$1,0))*IF(OR(F55="L",F55="S",F55="I"),-1,1)</f>
        <v>21863.45</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15530.62</v>
      </c>
      <c r="AM56" s="905">
        <f t="shared" si="1"/>
        <v>311.31999999999971</v>
      </c>
      <c r="AN56" s="905">
        <f>INDEX(G56:R56,1,MATCH(Parametres!$B$3,G$1:R$1,0))*IF(OR(F56="L",F56="S",F56="I"),-1,1)</f>
        <v>15841.94</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84659.79</v>
      </c>
      <c r="AM57" s="905">
        <f t="shared" si="1"/>
        <v>9372.8700000000099</v>
      </c>
      <c r="AN57" s="905">
        <f>INDEX(G57:R57,1,MATCH(Parametres!$B$3,G$1:R$1,0))*IF(OR(F57="L",F57="S",F57="I"),-1,1)</f>
        <v>94032.66</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21136.63</v>
      </c>
      <c r="AM58" s="905">
        <f t="shared" si="1"/>
        <v>2673.9199999999983</v>
      </c>
      <c r="AN58" s="905">
        <f>INDEX(G58:R58,1,MATCH(Parametres!$B$3,G$1:R$1,0))*IF(OR(F58="L",F58="S",F58="I"),-1,1)</f>
        <v>23810.55</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11797.05</v>
      </c>
      <c r="AM59" s="905">
        <f t="shared" si="1"/>
        <v>1458.3100000000013</v>
      </c>
      <c r="AN59" s="905">
        <f>INDEX(G59:R59,1,MATCH(Parametres!$B$3,G$1:R$1,0))*IF(OR(F59="L",F59="S",F59="I"),-1,1)</f>
        <v>13255.36</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799.62</v>
      </c>
      <c r="AM62" s="905">
        <f t="shared" si="1"/>
        <v>0.15999999999996817</v>
      </c>
      <c r="AN62" s="905">
        <f>INDEX(G62:R62,1,MATCH(Parametres!$B$3,G$1:R$1,0))*IF(OR(F62="L",F62="S",F62="I"),-1,1)</f>
        <v>799.78</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192.9</v>
      </c>
      <c r="AM63" s="905">
        <f t="shared" si="1"/>
        <v>31.949999999999989</v>
      </c>
      <c r="AN63" s="905">
        <f>INDEX(G63:R63,1,MATCH(Parametres!$B$3,G$1:R$1,0))*IF(OR(F63="L",F63="S",F63="I"),-1,1)</f>
        <v>224.85</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8292.61</v>
      </c>
      <c r="AM65" s="905">
        <f t="shared" si="1"/>
        <v>819.26999999999862</v>
      </c>
      <c r="AN65" s="905">
        <f>INDEX(G65:R65,1,MATCH(Parametres!$B$3,G$1:R$1,0))*IF(OR(F65="L",F65="S",F65="I"),-1,1)</f>
        <v>9111.8799999999992</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294.68</v>
      </c>
      <c r="AM66" s="905">
        <f t="shared" si="1"/>
        <v>46.259999999999991</v>
      </c>
      <c r="AN66" s="905">
        <f>INDEX(G66:R66,1,MATCH(Parametres!$B$3,G$1:R$1,0))*IF(OR(F66="L",F66="S",F66="I"),-1,1)</f>
        <v>340.94</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1666.01</v>
      </c>
      <c r="AM67" s="905">
        <f t="shared" si="1"/>
        <v>183.27999999999997</v>
      </c>
      <c r="AN67" s="905">
        <f>INDEX(G67:R67,1,MATCH(Parametres!$B$3,G$1:R$1,0))*IF(OR(F67="L",F67="S",F67="I"),-1,1)</f>
        <v>1849.29</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6865.05</v>
      </c>
      <c r="AM71" s="905">
        <f t="shared" si="5"/>
        <v>1214.46</v>
      </c>
      <c r="AN71" s="905">
        <f>INDEX(G71:R71,1,MATCH(Parametres!$B$3,G$1:R$1,0))*IF(OR(F71="L",F71="S",F71="I"),-1,1)</f>
        <v>8079.51</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8033.8</v>
      </c>
      <c r="AM72" s="905">
        <f t="shared" si="5"/>
        <v>1586.2599999999993</v>
      </c>
      <c r="AN72" s="905">
        <f>INDEX(G72:R72,1,MATCH(Parametres!$B$3,G$1:R$1,0))*IF(OR(F72="L",F72="S",F72="I"),-1,1)</f>
        <v>9620.06</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5129.63</v>
      </c>
      <c r="AM73" s="905">
        <f t="shared" si="5"/>
        <v>672.31999999999971</v>
      </c>
      <c r="AN73" s="905">
        <f>INDEX(G73:R73,1,MATCH(Parametres!$B$3,G$1:R$1,0))*IF(OR(F73="L",F73="S",F73="I"),-1,1)</f>
        <v>5801.95</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4870.9799999999996</v>
      </c>
      <c r="AM74" s="905">
        <f t="shared" si="5"/>
        <v>1251.0200000000004</v>
      </c>
      <c r="AN74" s="905">
        <f>INDEX(G74:R74,1,MATCH(Parametres!$B$3,G$1:R$1,0))*IF(OR(F74="L",F74="S",F74="I"),-1,1)</f>
        <v>6122</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2000.08</v>
      </c>
      <c r="AM75" s="905">
        <f t="shared" si="5"/>
        <v>261.45000000000027</v>
      </c>
      <c r="AN75" s="905">
        <f>INDEX(G75:R75,1,MATCH(Parametres!$B$3,G$1:R$1,0))*IF(OR(F75="L",F75="S",F75="I"),-1,1)</f>
        <v>2261.5300000000002</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5443.35</v>
      </c>
      <c r="AM76" s="905">
        <f t="shared" si="5"/>
        <v>661.85999999999967</v>
      </c>
      <c r="AN76" s="905">
        <f>INDEX(G76:R76,1,MATCH(Parametres!$B$3,G$1:R$1,0))*IF(OR(F76="L",F76="S",F76="I"),-1,1)</f>
        <v>6105.21</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99842.55</v>
      </c>
      <c r="AM78" s="905">
        <f t="shared" si="5"/>
        <v>9251.3499999999913</v>
      </c>
      <c r="AN78" s="905">
        <f>INDEX(G78:R78,1,MATCH(Parametres!$B$3,G$1:R$1,0))*IF(OR(F78="L",F78="S",F78="I"),-1,1)</f>
        <v>109093.9</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15284.65</v>
      </c>
      <c r="AM79" s="905">
        <f t="shared" si="5"/>
        <v>3988.6800000000021</v>
      </c>
      <c r="AN79" s="905">
        <f>INDEX(G79:R79,1,MATCH(Parametres!$B$3,G$1:R$1,0))*IF(OR(F79="L",F79="S",F79="I"),-1,1)</f>
        <v>19273.330000000002</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-53284.01</v>
      </c>
      <c r="AM81" s="905">
        <f t="shared" si="5"/>
        <v>-5174.93</v>
      </c>
      <c r="AN81" s="905">
        <f>INDEX(G81:R81,1,MATCH(Parametres!$B$3,G$1:R$1,0))*IF(OR(F81="L",F81="S",F81="I"),-1,1)</f>
        <v>-58458.94</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-10731.61</v>
      </c>
      <c r="AM82" s="905">
        <f t="shared" si="5"/>
        <v>1041.1599999999999</v>
      </c>
      <c r="AN82" s="905">
        <f>INDEX(G82:R82,1,MATCH(Parametres!$B$3,G$1:R$1,0))*IF(OR(F82="L",F82="S",F82="I"),-1,1)</f>
        <v>-9690.4500000000007</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21881.7</v>
      </c>
      <c r="AM83" s="905">
        <f t="shared" si="5"/>
        <v>2929.9399999999987</v>
      </c>
      <c r="AN83" s="905">
        <f>INDEX(G83:R83,1,MATCH(Parametres!$B$3,G$1:R$1,0))*IF(OR(F83="L",F83="S",F83="I"),-1,1)</f>
        <v>24811.64</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2841.99</v>
      </c>
      <c r="AM93" s="905">
        <f t="shared" si="5"/>
        <v>385.63000000000011</v>
      </c>
      <c r="AN93" s="905">
        <f>INDEX(G93:R93,1,MATCH(Parametres!$B$3,G$1:R$1,0))*IF(OR(F93="L",F93="S",F93="I"),-1,1)</f>
        <v>3227.62</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1921.5</v>
      </c>
      <c r="AM94" s="905">
        <f t="shared" si="5"/>
        <v>251.75</v>
      </c>
      <c r="AN94" s="905">
        <f>INDEX(G94:R94,1,MATCH(Parametres!$B$3,G$1:R$1,0))*IF(OR(F94="L",F94="S",F94="I"),-1,1)</f>
        <v>2173.25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2810.71</v>
      </c>
      <c r="AM96" s="905">
        <f t="shared" si="5"/>
        <v>392.92999999999984</v>
      </c>
      <c r="AN96" s="905">
        <f>INDEX(G96:R96,1,MATCH(Parametres!$B$3,G$1:R$1,0))*IF(OR(F96="L",F96="S",F96="I"),-1,1)</f>
        <v>3203.64</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881.99</v>
      </c>
      <c r="AM97" s="905">
        <f t="shared" si="5"/>
        <v>125.88</v>
      </c>
      <c r="AN97" s="905">
        <f>INDEX(G97:R97,1,MATCH(Parametres!$B$3,G$1:R$1,0))*IF(OR(F97="L",F97="S",F97="I"),-1,1)</f>
        <v>1007.87</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882</v>
      </c>
      <c r="AM98" s="905">
        <f t="shared" si="5"/>
        <v>125.85000000000002</v>
      </c>
      <c r="AN98" s="905">
        <f>INDEX(G98:R98,1,MATCH(Parametres!$B$3,G$1:R$1,0))*IF(OR(F98="L",F98="S",F98="I"),-1,1)</f>
        <v>1007.85</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16404.61</v>
      </c>
      <c r="AM100" s="905">
        <f t="shared" si="5"/>
        <v>2766.0299999999988</v>
      </c>
      <c r="AN100" s="905">
        <f>INDEX(G100:R100,1,MATCH(Parametres!$B$3,G$1:R$1,0))*IF(OR(F100="L",F100="S",F100="I"),-1,1)</f>
        <v>19170.64</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5531.85</v>
      </c>
      <c r="AM101" s="905">
        <f t="shared" si="5"/>
        <v>240.25</v>
      </c>
      <c r="AN101" s="905">
        <f>INDEX(G101:R101,1,MATCH(Parametres!$B$3,G$1:R$1,0))*IF(OR(F101="L",F101="S",F101="I"),-1,1)</f>
        <v>5772.1</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1727.37</v>
      </c>
      <c r="AM102" s="905">
        <f t="shared" si="5"/>
        <v>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12128.48</v>
      </c>
      <c r="AM103" s="905">
        <f t="shared" si="5"/>
        <v>407.72999999999956</v>
      </c>
      <c r="AN103" s="905">
        <f>INDEX(G103:R103,1,MATCH(Parametres!$B$3,G$1:R$1,0))*IF(OR(F103="L",F103="S",F103="I"),-1,1)</f>
        <v>12536.21</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4220.62</v>
      </c>
      <c r="AM104" s="905">
        <f t="shared" si="5"/>
        <v>692.51000000000022</v>
      </c>
      <c r="AN104" s="905">
        <f>INDEX(G104:R104,1,MATCH(Parametres!$B$3,G$1:R$1,0))*IF(OR(F104="L",F104="S",F104="I"),-1,1)</f>
        <v>4913.13</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4163.09</v>
      </c>
      <c r="AM105" s="905">
        <f t="shared" si="5"/>
        <v>120.09999999999945</v>
      </c>
      <c r="AN105" s="905">
        <f>INDEX(G105:R105,1,MATCH(Parametres!$B$3,G$1:R$1,0))*IF(OR(F105="L",F105="S",F105="I"),-1,1)</f>
        <v>4283.1899999999996</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5936.56</v>
      </c>
      <c r="AM107" s="905">
        <f t="shared" si="5"/>
        <v>255.26999999999953</v>
      </c>
      <c r="AN107" s="905">
        <f>INDEX(G107:R107,1,MATCH(Parametres!$B$3,G$1:R$1,0))*IF(OR(F107="L",F107="S",F107="I"),-1,1)</f>
        <v>6191.83</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1068.3900000000001</v>
      </c>
      <c r="AM108" s="905">
        <f t="shared" si="5"/>
        <v>104.11999999999989</v>
      </c>
      <c r="AN108" s="905">
        <f>INDEX(G108:R108,1,MATCH(Parametres!$B$3,G$1:R$1,0))*IF(OR(F108="L",F108="S",F108="I"),-1,1)</f>
        <v>1172.51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32535.02</v>
      </c>
      <c r="AM110" s="905">
        <f t="shared" si="5"/>
        <v>6001.4699999999975</v>
      </c>
      <c r="AN110" s="905">
        <f>INDEX(G110:R110,1,MATCH(Parametres!$B$3,G$1:R$1,0))*IF(OR(F110="L",F110="S",F110="I"),-1,1)</f>
        <v>38536.49</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23481.94</v>
      </c>
      <c r="AM111" s="905">
        <f t="shared" si="5"/>
        <v>9024.4500000000007</v>
      </c>
      <c r="AN111" s="905">
        <f>INDEX(G111:R111,1,MATCH(Parametres!$B$3,G$1:R$1,0))*IF(OR(F111="L",F111="S",F111="I"),-1,1)</f>
        <v>32506.39</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1001.53</v>
      </c>
      <c r="AM112" s="905">
        <f t="shared" si="5"/>
        <v>53.519999999999982</v>
      </c>
      <c r="AN112" s="905">
        <f>INDEX(G112:R112,1,MATCH(Parametres!$B$3,G$1:R$1,0))*IF(OR(F112="L",F112="S",F112="I"),-1,1)</f>
        <v>1055.05</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8395.25</v>
      </c>
      <c r="AM115" s="905">
        <f t="shared" si="5"/>
        <v>1580.6800000000003</v>
      </c>
      <c r="AN115" s="905">
        <f>INDEX(G115:R115,1,MATCH(Parametres!$B$3,G$1:R$1,0))*IF(OR(F115="L",F115="S",F115="I"),-1,1)</f>
        <v>9975.93</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158.4</v>
      </c>
      <c r="AM116" s="905">
        <f t="shared" si="5"/>
        <v>19.799999999999983</v>
      </c>
      <c r="AN116" s="905">
        <f>INDEX(G116:R116,1,MATCH(Parametres!$B$3,G$1:R$1,0))*IF(OR(F116="L",F116="S",F116="I"),-1,1)</f>
        <v>178.2</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7875.32</v>
      </c>
      <c r="AM118" s="905">
        <f t="shared" si="5"/>
        <v>1521.2800000000007</v>
      </c>
      <c r="AN118" s="905">
        <f>INDEX(G118:R118,1,MATCH(Parametres!$B$3,G$1:R$1,0))*IF(OR(F118="L",F118="S",F118="I"),-1,1)</f>
        <v>9396.6</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39.6</v>
      </c>
      <c r="AM119" s="905">
        <f t="shared" si="5"/>
        <v>4.9499999999999957</v>
      </c>
      <c r="AN119" s="905">
        <f>INDEX(G119:R119,1,MATCH(Parametres!$B$3,G$1:R$1,0))*IF(OR(F119="L",F119="S",F119="I"),-1,1)</f>
        <v>44.55</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7875.27</v>
      </c>
      <c r="AM120" s="905">
        <f t="shared" si="5"/>
        <v>1521.2899999999991</v>
      </c>
      <c r="AN120" s="905">
        <f>INDEX(G120:R120,1,MATCH(Parametres!$B$3,G$1:R$1,0))*IF(OR(F120="L",F120="S",F120="I"),-1,1)</f>
        <v>9396.56</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-116156</v>
      </c>
      <c r="AN121" s="905">
        <f>INDEX(G121:R121,1,MATCH(Parametres!$B$3,G$1:R$1,0))*IF(OR(F121="L",F121="S",F121="I"),-1,1)</f>
        <v>-359484</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86692.71</v>
      </c>
      <c r="AM129" s="905">
        <f t="shared" si="5"/>
        <v>15552.229999999996</v>
      </c>
      <c r="AN129" s="905">
        <f>INDEX(G129:R129,1,MATCH(Parametres!$B$3,G$1:R$1,0))*IF(OR(F129="L",F129="S",F129="I"),-1,1)</f>
        <v>102244.94</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29452.97</v>
      </c>
      <c r="AM130" s="905">
        <f t="shared" si="5"/>
        <v>8860.14</v>
      </c>
      <c r="AN130" s="905">
        <f>INDEX(G130:R130,1,MATCH(Parametres!$B$3,G$1:R$1,0))*IF(OR(F130="L",F130="S",F130="I"),-1,1)</f>
        <v>38313.11</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7499.35</v>
      </c>
      <c r="AM132" s="905">
        <f t="shared" ref="AM132:AM195" si="9">AN132-AL132</f>
        <v>1109.9099999999999</v>
      </c>
      <c r="AN132" s="905">
        <f>INDEX(G132:R132,1,MATCH(Parametres!$B$3,G$1:R$1,0))*IF(OR(F132="L",F132="S",F132="I"),-1,1)</f>
        <v>8609.26</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2579.96</v>
      </c>
      <c r="AM133" s="905">
        <f t="shared" si="9"/>
        <v>1261.1399999999999</v>
      </c>
      <c r="AN133" s="905">
        <f>INDEX(G133:R133,1,MATCH(Parametres!$B$3,G$1:R$1,0))*IF(OR(F133="L",F133="S",F133="I"),-1,1)</f>
        <v>3841.1</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1498.88</v>
      </c>
      <c r="AM134" s="905">
        <f t="shared" si="9"/>
        <v>253.13999999999987</v>
      </c>
      <c r="AN134" s="905">
        <f>INDEX(G134:R134,1,MATCH(Parametres!$B$3,G$1:R$1,0))*IF(OR(F134="L",F134="S",F134="I"),-1,1)</f>
        <v>1752.02</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13958.76</v>
      </c>
      <c r="AM141" s="905">
        <f t="shared" si="9"/>
        <v>5034.1200000000008</v>
      </c>
      <c r="AN141" s="905">
        <f>INDEX(G141:R141,1,MATCH(Parametres!$B$3,G$1:R$1,0))*IF(OR(F141="L",F141="S",F141="I"),-1,1)</f>
        <v>18992.88</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12302.69</v>
      </c>
      <c r="AM142" s="905">
        <f t="shared" si="9"/>
        <v>821.70999999999913</v>
      </c>
      <c r="AN142" s="905">
        <f>INDEX(G142:R142,1,MATCH(Parametres!$B$3,G$1:R$1,0))*IF(OR(F142="L",F142="S",F142="I"),-1,1)</f>
        <v>13124.4</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1040.5000000000002</v>
      </c>
      <c r="AN143" s="905">
        <f>INDEX(G143:R143,1,MATCH(Parametres!$B$3,G$1:R$1,0))*IF(OR(F143="L",F143="S",F143="I"),-1,1)</f>
        <v>2123.5300000000002</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34850.93</v>
      </c>
      <c r="AM145" s="905">
        <f t="shared" si="9"/>
        <v>3035.2900000000009</v>
      </c>
      <c r="AN145" s="905">
        <f>INDEX(G145:R145,1,MATCH(Parametres!$B$3,G$1:R$1,0))*IF(OR(F145="L",F145="S",F145="I"),-1,1)</f>
        <v>37886.22</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15686.1</v>
      </c>
      <c r="AM146" s="905">
        <f t="shared" si="9"/>
        <v>892.35999999999876</v>
      </c>
      <c r="AN146" s="905">
        <f>INDEX(G146:R146,1,MATCH(Parametres!$B$3,G$1:R$1,0))*IF(OR(F146="L",F146="S",F146="I"),-1,1)</f>
        <v>16578.46</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20761.61</v>
      </c>
      <c r="AM148" s="905">
        <f t="shared" si="9"/>
        <v>3078.8999999999978</v>
      </c>
      <c r="AN148" s="905">
        <f>INDEX(G148:R148,1,MATCH(Parametres!$B$3,G$1:R$1,0))*IF(OR(F148="L",F148="S",F148="I"),-1,1)</f>
        <v>23840.51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12648.07</v>
      </c>
      <c r="AM149" s="905">
        <f t="shared" si="9"/>
        <v>2561.8899999999994</v>
      </c>
      <c r="AN149" s="905">
        <f>INDEX(G149:R149,1,MATCH(Parametres!$B$3,G$1:R$1,0))*IF(OR(F149="L",F149="S",F149="I"),-1,1)</f>
        <v>15209.96</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13687.55</v>
      </c>
      <c r="AM150" s="905">
        <f t="shared" si="9"/>
        <v>1604.6599999999999</v>
      </c>
      <c r="AN150" s="905">
        <f>INDEX(G150:R150,1,MATCH(Parametres!$B$3,G$1:R$1,0))*IF(OR(F150="L",F150="S",F150="I"),-1,1)</f>
        <v>15292.21</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36526.199999999997</v>
      </c>
      <c r="AM154" s="905">
        <f t="shared" si="9"/>
        <v>4397.8400000000038</v>
      </c>
      <c r="AN154" s="905">
        <f>INDEX(G154:R154,1,MATCH(Parametres!$B$3,G$1:R$1,0))*IF(OR(F154="L",F154="S",F154="I"),-1,1)</f>
        <v>40924.04</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19022.560000000001</v>
      </c>
      <c r="AM155" s="905">
        <f t="shared" si="9"/>
        <v>2832.5299999999988</v>
      </c>
      <c r="AN155" s="905">
        <f>INDEX(G155:R155,1,MATCH(Parametres!$B$3,G$1:R$1,0))*IF(OR(F155="L",F155="S",F155="I"),-1,1)</f>
        <v>21855.09</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69483.509999999995</v>
      </c>
      <c r="AM157" s="905">
        <f t="shared" si="9"/>
        <v>7239.25</v>
      </c>
      <c r="AN157" s="905">
        <f>INDEX(G157:R157,1,MATCH(Parametres!$B$3,G$1:R$1,0))*IF(OR(F157="L",F157="S",F157="I"),-1,1)</f>
        <v>76722.759999999995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25316.41</v>
      </c>
      <c r="AM158" s="905">
        <f t="shared" si="9"/>
        <v>1445.5400000000009</v>
      </c>
      <c r="AN158" s="905">
        <f>INDEX(G158:R158,1,MATCH(Parametres!$B$3,G$1:R$1,0))*IF(OR(F158="L",F158="S",F158="I"),-1,1)</f>
        <v>26761.95</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12952.43</v>
      </c>
      <c r="AM159" s="905">
        <f t="shared" si="9"/>
        <v>1001.5299999999988</v>
      </c>
      <c r="AN159" s="905">
        <f>INDEX(G159:R159,1,MATCH(Parametres!$B$3,G$1:R$1,0))*IF(OR(F159="L",F159="S",F159="I"),-1,1)</f>
        <v>13953.96</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5770.61</v>
      </c>
      <c r="AM163" s="905">
        <f t="shared" si="9"/>
        <v>1787.62</v>
      </c>
      <c r="AN163" s="905">
        <f>INDEX(G163:R163,1,MATCH(Parametres!$B$3,G$1:R$1,0))*IF(OR(F163="L",F163="S",F163="I"),-1,1)</f>
        <v>7558.23</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22991.55</v>
      </c>
      <c r="AM164" s="905">
        <f t="shared" si="9"/>
        <v>9911.91</v>
      </c>
      <c r="AN164" s="905">
        <f>INDEX(G164:R164,1,MATCH(Parametres!$B$3,G$1:R$1,0))*IF(OR(F164="L",F164="S",F164="I"),-1,1)</f>
        <v>32903.46</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2342.58</v>
      </c>
      <c r="AM165" s="905">
        <f t="shared" si="9"/>
        <v>0</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14477.29</v>
      </c>
      <c r="AM166" s="905">
        <f t="shared" si="9"/>
        <v>6479.02</v>
      </c>
      <c r="AN166" s="905">
        <f>INDEX(G166:R166,1,MATCH(Parametres!$B$3,G$1:R$1,0))*IF(OR(F166="L",F166="S",F166="I"),-1,1)</f>
        <v>20956.310000000001</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22180.63</v>
      </c>
      <c r="AM170" s="905">
        <f t="shared" si="9"/>
        <v>9718.5099999999984</v>
      </c>
      <c r="AN170" s="905">
        <f>INDEX(G170:R170,1,MATCH(Parametres!$B$3,G$1:R$1,0))*IF(OR(F170="L",F170="S",F170="I"),-1,1)</f>
        <v>31899.14</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517.75</v>
      </c>
      <c r="AM171" s="905">
        <f t="shared" si="9"/>
        <v>62</v>
      </c>
      <c r="AN171" s="905">
        <f>INDEX(G171:R171,1,MATCH(Parametres!$B$3,G$1:R$1,0))*IF(OR(F171="L",F171="S",F171="I"),-1,1)</f>
        <v>579.75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7238.64</v>
      </c>
      <c r="AM172" s="905">
        <f t="shared" si="9"/>
        <v>3239.5099999999993</v>
      </c>
      <c r="AN172" s="905">
        <f>INDEX(G172:R172,1,MATCH(Parametres!$B$3,G$1:R$1,0))*IF(OR(F172="L",F172="S",F172="I"),-1,1)</f>
        <v>10478.15</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8157.04</v>
      </c>
      <c r="AM174" s="905">
        <f t="shared" si="9"/>
        <v>3239.5000000000009</v>
      </c>
      <c r="AN174" s="905">
        <f>INDEX(G174:R174,1,MATCH(Parametres!$B$3,G$1:R$1,0))*IF(OR(F174="L",F174="S",F174="I"),-1,1)</f>
        <v>11396.54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11203.51</v>
      </c>
      <c r="AM177" s="905">
        <f t="shared" si="9"/>
        <v>1775.1599999999999</v>
      </c>
      <c r="AN177" s="905">
        <f>INDEX(G177:R177,1,MATCH(Parametres!$B$3,G$1:R$1,0))*IF(OR(F177="L",F177="S",F177="I"),-1,1)</f>
        <v>12978.67</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15268.14</v>
      </c>
      <c r="AM178" s="905">
        <f t="shared" si="9"/>
        <v>1195.7299999999996</v>
      </c>
      <c r="AN178" s="905">
        <f>INDEX(G178:R178,1,MATCH(Parametres!$B$3,G$1:R$1,0))*IF(OR(F178="L",F178="S",F178="I"),-1,1)</f>
        <v>16463.87</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4023</v>
      </c>
      <c r="AM179" s="905">
        <f t="shared" si="9"/>
        <v>621</v>
      </c>
      <c r="AN179" s="905">
        <f>INDEX(G179:R179,1,MATCH(Parametres!$B$3,G$1:R$1,0))*IF(OR(F179="L",F179="S",F179="I"),-1,1)</f>
        <v>4644</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11429.74</v>
      </c>
      <c r="AM180" s="905">
        <f t="shared" si="9"/>
        <v>1149.4899999999998</v>
      </c>
      <c r="AN180" s="905">
        <f>INDEX(G180:R180,1,MATCH(Parametres!$B$3,G$1:R$1,0))*IF(OR(F180="L",F180="S",F180="I"),-1,1)</f>
        <v>12579.23</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7409.01</v>
      </c>
      <c r="AM181" s="905">
        <f t="shared" si="9"/>
        <v>177.36999999999989</v>
      </c>
      <c r="AN181" s="905">
        <f>INDEX(G181:R181,1,MATCH(Parametres!$B$3,G$1:R$1,0))*IF(OR(F181="L",F181="S",F181="I"),-1,1)</f>
        <v>7586.38</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4603.7299999999996</v>
      </c>
      <c r="AM183" s="905">
        <f t="shared" si="9"/>
        <v>3000</v>
      </c>
      <c r="AN183" s="905">
        <f>INDEX(G183:R183,1,MATCH(Parametres!$B$3,G$1:R$1,0))*IF(OR(F183="L",F183="S",F183="I"),-1,1)</f>
        <v>7603.73</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3069.15</v>
      </c>
      <c r="AM184" s="905">
        <f t="shared" si="9"/>
        <v>1999.9999999999995</v>
      </c>
      <c r="AN184" s="905">
        <f>INDEX(G184:R184,1,MATCH(Parametres!$B$3,G$1:R$1,0))*IF(OR(F184="L",F184="S",F184="I"),-1,1)</f>
        <v>5069.1499999999996</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5697.67</v>
      </c>
      <c r="AM186" s="905">
        <f t="shared" si="9"/>
        <v>3443.4799999999996</v>
      </c>
      <c r="AN186" s="905">
        <f>INDEX(G186:R186,1,MATCH(Parametres!$B$3,G$1:R$1,0))*IF(OR(F186="L",F186="S",F186="I"),-1,1)</f>
        <v>9141.15</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2265.52</v>
      </c>
      <c r="AM187" s="905">
        <f t="shared" si="9"/>
        <v>1278.48</v>
      </c>
      <c r="AN187" s="905">
        <f>INDEX(G187:R187,1,MATCH(Parametres!$B$3,G$1:R$1,0))*IF(OR(F187="L",F187="S",F187="I"),-1,1)</f>
        <v>3544</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1900.03</v>
      </c>
      <c r="AM188" s="905">
        <f t="shared" si="9"/>
        <v>1139.24</v>
      </c>
      <c r="AN188" s="905">
        <f>INDEX(G188:R188,1,MATCH(Parametres!$B$3,G$1:R$1,0))*IF(OR(F188="L",F188="S",F188="I"),-1,1)</f>
        <v>3039.27</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8583.16</v>
      </c>
      <c r="AM190" s="905">
        <f t="shared" si="9"/>
        <v>157.96999999999935</v>
      </c>
      <c r="AN190" s="905">
        <f>INDEX(G190:R190,1,MATCH(Parametres!$B$3,G$1:R$1,0))*IF(OR(F190="L",F190="S",F190="I"),-1,1)</f>
        <v>8741.1299999999992</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5450.45</v>
      </c>
      <c r="AM191" s="905">
        <f t="shared" si="9"/>
        <v>105.3100000000004</v>
      </c>
      <c r="AN191" s="905">
        <f>INDEX(G191:R191,1,MATCH(Parametres!$B$3,G$1:R$1,0))*IF(OR(F191="L",F191="S",F191="I"),-1,1)</f>
        <v>5555.76</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9140.57</v>
      </c>
      <c r="AM193" s="905">
        <f t="shared" si="9"/>
        <v>212.97000000000116</v>
      </c>
      <c r="AN193" s="905">
        <f>INDEX(G193:R193,1,MATCH(Parametres!$B$3,G$1:R$1,0))*IF(OR(F193="L",F193="S",F193="I"),-1,1)</f>
        <v>9353.5400000000009</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2725.23</v>
      </c>
      <c r="AM194" s="905">
        <f t="shared" si="9"/>
        <v>52.659999999999854</v>
      </c>
      <c r="AN194" s="905">
        <f>INDEX(G194:R194,1,MATCH(Parametres!$B$3,G$1:R$1,0))*IF(OR(F194="L",F194="S",F194="I"),-1,1)</f>
        <v>2777.89</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2795.17</v>
      </c>
      <c r="AM195" s="905">
        <f t="shared" si="9"/>
        <v>52.639999999999873</v>
      </c>
      <c r="AN195" s="905">
        <f>INDEX(G195:R195,1,MATCH(Parametres!$B$3,G$1:R$1,0))*IF(OR(F195="L",F195="S",F195="I"),-1,1)</f>
        <v>2847.81</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5746.03</v>
      </c>
      <c r="AM197" s="905">
        <f t="shared" si="13"/>
        <v>965</v>
      </c>
      <c r="AN197" s="905">
        <f>INDEX(G197:R197,1,MATCH(Parametres!$B$3,G$1:R$1,0))*IF(OR(F197="L",F197="S",F197="I"),-1,1)</f>
        <v>6711.03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16428.32</v>
      </c>
      <c r="AM200" s="905">
        <f t="shared" si="13"/>
        <v>4903.760000000002</v>
      </c>
      <c r="AN200" s="905">
        <f>INDEX(G200:R200,1,MATCH(Parametres!$B$3,G$1:R$1,0))*IF(OR(F200="L",F200="S",F200="I"),-1,1)</f>
        <v>21332.080000000002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1692</v>
      </c>
      <c r="AN201" s="905">
        <f>INDEX(G201:R201,1,MATCH(Parametres!$B$3,G$1:R$1,0))*IF(OR(F201="L",F201="S",F201="I"),-1,1)</f>
        <v>3002.4</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325</v>
      </c>
      <c r="AN202" s="905">
        <f>INDEX(G202:R202,1,MATCH(Parametres!$B$3,G$1:R$1,0))*IF(OR(F202="L",F202="S",F202="I"),-1,1)</f>
        <v>7350</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765414.01</v>
      </c>
      <c r="AM204" s="905">
        <f t="shared" si="13"/>
        <v>43576.689999999944</v>
      </c>
      <c r="AN204" s="905">
        <f>INDEX(G204:R204,1,MATCH(Parametres!$B$3,G$1:R$1,0))*IF(OR(F204="L",F204="S",F204="I"),-1,1)</f>
        <v>808990.7</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182317.34</v>
      </c>
      <c r="AM205" s="905">
        <f t="shared" si="13"/>
        <v>12994.140000000014</v>
      </c>
      <c r="AN205" s="905">
        <f>INDEX(G205:R205,1,MATCH(Parametres!$B$3,G$1:R$1,0))*IF(OR(F205="L",F205="S",F205="I"),-1,1)</f>
        <v>195311.48</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156441.98000000001</v>
      </c>
      <c r="AM206" s="905">
        <f t="shared" si="13"/>
        <v>1662.609999999986</v>
      </c>
      <c r="AN206" s="905">
        <f>INDEX(G206:R206,1,MATCH(Parametres!$B$3,G$1:R$1,0))*IF(OR(F206="L",F206="S",F206="I"),-1,1)</f>
        <v>158104.59</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10923.38</v>
      </c>
      <c r="AM210" s="905">
        <f t="shared" si="13"/>
        <v>2854.1900000000005</v>
      </c>
      <c r="AN210" s="905">
        <f>INDEX(G210:R210,1,MATCH(Parametres!$B$3,G$1:R$1,0))*IF(OR(F210="L",F210="S",F210="I"),-1,1)</f>
        <v>13777.57</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7148.77</v>
      </c>
      <c r="AM211" s="905">
        <f t="shared" si="13"/>
        <v>1902.7700000000004</v>
      </c>
      <c r="AN211" s="905">
        <f>INDEX(G211:R211,1,MATCH(Parametres!$B$3,G$1:R$1,0))*IF(OR(F211="L",F211="S",F211="I"),-1,1)</f>
        <v>9051.5400000000009</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3218.29</v>
      </c>
      <c r="AM213" s="905">
        <f t="shared" si="13"/>
        <v>2679.29</v>
      </c>
      <c r="AN213" s="905">
        <f>INDEX(G213:R213,1,MATCH(Parametres!$B$3,G$1:R$1,0))*IF(OR(F213="L",F213="S",F213="I"),-1,1)</f>
        <v>5897.58</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3644.42</v>
      </c>
      <c r="AM214" s="905">
        <f t="shared" si="13"/>
        <v>951.39000000000033</v>
      </c>
      <c r="AN214" s="905">
        <f>INDEX(G214:R214,1,MATCH(Parametres!$B$3,G$1:R$1,0))*IF(OR(F214="L",F214="S",F214="I"),-1,1)</f>
        <v>4595.8100000000004</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3574.34</v>
      </c>
      <c r="AM215" s="905">
        <f t="shared" si="13"/>
        <v>951.39999999999964</v>
      </c>
      <c r="AN215" s="905">
        <f>INDEX(G215:R215,1,MATCH(Parametres!$B$3,G$1:R$1,0))*IF(OR(F215="L",F215="S",F215="I"),-1,1)</f>
        <v>4525.74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-2017399.16</v>
      </c>
      <c r="AM219" s="905">
        <f t="shared" si="13"/>
        <v>-220606.84000000008</v>
      </c>
      <c r="AN219" s="905">
        <f>INDEX(G219:R219,1,MATCH(Parametres!$B$3,G$1:R$1,0))*IF(OR(F219="L",F219="S",F219="I"),-1,1)</f>
        <v>-2238006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169750</v>
      </c>
      <c r="AM229" s="905">
        <f t="shared" si="13"/>
        <v>21000</v>
      </c>
      <c r="AN229" s="905">
        <f>INDEX(G229:R229,1,MATCH(Parametres!$B$3,G$1:R$1,0))*IF(OR(F229="L",F229="S",F229="I"),-1,1)</f>
        <v>190750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111500</v>
      </c>
      <c r="AM230" s="905">
        <f t="shared" si="13"/>
        <v>14000</v>
      </c>
      <c r="AN230" s="905">
        <f>INDEX(G230:R230,1,MATCH(Parametres!$B$3,G$1:R$1,0))*IF(OR(F230="L",F230="S",F230="I"),-1,1)</f>
        <v>125500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167250</v>
      </c>
      <c r="AM232" s="905">
        <f t="shared" si="13"/>
        <v>21000</v>
      </c>
      <c r="AN232" s="905">
        <f>INDEX(G232:R232,1,MATCH(Parametres!$B$3,G$1:R$1,0))*IF(OR(F232="L",F232="S",F232="I"),-1,1)</f>
        <v>188250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55750</v>
      </c>
      <c r="AM233" s="905">
        <f t="shared" si="13"/>
        <v>7000</v>
      </c>
      <c r="AN233" s="905">
        <f>INDEX(G233:R233,1,MATCH(Parametres!$B$3,G$1:R$1,0))*IF(OR(F233="L",F233="S",F233="I"),-1,1)</f>
        <v>62750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55750</v>
      </c>
      <c r="AM234" s="905">
        <f t="shared" si="13"/>
        <v>7000</v>
      </c>
      <c r="AN234" s="905">
        <f>INDEX(G234:R234,1,MATCH(Parametres!$B$3,G$1:R$1,0))*IF(OR(F234="L",F234="S",F234="I"),-1,1)</f>
        <v>62750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108421.95</v>
      </c>
      <c r="AM236" s="905">
        <f t="shared" si="13"/>
        <v>3015</v>
      </c>
      <c r="AN236" s="905">
        <f>INDEX(G236:R236,1,MATCH(Parametres!$B$3,G$1:R$1,0))*IF(OR(F236="L",F236="S",F236="I"),-1,1)</f>
        <v>111436.95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63564.63</v>
      </c>
      <c r="AM237" s="905">
        <f t="shared" si="13"/>
        <v>2010.0000000000073</v>
      </c>
      <c r="AN237" s="905">
        <f>INDEX(G237:R237,1,MATCH(Parametres!$B$3,G$1:R$1,0))*IF(OR(F237="L",F237="S",F237="I"),-1,1)</f>
        <v>65574.63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105921.95</v>
      </c>
      <c r="AM239" s="905">
        <f t="shared" si="13"/>
        <v>3015</v>
      </c>
      <c r="AN239" s="905">
        <f>INDEX(G239:R239,1,MATCH(Parametres!$B$3,G$1:R$1,0))*IF(OR(F239="L",F239="S",F239="I"),-1,1)</f>
        <v>108936.95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35307.32</v>
      </c>
      <c r="AM240" s="905">
        <f t="shared" si="13"/>
        <v>1005</v>
      </c>
      <c r="AN240" s="905">
        <f>INDEX(G240:R240,1,MATCH(Parametres!$B$3,G$1:R$1,0))*IF(OR(F240="L",F240="S",F240="I"),-1,1)</f>
        <v>36312.32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35307.300000000003</v>
      </c>
      <c r="AM241" s="905">
        <f t="shared" si="13"/>
        <v>1004.989999999998</v>
      </c>
      <c r="AN241" s="905">
        <f>INDEX(G241:R241,1,MATCH(Parametres!$B$3,G$1:R$1,0))*IF(OR(F241="L",F241="S",F241="I"),-1,1)</f>
        <v>36312.29</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19637.669999999998</v>
      </c>
      <c r="AM243" s="905">
        <f t="shared" si="13"/>
        <v>4302.34</v>
      </c>
      <c r="AN243" s="905">
        <f>INDEX(G243:R243,1,MATCH(Parametres!$B$3,G$1:R$1,0))*IF(OR(F243="L",F243="S",F243="I"),-1,1)</f>
        <v>23940.01</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13057.21</v>
      </c>
      <c r="AM244" s="905">
        <f t="shared" si="13"/>
        <v>2868.2300000000014</v>
      </c>
      <c r="AN244" s="905">
        <f>INDEX(G244:R244,1,MATCH(Parametres!$B$3,G$1:R$1,0))*IF(OR(F244="L",F244="S",F244="I"),-1,1)</f>
        <v>15925.44</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28979.26</v>
      </c>
      <c r="AM246" s="905">
        <f t="shared" si="13"/>
        <v>6726.1000000000022</v>
      </c>
      <c r="AN246" s="905">
        <f>INDEX(G246:R246,1,MATCH(Parametres!$B$3,G$1:R$1,0))*IF(OR(F246="L",F246="S",F246="I"),-1,1)</f>
        <v>35705.360000000001</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13305.44</v>
      </c>
      <c r="AM247" s="905">
        <f t="shared" si="13"/>
        <v>1644.6499999999996</v>
      </c>
      <c r="AN247" s="905">
        <f>INDEX(G247:R247,1,MATCH(Parametres!$B$3,G$1:R$1,0))*IF(OR(F247="L",F247="S",F247="I"),-1,1)</f>
        <v>14950.09</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6528.49</v>
      </c>
      <c r="AM248" s="905">
        <f t="shared" si="13"/>
        <v>1434.0600000000004</v>
      </c>
      <c r="AN248" s="905">
        <f>INDEX(G248:R248,1,MATCH(Parametres!$B$3,G$1:R$1,0))*IF(OR(F248="L",F248="S",F248="I"),-1,1)</f>
        <v>7962.55</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336.53</v>
      </c>
      <c r="AM250" s="905">
        <f t="shared" si="13"/>
        <v>41.920000000000016</v>
      </c>
      <c r="AN250" s="905">
        <f>INDEX(G250:R250,1,MATCH(Parametres!$B$3,G$1:R$1,0))*IF(OR(F250="L",F250="S",F250="I"),-1,1)</f>
        <v>378.45</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224.38</v>
      </c>
      <c r="AM251" s="905">
        <f t="shared" si="13"/>
        <v>27.950000000000017</v>
      </c>
      <c r="AN251" s="905">
        <f>INDEX(G251:R251,1,MATCH(Parametres!$B$3,G$1:R$1,0))*IF(OR(F251="L",F251="S",F251="I"),-1,1)</f>
        <v>252.33</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336.53</v>
      </c>
      <c r="AM252" s="905">
        <f t="shared" si="13"/>
        <v>41.920000000000016</v>
      </c>
      <c r="AN252" s="905">
        <f>INDEX(G252:R252,1,MATCH(Parametres!$B$3,G$1:R$1,0))*IF(OR(F252="L",F252="S",F252="I"),-1,1)</f>
        <v>378.45</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112.15</v>
      </c>
      <c r="AM253" s="905">
        <f t="shared" si="13"/>
        <v>13.969999999999999</v>
      </c>
      <c r="AN253" s="905">
        <f>INDEX(G253:R253,1,MATCH(Parametres!$B$3,G$1:R$1,0))*IF(OR(F253="L",F253="S",F253="I"),-1,1)</f>
        <v>126.12</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112.15</v>
      </c>
      <c r="AM254" s="905">
        <f t="shared" si="13"/>
        <v>13.969999999999999</v>
      </c>
      <c r="AN254" s="905">
        <f>INDEX(G254:R254,1,MATCH(Parametres!$B$3,G$1:R$1,0))*IF(OR(F254="L",F254="S",F254="I"),-1,1)</f>
        <v>126.12</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21523.200000000001</v>
      </c>
      <c r="AM256" s="905">
        <f t="shared" si="13"/>
        <v>3671.3999999999978</v>
      </c>
      <c r="AN256" s="905">
        <f>INDEX(G256:R256,1,MATCH(Parametres!$B$3,G$1:R$1,0))*IF(OR(F256="L",F256="S",F256="I"),-1,1)</f>
        <v>25194.6</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14348.8</v>
      </c>
      <c r="AM257" s="905">
        <f t="shared" si="13"/>
        <v>2447.6000000000022</v>
      </c>
      <c r="AN257" s="905">
        <f>INDEX(G257:R257,1,MATCH(Parametres!$B$3,G$1:R$1,0))*IF(OR(F257="L",F257="S",F257="I"),-1,1)</f>
        <v>16796.400000000001</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21523.200000000001</v>
      </c>
      <c r="AM258" s="905">
        <f t="shared" si="13"/>
        <v>3671.3999999999978</v>
      </c>
      <c r="AN258" s="905">
        <f>INDEX(G258:R258,1,MATCH(Parametres!$B$3,G$1:R$1,0))*IF(OR(F258="L",F258="S",F258="I"),-1,1)</f>
        <v>25194.6</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7174.4</v>
      </c>
      <c r="AM259" s="905">
        <f t="shared" si="13"/>
        <v>1223.8000000000011</v>
      </c>
      <c r="AN259" s="905">
        <f>INDEX(G259:R259,1,MATCH(Parametres!$B$3,G$1:R$1,0))*IF(OR(F259="L",F259="S",F259="I"),-1,1)</f>
        <v>8398.2000000000007</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7174.4</v>
      </c>
      <c r="AM260" s="905">
        <f t="shared" ref="AM260:AM323" si="17">AN260-AL260</f>
        <v>1223.8000000000011</v>
      </c>
      <c r="AN260" s="905">
        <f>INDEX(G260:R260,1,MATCH(Parametres!$B$3,G$1:R$1,0))*IF(OR(F260="L",F260="S",F260="I"),-1,1)</f>
        <v>8398.2000000000007</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31376.639999999999</v>
      </c>
      <c r="AM262" s="905">
        <f t="shared" si="17"/>
        <v>3922.0800000000017</v>
      </c>
      <c r="AN262" s="905">
        <f>INDEX(G262:R262,1,MATCH(Parametres!$B$3,G$1:R$1,0))*IF(OR(F262="L",F262="S",F262="I"),-1,1)</f>
        <v>35298.720000000001</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20917.759999999998</v>
      </c>
      <c r="AM263" s="905">
        <f t="shared" si="17"/>
        <v>2614.7200000000012</v>
      </c>
      <c r="AN263" s="905">
        <f>INDEX(G263:R263,1,MATCH(Parametres!$B$3,G$1:R$1,0))*IF(OR(F263="L",F263="S",F263="I"),-1,1)</f>
        <v>23532.48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31376.639999999999</v>
      </c>
      <c r="AM264" s="905">
        <f t="shared" si="17"/>
        <v>3922.0800000000017</v>
      </c>
      <c r="AN264" s="905">
        <f>INDEX(G264:R264,1,MATCH(Parametres!$B$3,G$1:R$1,0))*IF(OR(F264="L",F264="S",F264="I"),-1,1)</f>
        <v>35298.720000000001</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10458.879999999999</v>
      </c>
      <c r="AM265" s="905">
        <f t="shared" si="17"/>
        <v>1307.3600000000006</v>
      </c>
      <c r="AN265" s="905">
        <f>INDEX(G265:R265,1,MATCH(Parametres!$B$3,G$1:R$1,0))*IF(OR(F265="L",F265="S",F265="I"),-1,1)</f>
        <v>11766.24</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10458.959999999999</v>
      </c>
      <c r="AM266" s="905">
        <f t="shared" si="17"/>
        <v>1307.3700000000008</v>
      </c>
      <c r="AN266" s="905">
        <f>INDEX(G266:R266,1,MATCH(Parametres!$B$3,G$1:R$1,0))*IF(OR(F266="L",F266="S",F266="I"),-1,1)</f>
        <v>11766.33</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16906.41</v>
      </c>
      <c r="AM268" s="905">
        <f t="shared" si="17"/>
        <v>2777.0099999999984</v>
      </c>
      <c r="AN268" s="905">
        <f>INDEX(G268:R268,1,MATCH(Parametres!$B$3,G$1:R$1,0))*IF(OR(F268="L",F268="S",F268="I"),-1,1)</f>
        <v>19683.419999999998</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5966.21</v>
      </c>
      <c r="AM269" s="905">
        <f t="shared" si="17"/>
        <v>1144.4700000000003</v>
      </c>
      <c r="AN269" s="905">
        <f>INDEX(G269:R269,1,MATCH(Parametres!$B$3,G$1:R$1,0))*IF(OR(F269="L",F269="S",F269="I"),-1,1)</f>
        <v>7110.68</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21216.75</v>
      </c>
      <c r="AM270" s="905">
        <f t="shared" si="17"/>
        <v>2546.1399999999994</v>
      </c>
      <c r="AN270" s="905">
        <f>INDEX(G270:R270,1,MATCH(Parametres!$B$3,G$1:R$1,0))*IF(OR(F270="L",F270="S",F270="I"),-1,1)</f>
        <v>23762.89</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16511.43</v>
      </c>
      <c r="AM271" s="905">
        <f t="shared" si="17"/>
        <v>2130.4799999999996</v>
      </c>
      <c r="AN271" s="905">
        <f>INDEX(G271:R271,1,MATCH(Parametres!$B$3,G$1:R$1,0))*IF(OR(F271="L",F271="S",F271="I"),-1,1)</f>
        <v>18641.91</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9489.67</v>
      </c>
      <c r="AM272" s="905">
        <f t="shared" si="17"/>
        <v>1338.6000000000004</v>
      </c>
      <c r="AN272" s="905">
        <f>INDEX(G272:R272,1,MATCH(Parametres!$B$3,G$1:R$1,0))*IF(OR(F272="L",F272="S",F272="I"),-1,1)</f>
        <v>10828.27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26972.26</v>
      </c>
      <c r="AM280" s="905">
        <f t="shared" si="17"/>
        <v>3000</v>
      </c>
      <c r="AN280" s="905">
        <f>INDEX(G280:R280,1,MATCH(Parametres!$B$3,G$1:R$1,0))*IF(OR(F280="L",F280="S",F280="I"),-1,1)</f>
        <v>29972.26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17981.5</v>
      </c>
      <c r="AM281" s="905">
        <f t="shared" si="17"/>
        <v>2000</v>
      </c>
      <c r="AN281" s="905">
        <f>INDEX(G281:R281,1,MATCH(Parametres!$B$3,G$1:R$1,0))*IF(OR(F281="L",F281="S",F281="I"),-1,1)</f>
        <v>19981.5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26972.26</v>
      </c>
      <c r="AM283" s="905">
        <f t="shared" si="17"/>
        <v>3000</v>
      </c>
      <c r="AN283" s="905">
        <f>INDEX(G283:R283,1,MATCH(Parametres!$B$3,G$1:R$1,0))*IF(OR(F283="L",F283="S",F283="I"),-1,1)</f>
        <v>29972.26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8990.75</v>
      </c>
      <c r="AM284" s="905">
        <f t="shared" si="17"/>
        <v>1000</v>
      </c>
      <c r="AN284" s="905">
        <f>INDEX(G284:R284,1,MATCH(Parametres!$B$3,G$1:R$1,0))*IF(OR(F284="L",F284="S",F284="I"),-1,1)</f>
        <v>9990.75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8990.75</v>
      </c>
      <c r="AM285" s="905">
        <f t="shared" si="17"/>
        <v>1000</v>
      </c>
      <c r="AN285" s="905">
        <f>INDEX(G285:R285,1,MATCH(Parametres!$B$3,G$1:R$1,0))*IF(OR(F285="L",F285="S",F285="I"),-1,1)</f>
        <v>9990.75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726.32999999999993</v>
      </c>
      <c r="AN287" s="905">
        <f>INDEX(G287:R287,1,MATCH(Parametres!$B$3,G$1:R$1,0))*IF(OR(F287="L",F287="S",F287="I"),-1,1)</f>
        <v>1431.53</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25841.35</v>
      </c>
      <c r="AM289" s="905">
        <f t="shared" si="17"/>
        <v>8333.9500000000044</v>
      </c>
      <c r="AN289" s="905">
        <f>INDEX(G289:R289,1,MATCH(Parametres!$B$3,G$1:R$1,0))*IF(OR(F289="L",F289="S",F289="I"),-1,1)</f>
        <v>34175.300000000003</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13373.27</v>
      </c>
      <c r="AM290" s="905">
        <f t="shared" si="17"/>
        <v>2391.75</v>
      </c>
      <c r="AN290" s="905">
        <f>INDEX(G290:R290,1,MATCH(Parametres!$B$3,G$1:R$1,0))*IF(OR(F290="L",F290="S",F290="I"),-1,1)</f>
        <v>15765.02</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235.74</v>
      </c>
      <c r="AN291" s="905">
        <f>INDEX(G291:R291,1,MATCH(Parametres!$B$3,G$1:R$1,0))*IF(OR(F291="L",F291="S",F291="I"),-1,1)</f>
        <v>1851.16</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26874.25</v>
      </c>
      <c r="AM293" s="905">
        <f t="shared" si="17"/>
        <v>3193.9500000000007</v>
      </c>
      <c r="AN293" s="905">
        <f>INDEX(G293:R293,1,MATCH(Parametres!$B$3,G$1:R$1,0))*IF(OR(F293="L",F293="S",F293="I"),-1,1)</f>
        <v>30068.2</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17916.169999999998</v>
      </c>
      <c r="AM294" s="905">
        <f t="shared" si="17"/>
        <v>2129.3000000000029</v>
      </c>
      <c r="AN294" s="905">
        <f>INDEX(G294:R294,1,MATCH(Parametres!$B$3,G$1:R$1,0))*IF(OR(F294="L",F294="S",F294="I"),-1,1)</f>
        <v>20045.47</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26874.25</v>
      </c>
      <c r="AM295" s="905">
        <f t="shared" si="17"/>
        <v>3193.9500000000007</v>
      </c>
      <c r="AN295" s="905">
        <f>INDEX(G295:R295,1,MATCH(Parametres!$B$3,G$1:R$1,0))*IF(OR(F295="L",F295="S",F295="I"),-1,1)</f>
        <v>30068.2</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8958.09</v>
      </c>
      <c r="AM296" s="905">
        <f t="shared" si="17"/>
        <v>1064.6499999999996</v>
      </c>
      <c r="AN296" s="905">
        <f>INDEX(G296:R296,1,MATCH(Parametres!$B$3,G$1:R$1,0))*IF(OR(F296="L",F296="S",F296="I"),-1,1)</f>
        <v>10022.74</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8958.07</v>
      </c>
      <c r="AM297" s="905">
        <f t="shared" si="17"/>
        <v>1064.6499999999996</v>
      </c>
      <c r="AN297" s="905">
        <f>INDEX(G297:R297,1,MATCH(Parametres!$B$3,G$1:R$1,0))*IF(OR(F297="L",F297="S",F297="I"),-1,1)</f>
        <v>10022.719999999999</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479.84</v>
      </c>
      <c r="AM299" s="905">
        <f t="shared" si="17"/>
        <v>59.980000000000075</v>
      </c>
      <c r="AN299" s="905">
        <f>INDEX(G299:R299,1,MATCH(Parametres!$B$3,G$1:R$1,0))*IF(OR(F299="L",F299="S",F299="I"),-1,1)</f>
        <v>539.82000000000005</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299.92</v>
      </c>
      <c r="AM300" s="905">
        <f t="shared" si="17"/>
        <v>37.490000000000009</v>
      </c>
      <c r="AN300" s="905">
        <f>INDEX(G300:R300,1,MATCH(Parametres!$B$3,G$1:R$1,0))*IF(OR(F300="L",F300="S",F300="I"),-1,1)</f>
        <v>337.41</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4539.78</v>
      </c>
      <c r="AM301" s="905">
        <f t="shared" si="17"/>
        <v>1270.6900000000005</v>
      </c>
      <c r="AN301" s="905">
        <f>INDEX(G301:R301,1,MATCH(Parametres!$B$3,G$1:R$1,0))*IF(OR(F301="L",F301="S",F301="I"),-1,1)</f>
        <v>5810.47</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60</v>
      </c>
      <c r="AM302" s="905">
        <f t="shared" si="17"/>
        <v>571.1</v>
      </c>
      <c r="AN302" s="905">
        <f>INDEX(G302:R302,1,MATCH(Parametres!$B$3,G$1:R$1,0))*IF(OR(F302="L",F302="S",F302="I"),-1,1)</f>
        <v>631.1</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239.89</v>
      </c>
      <c r="AM303" s="905">
        <f t="shared" si="17"/>
        <v>14.990000000000009</v>
      </c>
      <c r="AN303" s="905">
        <f>INDEX(G303:R303,1,MATCH(Parametres!$B$3,G$1:R$1,0))*IF(OR(F303="L",F303="S",F303="I"),-1,1)</f>
        <v>254.88</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-0.02</v>
      </c>
      <c r="AM308" s="905">
        <f t="shared" si="17"/>
        <v>-3.0000000000000002E-2</v>
      </c>
      <c r="AN308" s="905">
        <f>INDEX(G308:R308,1,MATCH(Parametres!$B$3,G$1:R$1,0))*IF(OR(F308="L",F308="S",F308="I"),-1,1)</f>
        <v>-0.05</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315711.92</v>
      </c>
      <c r="AM311" s="905">
        <f t="shared" si="17"/>
        <v>1797824.3200000003</v>
      </c>
      <c r="AN311" s="905">
        <f>INDEX(G311:R311,1,MATCH(Parametres!$B$3,G$1:R$1,0))*IF(OR(F311="L",F311="S",F311="I"),-1,1)</f>
        <v>2113536.2400000002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1413897.15</v>
      </c>
      <c r="AM318" s="905">
        <f t="shared" si="17"/>
        <v>-688531.47999999986</v>
      </c>
      <c r="AN318" s="905">
        <f>INDEX(G318:R318,1,MATCH(Parametres!$B$3,G$1:R$1,0))*IF(OR(F318="L",F318="S",F318="I"),-1,1)</f>
        <v>725365.67</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-74635.53</v>
      </c>
      <c r="AM321" s="905">
        <f t="shared" si="17"/>
        <v>75521.679999999993</v>
      </c>
      <c r="AN321" s="905">
        <f>INDEX(G321:R321,1,MATCH(Parametres!$B$3,G$1:R$1,0))*IF(OR(F321="L",F321="S",F321="I"),-1,1)</f>
        <v>886.15</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630999.43999999994</v>
      </c>
      <c r="AM323" s="905">
        <f t="shared" si="17"/>
        <v>19158.260000000009</v>
      </c>
      <c r="AN323" s="905">
        <f>INDEX(G323:R323,1,MATCH(Parametres!$B$3,G$1:R$1,0))*IF(OR(F323="L",F323="S",F323="I"),-1,1)</f>
        <v>650157.69999999995</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-154253.28</v>
      </c>
      <c r="AM324" s="905">
        <f t="shared" ref="AM324:AM387" si="21">AN324-AL324</f>
        <v>149389.32999999999</v>
      </c>
      <c r="AN324" s="905">
        <f>INDEX(G324:R324,1,MATCH(Parametres!$B$3,G$1:R$1,0))*IF(OR(F324="L",F324="S",F324="I"),-1,1)</f>
        <v>-4863.95</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130889.98</v>
      </c>
      <c r="AM325" s="905">
        <f t="shared" si="21"/>
        <v>-68451.899999999994</v>
      </c>
      <c r="AN325" s="905">
        <f>INDEX(G325:R325,1,MATCH(Parametres!$B$3,G$1:R$1,0))*IF(OR(F325="L",F325="S",F325="I"),-1,1)</f>
        <v>62438.080000000002</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94119.27</v>
      </c>
      <c r="AM327" s="905">
        <f t="shared" si="21"/>
        <v>52331.039999999994</v>
      </c>
      <c r="AN327" s="905">
        <f>INDEX(G327:R327,1,MATCH(Parametres!$B$3,G$1:R$1,0))*IF(OR(F327="L",F327="S",F327="I"),-1,1)</f>
        <v>146450.31</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1116291.1000000001</v>
      </c>
      <c r="AM328" s="905">
        <f t="shared" si="21"/>
        <v>373412.20999999996</v>
      </c>
      <c r="AN328" s="905">
        <f>INDEX(G328:R328,1,MATCH(Parametres!$B$3,G$1:R$1,0))*IF(OR(F328="L",F328="S",F328="I"),-1,1)</f>
        <v>1489703.31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33311.39</v>
      </c>
      <c r="AM329" s="905">
        <f t="shared" si="21"/>
        <v>5635.6100000000006</v>
      </c>
      <c r="AN329" s="905">
        <f>INDEX(G329:R329,1,MATCH(Parametres!$B$3,G$1:R$1,0))*IF(OR(F329="L",F329="S",F329="I"),-1,1)</f>
        <v>38947</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1278566</v>
      </c>
      <c r="AM330" s="905">
        <f t="shared" si="21"/>
        <v>305224.5</v>
      </c>
      <c r="AN330" s="905">
        <f>INDEX(G330:R330,1,MATCH(Parametres!$B$3,G$1:R$1,0))*IF(OR(F330="L",F330="S",F330="I"),-1,1)</f>
        <v>1583790.5</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-67068.259999999995</v>
      </c>
      <c r="AM331" s="905">
        <f t="shared" si="21"/>
        <v>381400.75</v>
      </c>
      <c r="AN331" s="905">
        <f>INDEX(G331:R331,1,MATCH(Parametres!$B$3,G$1:R$1,0))*IF(OR(F331="L",F331="S",F331="I"),-1,1)</f>
        <v>314332.49</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-176601.84</v>
      </c>
      <c r="AM333" s="905">
        <f t="shared" si="21"/>
        <v>-30448.239999999991</v>
      </c>
      <c r="AN333" s="905">
        <f>INDEX(G333:R333,1,MATCH(Parametres!$B$3,G$1:R$1,0))*IF(OR(F333="L",F333="S",F333="I"),-1,1)</f>
        <v>-207050.08</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615813.87</v>
      </c>
      <c r="AM334" s="905">
        <f t="shared" si="21"/>
        <v>-274191.69</v>
      </c>
      <c r="AN334" s="905">
        <f>INDEX(G334:R334,1,MATCH(Parametres!$B$3,G$1:R$1,0))*IF(OR(F334="L",F334="S",F334="I"),-1,1)</f>
        <v>341622.18</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-61635.03</v>
      </c>
      <c r="AM337" s="905">
        <f t="shared" si="21"/>
        <v>288180.92000000004</v>
      </c>
      <c r="AN337" s="905">
        <f>INDEX(G337:R337,1,MATCH(Parametres!$B$3,G$1:R$1,0))*IF(OR(F337="L",F337="S",F337="I"),-1,1)</f>
        <v>226545.89</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-66501.23</v>
      </c>
      <c r="AM342" s="905">
        <f t="shared" si="21"/>
        <v>66501.23</v>
      </c>
      <c r="AN342" s="905">
        <f>INDEX(G342:R342,1,MATCH(Parametres!$B$3,G$1:R$1,0))*IF(OR(F342="L",F342="S",F342="I"),-1,1)</f>
        <v>0</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253507.12</v>
      </c>
      <c r="AN344" s="905">
        <f>INDEX(G344:R344,1,MATCH(Parametres!$B$3,G$1:R$1,0))*IF(OR(F344="L",F344="S",F344="I"),-1,1)</f>
        <v>249861.53</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12997.11</v>
      </c>
      <c r="AM347" s="905">
        <f t="shared" si="21"/>
        <v>120776.36</v>
      </c>
      <c r="AN347" s="905">
        <f>INDEX(G347:R347,1,MATCH(Parametres!$B$3,G$1:R$1,0))*IF(OR(F347="L",F347="S",F347="I"),-1,1)</f>
        <v>133773.47</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101751.3</v>
      </c>
      <c r="AM348" s="905">
        <f t="shared" si="21"/>
        <v>-441.57000000000698</v>
      </c>
      <c r="AN348" s="905">
        <f>INDEX(G348:R348,1,MATCH(Parametres!$B$3,G$1:R$1,0))*IF(OR(F348="L",F348="S",F348="I"),-1,1)</f>
        <v>101309.73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0</v>
      </c>
      <c r="AM349" s="905">
        <f t="shared" si="21"/>
        <v>0</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-53807.73</v>
      </c>
      <c r="AN350" s="905">
        <f>INDEX(G350:R350,1,MATCH(Parametres!$B$3,G$1:R$1,0))*IF(OR(F350="L",F350="S",F350="I"),-1,1)</f>
        <v>-53807.73</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54254.26</v>
      </c>
      <c r="AM351" s="905">
        <f t="shared" si="21"/>
        <v>1045139.73</v>
      </c>
      <c r="AN351" s="905">
        <f>INDEX(G351:R351,1,MATCH(Parametres!$B$3,G$1:R$1,0))*IF(OR(F351="L",F351="S",F351="I"),-1,1)</f>
        <v>1099393.99</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1225828.3400000001</v>
      </c>
      <c r="AM352" s="905">
        <f t="shared" si="21"/>
        <v>-918465.24000000011</v>
      </c>
      <c r="AN352" s="905">
        <f>INDEX(G352:R352,1,MATCH(Parametres!$B$3,G$1:R$1,0))*IF(OR(F352="L",F352="S",F352="I"),-1,1)</f>
        <v>307363.09999999998</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27537.31</v>
      </c>
      <c r="AM354" s="905">
        <f t="shared" si="21"/>
        <v>-1102.4000000000015</v>
      </c>
      <c r="AN354" s="905">
        <f>INDEX(G354:R354,1,MATCH(Parametres!$B$3,G$1:R$1,0))*IF(OR(F354="L",F354="S",F354="I"),-1,1)</f>
        <v>26434.91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109816.98</v>
      </c>
      <c r="AM355" s="905">
        <f t="shared" si="21"/>
        <v>0</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227.64</v>
      </c>
      <c r="AM357" s="905">
        <f t="shared" si="21"/>
        <v>-41234.75</v>
      </c>
      <c r="AN357" s="905">
        <f>INDEX(G357:R357,1,MATCH(Parametres!$B$3,G$1:R$1,0))*IF(OR(F357="L",F357="S",F357="I"),-1,1)</f>
        <v>-41007.11</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4192438.37</v>
      </c>
      <c r="AM363" s="905">
        <f t="shared" si="21"/>
        <v>1609703.1399999997</v>
      </c>
      <c r="AN363" s="905">
        <f>INDEX(G363:R363,1,MATCH(Parametres!$B$3,G$1:R$1,0))*IF(OR(F363="L",F363="S",F363="I"),-1,1)</f>
        <v>5802141.5099999998</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9.07</v>
      </c>
      <c r="AM368" s="905">
        <f t="shared" si="21"/>
        <v>-9.07</v>
      </c>
      <c r="AN368" s="905">
        <f>INDEX(G368:R368,1,MATCH(Parametres!$B$3,G$1:R$1,0))*IF(OR(F368="L",F368="S",F368="I"),-1,1)</f>
        <v>0</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-347.8</v>
      </c>
      <c r="AM370" s="905">
        <f t="shared" si="21"/>
        <v>347.8</v>
      </c>
      <c r="AN370" s="905">
        <f>INDEX(G370:R370,1,MATCH(Parametres!$B$3,G$1:R$1,0))*IF(OR(F370="L",F370="S",F370="I"),-1,1)</f>
        <v>0</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146912</v>
      </c>
      <c r="AM374" s="905">
        <f t="shared" si="21"/>
        <v>359125</v>
      </c>
      <c r="AN374" s="905">
        <f>INDEX(G374:R374,1,MATCH(Parametres!$B$3,G$1:R$1,0))*IF(OR(F374="L",F374="S",F374="I"),-1,1)</f>
        <v>506037</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18733774.649999999</v>
      </c>
      <c r="AM376" s="905">
        <f t="shared" si="21"/>
        <v>4210675.2400000021</v>
      </c>
      <c r="AN376" s="905">
        <f>INDEX(G376:R376,1,MATCH(Parametres!$B$3,G$1:R$1,0))*IF(OR(F376="L",F376="S",F376="I"),-1,1)</f>
        <v>22944449.890000001</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435292.38</v>
      </c>
      <c r="AM377" s="905">
        <f t="shared" si="21"/>
        <v>-132563.35999999999</v>
      </c>
      <c r="AN377" s="905">
        <f>INDEX(G377:R377,1,MATCH(Parametres!$B$3,G$1:R$1,0))*IF(OR(F377="L",F377="S",F377="I"),-1,1)</f>
        <v>302729.02</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2371907.33</v>
      </c>
      <c r="AM379" s="905">
        <f t="shared" si="21"/>
        <v>-7378.2900000000373</v>
      </c>
      <c r="AN379" s="905">
        <f>INDEX(G379:R379,1,MATCH(Parametres!$B$3,G$1:R$1,0))*IF(OR(F379="L",F379="S",F379="I"),-1,1)</f>
        <v>2364529.04</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2325043.79</v>
      </c>
      <c r="AM380" s="905">
        <f t="shared" si="21"/>
        <v>-681009.76</v>
      </c>
      <c r="AN380" s="905">
        <f>INDEX(G380:R380,1,MATCH(Parametres!$B$3,G$1:R$1,0))*IF(OR(F380="L",F380="S",F380="I"),-1,1)</f>
        <v>1644034.03</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342605.14</v>
      </c>
      <c r="AM382" s="905">
        <f t="shared" si="21"/>
        <v>-36661.340000000026</v>
      </c>
      <c r="AN382" s="905">
        <f>INDEX(G382:R382,1,MATCH(Parametres!$B$3,G$1:R$1,0))*IF(OR(F382="L",F382="S",F382="I"),-1,1)</f>
        <v>305943.8</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144861.64000000001</v>
      </c>
      <c r="AM383" s="905">
        <f t="shared" si="21"/>
        <v>125342.29999999999</v>
      </c>
      <c r="AN383" s="905">
        <f>INDEX(G383:R383,1,MATCH(Parametres!$B$3,G$1:R$1,0))*IF(OR(F383="L",F383="S",F383="I"),-1,1)</f>
        <v>270203.94</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4727.28</v>
      </c>
      <c r="AM385" s="905">
        <f t="shared" si="21"/>
        <v>-1164.56</v>
      </c>
      <c r="AN385" s="905">
        <f>INDEX(G385:R385,1,MATCH(Parametres!$B$3,G$1:R$1,0))*IF(OR(F385="L",F385="S",F385="I"),-1,1)</f>
        <v>3562.72</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62364.19</v>
      </c>
      <c r="AM386" s="905">
        <f t="shared" si="21"/>
        <v>11438.39</v>
      </c>
      <c r="AN386" s="905">
        <f>INDEX(G386:R386,1,MATCH(Parametres!$B$3,G$1:R$1,0))*IF(OR(F386="L",F386="S",F386="I"),-1,1)</f>
        <v>73802.58</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1736.5</v>
      </c>
      <c r="AM387" s="905">
        <f t="shared" si="21"/>
        <v>582.84999999999991</v>
      </c>
      <c r="AN387" s="905">
        <f>INDEX(G387:R387,1,MATCH(Parametres!$B$3,G$1:R$1,0))*IF(OR(F387="L",F387="S",F387="I"),-1,1)</f>
        <v>2319.35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37101.379999999997</v>
      </c>
      <c r="AM388" s="905">
        <f t="shared" ref="AM388:AM451" si="25">AN388-AL388</f>
        <v>15111.470000000001</v>
      </c>
      <c r="AN388" s="905">
        <f>INDEX(G388:R388,1,MATCH(Parametres!$B$3,G$1:R$1,0))*IF(OR(F388="L",F388="S",F388="I"),-1,1)</f>
        <v>52212.85</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11001.3</v>
      </c>
      <c r="AM389" s="905">
        <f t="shared" si="25"/>
        <v>-5671.6699999999992</v>
      </c>
      <c r="AN389" s="905">
        <f>INDEX(G389:R389,1,MATCH(Parametres!$B$3,G$1:R$1,0))*IF(OR(F389="L",F389="S",F389="I"),-1,1)</f>
        <v>5329.63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3670.2</v>
      </c>
      <c r="AM390" s="905">
        <f t="shared" si="25"/>
        <v>-1657.2399999999998</v>
      </c>
      <c r="AN390" s="905">
        <f>INDEX(G390:R390,1,MATCH(Parametres!$B$3,G$1:R$1,0))*IF(OR(F390="L",F390="S",F390="I"),-1,1)</f>
        <v>2012.96</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94000</v>
      </c>
      <c r="AM391" s="905">
        <f t="shared" si="25"/>
        <v>18000</v>
      </c>
      <c r="AN391" s="905">
        <f>INDEX(G391:R391,1,MATCH(Parametres!$B$3,G$1:R$1,0))*IF(OR(F391="L",F391="S",F391="I"),-1,1)</f>
        <v>112000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-16149.31</v>
      </c>
      <c r="AM395" s="905">
        <f t="shared" si="25"/>
        <v>-9217.4</v>
      </c>
      <c r="AN395" s="905">
        <f>INDEX(G395:R395,1,MATCH(Parametres!$B$3,G$1:R$1,0))*IF(OR(F395="L",F395="S",F395="I"),-1,1)</f>
        <v>-25366.71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422170.03</v>
      </c>
      <c r="AM396" s="905">
        <f t="shared" si="25"/>
        <v>-106074.90000000002</v>
      </c>
      <c r="AN396" s="905">
        <f>INDEX(G396:R396,1,MATCH(Parametres!$B$3,G$1:R$1,0))*IF(OR(F396="L",F396="S",F396="I"),-1,1)</f>
        <v>316095.13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-100286</v>
      </c>
      <c r="AM397" s="905">
        <f t="shared" si="25"/>
        <v>35618.94</v>
      </c>
      <c r="AN397" s="905">
        <f>INDEX(G397:R397,1,MATCH(Parametres!$B$3,G$1:R$1,0))*IF(OR(F397="L",F397="S",F397="I"),-1,1)</f>
        <v>-64667.06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9388.94</v>
      </c>
      <c r="AM398" s="905">
        <f t="shared" si="25"/>
        <v>-2224.2000000000007</v>
      </c>
      <c r="AN398" s="905">
        <f>INDEX(G398:R398,1,MATCH(Parametres!$B$3,G$1:R$1,0))*IF(OR(F398="L",F398="S",F398="I"),-1,1)</f>
        <v>7164.74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2487.73</v>
      </c>
      <c r="AM399" s="905">
        <f t="shared" si="25"/>
        <v>6998.1400000000012</v>
      </c>
      <c r="AN399" s="905">
        <f>INDEX(G399:R399,1,MATCH(Parametres!$B$3,G$1:R$1,0))*IF(OR(F399="L",F399="S",F399="I"),-1,1)</f>
        <v>9485.8700000000008</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-561661.64</v>
      </c>
      <c r="AM403" s="905">
        <f t="shared" si="25"/>
        <v>743533.33000000007</v>
      </c>
      <c r="AN403" s="905">
        <f>INDEX(G403:R403,1,MATCH(Parametres!$B$3,G$1:R$1,0))*IF(OR(F403="L",F403="S",F403="I"),-1,1)</f>
        <v>181871.69</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-64718.17</v>
      </c>
      <c r="AM404" s="905">
        <f t="shared" si="25"/>
        <v>77249.97</v>
      </c>
      <c r="AN404" s="905">
        <f>INDEX(G404:R404,1,MATCH(Parametres!$B$3,G$1:R$1,0))*IF(OR(F404="L",F404="S",F404="I"),-1,1)</f>
        <v>12531.8</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52294.35</v>
      </c>
      <c r="AM405" s="905">
        <f t="shared" si="25"/>
        <v>-13073.61</v>
      </c>
      <c r="AN405" s="905">
        <f>INDEX(G405:R405,1,MATCH(Parametres!$B$3,G$1:R$1,0))*IF(OR(F405="L",F405="S",F405="I"),-1,1)</f>
        <v>39220.74</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2311862.33</v>
      </c>
      <c r="AM406" s="905">
        <f t="shared" si="25"/>
        <v>-2188780.09</v>
      </c>
      <c r="AN406" s="905">
        <f>INDEX(G406:R406,1,MATCH(Parametres!$B$3,G$1:R$1,0))*IF(OR(F406="L",F406="S",F406="I"),-1,1)</f>
        <v>123082.24000000001</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1659359.27</v>
      </c>
      <c r="AM410" s="905">
        <f t="shared" si="25"/>
        <v>50661.35999999987</v>
      </c>
      <c r="AN410" s="905">
        <f>INDEX(G410:R410,1,MATCH(Parametres!$B$3,G$1:R$1,0))*IF(OR(F410="L",F410="S",F410="I"),-1,1)</f>
        <v>1710020.63</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7500</v>
      </c>
      <c r="AN412" s="905">
        <f>INDEX(G412:R412,1,MATCH(Parametres!$B$3,G$1:R$1,0))*IF(OR(F412="L",F412="S",F412="I"),-1,1)</f>
        <v>367060.54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2049</v>
      </c>
      <c r="AN415" s="905">
        <f>INDEX(G415:R415,1,MATCH(Parametres!$B$3,G$1:R$1,0))*IF(OR(F415="L",F415="S",F415="I"),-1,1)</f>
        <v>256011.99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11000000</v>
      </c>
      <c r="AM419" s="905">
        <f t="shared" si="25"/>
        <v>-2000000</v>
      </c>
      <c r="AN419" s="905">
        <f>INDEX(G419:R419,1,MATCH(Parametres!$B$3,G$1:R$1,0))*IF(OR(F419="L",F419="S",F419="I"),-1,1)</f>
        <v>9000000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-778397.84</v>
      </c>
      <c r="AM422" s="905">
        <f t="shared" si="25"/>
        <v>-1464992.7400000002</v>
      </c>
      <c r="AN422" s="905">
        <f>INDEX(G422:R422,1,MATCH(Parametres!$B$3,G$1:R$1,0))*IF(OR(F422="L",F422="S",F422="I"),-1,1)</f>
        <v>-2243390.58</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-13592.63</v>
      </c>
      <c r="AM425" s="905">
        <f t="shared" si="25"/>
        <v>-3366.2199999999993</v>
      </c>
      <c r="AN425" s="905">
        <f>INDEX(G425:R425,1,MATCH(Parametres!$B$3,G$1:R$1,0))*IF(OR(F425="L",F425="S",F425="I"),-1,1)</f>
        <v>-16958.849999999999</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-2281.5</v>
      </c>
      <c r="AM426" s="905">
        <f t="shared" si="25"/>
        <v>382.5</v>
      </c>
      <c r="AN426" s="905">
        <f>INDEX(G426:R426,1,MATCH(Parametres!$B$3,G$1:R$1,0))*IF(OR(F426="L",F426="S",F426="I"),-1,1)</f>
        <v>-1899</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1150</v>
      </c>
      <c r="AM432" s="905">
        <f t="shared" si="25"/>
        <v>-1150</v>
      </c>
      <c r="AN432" s="905">
        <f>INDEX(G432:R432,1,MATCH(Parametres!$B$3,G$1:R$1,0))*IF(OR(F432="L",F432="S",F432="I"),-1,1)</f>
        <v>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-253226.07</v>
      </c>
      <c r="AM433" s="905">
        <f t="shared" si="25"/>
        <v>-51354.31</v>
      </c>
      <c r="AN433" s="905">
        <f>INDEX(G433:R433,1,MATCH(Parametres!$B$3,G$1:R$1,0))*IF(OR(F433="L",F433="S",F433="I"),-1,1)</f>
        <v>-304580.38</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-452884.42</v>
      </c>
      <c r="AM434" s="905">
        <f t="shared" si="25"/>
        <v>142281.70000000001</v>
      </c>
      <c r="AN434" s="905">
        <f>INDEX(G434:R434,1,MATCH(Parametres!$B$3,G$1:R$1,0))*IF(OR(F434="L",F434="S",F434="I"),-1,1)</f>
        <v>-310602.71999999997</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2350000</v>
      </c>
      <c r="AN436" s="905">
        <f>INDEX(G436:R436,1,MATCH(Parametres!$B$3,G$1:R$1,0))*IF(OR(F436="L",F436="S",F436="I"),-1,1)</f>
        <v>-12640782.34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-20517457.690000001</v>
      </c>
      <c r="AM440" s="905">
        <f t="shared" si="25"/>
        <v>-6012428.129999999</v>
      </c>
      <c r="AN440" s="905">
        <f>INDEX(G440:R440,1,MATCH(Parametres!$B$3,G$1:R$1,0))*IF(OR(F440="L",F440="S",F440="I"),-1,1)</f>
        <v>-26529885.82</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-4588456.09</v>
      </c>
      <c r="AM441" s="905">
        <f t="shared" si="25"/>
        <v>616592.98</v>
      </c>
      <c r="AN441" s="905">
        <f>INDEX(G441:R441,1,MATCH(Parametres!$B$3,G$1:R$1,0))*IF(OR(F441="L",F441="S",F441="I"),-1,1)</f>
        <v>-3971863.11</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0</v>
      </c>
      <c r="AM443" s="905">
        <f t="shared" si="25"/>
        <v>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-1717.72</v>
      </c>
      <c r="AM446" s="905">
        <f t="shared" si="25"/>
        <v>2328.4899999999998</v>
      </c>
      <c r="AN446" s="905">
        <f>INDEX(G446:R446,1,MATCH(Parametres!$B$3,G$1:R$1,0))*IF(OR(F446="L",F446="S",F446="I"),-1,1)</f>
        <v>610.77</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-80355.47</v>
      </c>
      <c r="AM447" s="905">
        <f t="shared" si="25"/>
        <v>-36290.94</v>
      </c>
      <c r="AN447" s="905">
        <f>INDEX(G447:R447,1,MATCH(Parametres!$B$3,G$1:R$1,0))*IF(OR(F447="L",F447="S",F447="I"),-1,1)</f>
        <v>-116646.41</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-140693.9</v>
      </c>
      <c r="AM448" s="905">
        <f t="shared" si="25"/>
        <v>-43761.020000000019</v>
      </c>
      <c r="AN448" s="905">
        <f>INDEX(G448:R448,1,MATCH(Parametres!$B$3,G$1:R$1,0))*IF(OR(F448="L",F448="S",F448="I"),-1,1)</f>
        <v>-184454.92</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303782.78000000003</v>
      </c>
      <c r="AM453" s="905">
        <f t="shared" si="29"/>
        <v>28063</v>
      </c>
      <c r="AN453" s="905">
        <f>INDEX(G453:R453,1,MATCH(Parametres!$B$3,G$1:R$1,0))*IF(OR(F453="L",F453="S",F453="I"),-1,1)</f>
        <v>331845.78000000003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-4666.7700000000004</v>
      </c>
      <c r="AM461" s="905">
        <f t="shared" si="29"/>
        <v>-196.57999999999993</v>
      </c>
      <c r="AN461" s="905">
        <f>INDEX(G461:R461,1,MATCH(Parametres!$B$3,G$1:R$1,0))*IF(OR(F461="L",F461="S",F461="I"),-1,1)</f>
        <v>-4863.3500000000004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-120489.24</v>
      </c>
      <c r="AM462" s="905">
        <f t="shared" si="29"/>
        <v>-27720.58</v>
      </c>
      <c r="AN462" s="905">
        <f>INDEX(G462:R462,1,MATCH(Parametres!$B$3,G$1:R$1,0))*IF(OR(F462="L",F462="S",F462="I"),-1,1)</f>
        <v>-148209.82</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-896866.9</v>
      </c>
      <c r="AM463" s="905">
        <f t="shared" si="29"/>
        <v>-92266.089999999967</v>
      </c>
      <c r="AN463" s="905">
        <f>INDEX(G463:R463,1,MATCH(Parametres!$B$3,G$1:R$1,0))*IF(OR(F463="L",F463="S",F463="I"),-1,1)</f>
        <v>-989132.99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-1250.55</v>
      </c>
      <c r="AM464" s="905">
        <f t="shared" si="29"/>
        <v>-68.490000000000009</v>
      </c>
      <c r="AN464" s="905">
        <f>INDEX(G464:R464,1,MATCH(Parametres!$B$3,G$1:R$1,0))*IF(OR(F464="L",F464="S",F464="I"),-1,1)</f>
        <v>-1319.04</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-5629.44</v>
      </c>
      <c r="AM465" s="905">
        <f t="shared" si="29"/>
        <v>-4980.2</v>
      </c>
      <c r="AN465" s="905">
        <f>INDEX(G465:R465,1,MATCH(Parametres!$B$3,G$1:R$1,0))*IF(OR(F465="L",F465="S",F465="I"),-1,1)</f>
        <v>-10609.64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81996.95</v>
      </c>
      <c r="AM467" s="905">
        <f t="shared" si="29"/>
        <v>7580.1699999999983</v>
      </c>
      <c r="AN467" s="905">
        <f>INDEX(G467:R467,1,MATCH(Parametres!$B$3,G$1:R$1,0))*IF(OR(F467="L",F467="S",F467="I"),-1,1)</f>
        <v>89577.12</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-24353.72</v>
      </c>
      <c r="AM468" s="905">
        <f t="shared" si="29"/>
        <v>10556.810000000001</v>
      </c>
      <c r="AN468" s="905">
        <f>INDEX(G468:R468,1,MATCH(Parametres!$B$3,G$1:R$1,0))*IF(OR(F468="L",F468="S",F468="I"),-1,1)</f>
        <v>-13796.91</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-213342.22</v>
      </c>
      <c r="AM470" s="905">
        <f t="shared" si="29"/>
        <v>5360.9400000000023</v>
      </c>
      <c r="AN470" s="905">
        <f>INDEX(G470:R470,1,MATCH(Parametres!$B$3,G$1:R$1,0))*IF(OR(F470="L",F470="S",F470="I"),-1,1)</f>
        <v>-207981.28</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-3800</v>
      </c>
      <c r="AM471" s="905">
        <f t="shared" si="29"/>
        <v>-3525</v>
      </c>
      <c r="AN471" s="905">
        <f>INDEX(G471:R471,1,MATCH(Parametres!$B$3,G$1:R$1,0))*IF(OR(F471="L",F471="S",F471="I"),-1,1)</f>
        <v>-7325</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-76472.27</v>
      </c>
      <c r="AM472" s="905">
        <f t="shared" si="29"/>
        <v>65966.27</v>
      </c>
      <c r="AN472" s="905">
        <f>INDEX(G472:R472,1,MATCH(Parametres!$B$3,G$1:R$1,0))*IF(OR(F472="L",F472="S",F472="I"),-1,1)</f>
        <v>-10506</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-113750.34</v>
      </c>
      <c r="AM473" s="905">
        <f t="shared" si="29"/>
        <v>556</v>
      </c>
      <c r="AN473" s="905">
        <f>INDEX(G473:R473,1,MATCH(Parametres!$B$3,G$1:R$1,0))*IF(OR(F473="L",F473="S",F473="I"),-1,1)</f>
        <v>-113194.34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-8266.32</v>
      </c>
      <c r="AN474" s="905">
        <f>INDEX(G474:R474,1,MATCH(Parametres!$B$3,G$1:R$1,0))*IF(OR(F474="L",F474="S",F474="I"),-1,1)</f>
        <v>-8266.32</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21489.32</v>
      </c>
      <c r="AN475" s="905">
        <f>INDEX(G475:R475,1,MATCH(Parametres!$B$3,G$1:R$1,0))*IF(OR(F475="L",F475="S",F475="I"),-1,1)</f>
        <v>21489.32</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-9730</v>
      </c>
      <c r="AM477" s="905">
        <f t="shared" si="29"/>
        <v>-200</v>
      </c>
      <c r="AN477" s="905">
        <f>INDEX(G477:R477,1,MATCH(Parametres!$B$3,G$1:R$1,0))*IF(OR(F477="L",F477="S",F477="I"),-1,1)</f>
        <v>-9930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-62500</v>
      </c>
      <c r="AM478" s="905">
        <f t="shared" si="29"/>
        <v>35359.699999999997</v>
      </c>
      <c r="AN478" s="905">
        <f>INDEX(G478:R478,1,MATCH(Parametres!$B$3,G$1:R$1,0))*IF(OR(F478="L",F478="S",F478="I"),-1,1)</f>
        <v>-27140.3</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58900</v>
      </c>
      <c r="AN479" s="905">
        <f>INDEX(G479:R479,1,MATCH(Parametres!$B$3,G$1:R$1,0))*IF(OR(F479="L",F479="S",F479="I"),-1,1)</f>
        <v>-47500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0</v>
      </c>
      <c r="AM480" s="905">
        <f t="shared" si="29"/>
        <v>-300</v>
      </c>
      <c r="AN480" s="905">
        <f>INDEX(G480:R480,1,MATCH(Parametres!$B$3,G$1:R$1,0))*IF(OR(F480="L",F480="S",F480="I"),-1,1)</f>
        <v>-300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-6204.1</v>
      </c>
      <c r="AM482" s="905">
        <f t="shared" si="29"/>
        <v>-250</v>
      </c>
      <c r="AN482" s="905">
        <f>INDEX(G482:R482,1,MATCH(Parametres!$B$3,G$1:R$1,0))*IF(OR(F482="L",F482="S",F482="I"),-1,1)</f>
        <v>-6454.1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-1374190.14</v>
      </c>
      <c r="AM488" s="905">
        <f t="shared" si="29"/>
        <v>-5029.8600000001024</v>
      </c>
      <c r="AN488" s="905">
        <f>INDEX(G488:R488,1,MATCH(Parametres!$B$3,G$1:R$1,0))*IF(OR(F488="L",F488="S",F488="I"),-1,1)</f>
        <v>-1379220</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-689.35</v>
      </c>
      <c r="AM489" s="905">
        <f t="shared" si="29"/>
        <v>-94.360000000000014</v>
      </c>
      <c r="AN489" s="905">
        <f>INDEX(G489:R489,1,MATCH(Parametres!$B$3,G$1:R$1,0))*IF(OR(F489="L",F489="S",F489="I"),-1,1)</f>
        <v>-783.71</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-311699.43</v>
      </c>
      <c r="AM490" s="905">
        <f t="shared" si="29"/>
        <v>-824.96000000002095</v>
      </c>
      <c r="AN490" s="905">
        <f>INDEX(G490:R490,1,MATCH(Parametres!$B$3,G$1:R$1,0))*IF(OR(F490="L",F490="S",F490="I"),-1,1)</f>
        <v>-312524.39</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-69618.27</v>
      </c>
      <c r="AM491" s="905">
        <f t="shared" si="29"/>
        <v>-1739.3600000000006</v>
      </c>
      <c r="AN491" s="905">
        <f>INDEX(G491:R491,1,MATCH(Parametres!$B$3,G$1:R$1,0))*IF(OR(F491="L",F491="S",F491="I"),-1,1)</f>
        <v>-71357.63</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-51898.34</v>
      </c>
      <c r="AM492" s="905">
        <f t="shared" si="29"/>
        <v>-2190.1400000000067</v>
      </c>
      <c r="AN492" s="905">
        <f>INDEX(G492:R492,1,MATCH(Parametres!$B$3,G$1:R$1,0))*IF(OR(F492="L",F492="S",F492="I"),-1,1)</f>
        <v>-54088.480000000003</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-183487.81</v>
      </c>
      <c r="AM493" s="905">
        <f t="shared" si="29"/>
        <v>-767.82000000000698</v>
      </c>
      <c r="AN493" s="905">
        <f>INDEX(G493:R493,1,MATCH(Parametres!$B$3,G$1:R$1,0))*IF(OR(F493="L",F493="S",F493="I"),-1,1)</f>
        <v>-184255.63</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-48710.69</v>
      </c>
      <c r="AM494" s="905">
        <f t="shared" si="29"/>
        <v>-139.72999999999593</v>
      </c>
      <c r="AN494" s="905">
        <f>INDEX(G494:R494,1,MATCH(Parametres!$B$3,G$1:R$1,0))*IF(OR(F494="L",F494="S",F494="I"),-1,1)</f>
        <v>-48850.42</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-658465</v>
      </c>
      <c r="AM517" s="905">
        <f t="shared" si="33"/>
        <v>0</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6</v>
      </c>
      <c r="AW517" s="899">
        <f t="shared" si="35"/>
        <v>0</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242</v>
      </c>
      <c r="AW531" s="899">
        <f t="shared" si="35"/>
        <v>73</v>
      </c>
      <c r="AX531" s="899">
        <f>INDEX(V531:AG531,1,MATCH(Parametres!$B$3,V$1:AG$1,0))*IF(OR(C531="L",C531="S",C531="I"),-1,1)</f>
        <v>315</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-576909.81999999995</v>
      </c>
      <c r="AM538" s="905">
        <f t="shared" si="33"/>
        <v>-91669.090000000084</v>
      </c>
      <c r="AN538" s="905">
        <f>INDEX(G538:R538,1,MATCH(Parametres!$B$3,G$1:R$1,0))*IF(OR(F538="L",F538="S",F538="I"),-1,1)</f>
        <v>-668578.91</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13</v>
      </c>
      <c r="AW538" s="899">
        <f t="shared" si="35"/>
        <v>2</v>
      </c>
      <c r="AX538" s="899">
        <f>INDEX(V538:AG538,1,MATCH(Parametres!$B$3,V$1:AG$1,0))*IF(OR(C538="L",C538="S",C538="I"),-1,1)</f>
        <v>15</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-543450.13</v>
      </c>
      <c r="AM545" s="905">
        <f t="shared" si="33"/>
        <v>-55397</v>
      </c>
      <c r="AN545" s="905">
        <f>INDEX(G545:R545,1,MATCH(Parametres!$B$3,G$1:R$1,0))*IF(OR(F545="L",F545="S",F545="I"),-1,1)</f>
        <v>-598847.13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9</v>
      </c>
      <c r="AW545" s="899">
        <f t="shared" si="35"/>
        <v>1</v>
      </c>
      <c r="AX545" s="899">
        <f>INDEX(V545:AG545,1,MATCH(Parametres!$B$3,V$1:AG$1,0))*IF(OR(C545="L",C545="S",C545="I"),-1,1)</f>
        <v>10</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-453520.56</v>
      </c>
      <c r="AM546" s="905">
        <f t="shared" si="33"/>
        <v>-65708.150000000023</v>
      </c>
      <c r="AN546" s="905">
        <f>INDEX(G546:R546,1,MATCH(Parametres!$B$3,G$1:R$1,0))*IF(OR(F546="L",F546="S",F546="I"),-1,1)</f>
        <v>-519228.71</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8</v>
      </c>
      <c r="AW546" s="899">
        <f t="shared" si="35"/>
        <v>1</v>
      </c>
      <c r="AX546" s="899">
        <f>INDEX(V546:AG546,1,MATCH(Parametres!$B$3,V$1:AG$1,0))*IF(OR(C546="L",C546="S",C546="I"),-1,1)</f>
        <v>9</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-368149.42</v>
      </c>
      <c r="AM547" s="905">
        <f t="shared" si="33"/>
        <v>-51715.5</v>
      </c>
      <c r="AN547" s="905">
        <f>INDEX(G547:R547,1,MATCH(Parametres!$B$3,G$1:R$1,0))*IF(OR(F547="L",F547="S",F547="I"),-1,1)</f>
        <v>-419864.92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8</v>
      </c>
      <c r="AW547" s="899">
        <f t="shared" si="35"/>
        <v>1</v>
      </c>
      <c r="AX547" s="899">
        <f>INDEX(V547:AG547,1,MATCH(Parametres!$B$3,V$1:AG$1,0))*IF(OR(C547="L",C547="S",C547="I"),-1,1)</f>
        <v>9</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-499895.69</v>
      </c>
      <c r="AM548" s="905">
        <f t="shared" si="33"/>
        <v>-31198.999999999942</v>
      </c>
      <c r="AN548" s="905">
        <f>INDEX(G548:R548,1,MATCH(Parametres!$B$3,G$1:R$1,0))*IF(OR(F548="L",F548="S",F548="I"),-1,1)</f>
        <v>-531094.68999999994</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15</v>
      </c>
      <c r="AW548" s="899">
        <f t="shared" si="35"/>
        <v>1</v>
      </c>
      <c r="AX548" s="899">
        <f>INDEX(V548:AG548,1,MATCH(Parametres!$B$3,V$1:AG$1,0))*IF(OR(C548="L",C548="S",C548="I"),-1,1)</f>
        <v>16</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-237347.41</v>
      </c>
      <c r="AM550" s="905">
        <f t="shared" si="33"/>
        <v>-61942.999999999971</v>
      </c>
      <c r="AN550" s="905">
        <f>INDEX(G550:R550,1,MATCH(Parametres!$B$3,G$1:R$1,0))*IF(OR(F550="L",F550="S",F550="I"),-1,1)</f>
        <v>-299290.40999999997</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4</v>
      </c>
      <c r="AW550" s="899">
        <f t="shared" si="35"/>
        <v>1</v>
      </c>
      <c r="AX550" s="899">
        <f>INDEX(V550:AG550,1,MATCH(Parametres!$B$3,V$1:AG$1,0))*IF(OR(C550="L",C550="S",C550="I"),-1,1)</f>
        <v>5</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-131017.3</v>
      </c>
      <c r="AM551" s="905">
        <f t="shared" si="33"/>
        <v>0</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2</v>
      </c>
      <c r="AW551" s="899">
        <f t="shared" si="35"/>
        <v>0</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-220724.27</v>
      </c>
      <c r="AM552" s="905">
        <f t="shared" si="33"/>
        <v>0</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6</v>
      </c>
      <c r="AW552" s="899">
        <f t="shared" si="35"/>
        <v>0</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-1013743.22</v>
      </c>
      <c r="AM554" s="905">
        <f t="shared" si="33"/>
        <v>-255128</v>
      </c>
      <c r="AN554" s="905">
        <f>INDEX(G554:R554,1,MATCH(Parametres!$B$3,G$1:R$1,0))*IF(OR(F554="L",F554="S",F554="I"),-1,1)</f>
        <v>-1268871.22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33</v>
      </c>
      <c r="AW554" s="899">
        <f t="shared" si="35"/>
        <v>8</v>
      </c>
      <c r="AX554" s="899">
        <f>INDEX(V554:AG554,1,MATCH(Parametres!$B$3,V$1:AG$1,0))*IF(OR(C554="L",C554="S",C554="I"),-1,1)</f>
        <v>41</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-1525610.34</v>
      </c>
      <c r="AM555" s="905">
        <f t="shared" si="33"/>
        <v>-81485.5</v>
      </c>
      <c r="AN555" s="905">
        <f>INDEX(G555:R555,1,MATCH(Parametres!$B$3,G$1:R$1,0))*IF(OR(F555="L",F555="S",F555="I"),-1,1)</f>
        <v>-1607095.84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17</v>
      </c>
      <c r="AW555" s="899">
        <f t="shared" si="35"/>
        <v>1</v>
      </c>
      <c r="AX555" s="899">
        <f>INDEX(V555:AG555,1,MATCH(Parametres!$B$3,V$1:AG$1,0))*IF(OR(C555="L",C555="S",C555="I"),-1,1)</f>
        <v>18</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-6693337.6100000003</v>
      </c>
      <c r="AM556" s="905">
        <f t="shared" si="33"/>
        <v>-516223.04000000004</v>
      </c>
      <c r="AN556" s="905">
        <f>INDEX(G556:R556,1,MATCH(Parametres!$B$3,G$1:R$1,0))*IF(OR(F556="L",F556="S",F556="I"),-1,1)</f>
        <v>-7209560.6500000004</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94</v>
      </c>
      <c r="AW556" s="899">
        <f t="shared" si="35"/>
        <v>7</v>
      </c>
      <c r="AX556" s="899">
        <f>INDEX(V556:AG556,1,MATCH(Parametres!$B$3,V$1:AG$1,0))*IF(OR(C556="L",C556="S",C556="I"),-1,1)</f>
        <v>101</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-218447</v>
      </c>
      <c r="AN557" s="905">
        <f>INDEX(G557:R557,1,MATCH(Parametres!$B$3,G$1:R$1,0))*IF(OR(F557="L",F557="S",F557="I"),-1,1)</f>
        <v>-532509.01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2</v>
      </c>
      <c r="AX557" s="899">
        <f>INDEX(V557:AG557,1,MATCH(Parametres!$B$3,V$1:AG$1,0))*IF(OR(C557="L",C557="S",C557="I"),-1,1)</f>
        <v>5</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-1653380.98</v>
      </c>
      <c r="AM558" s="905">
        <f t="shared" si="33"/>
        <v>-223236.84000000008</v>
      </c>
      <c r="AN558" s="905">
        <f>INDEX(G558:R558,1,MATCH(Parametres!$B$3,G$1:R$1,0))*IF(OR(F558="L",F558="S",F558="I"),-1,1)</f>
        <v>-1876617.82</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16</v>
      </c>
      <c r="AW558" s="899">
        <f t="shared" si="35"/>
        <v>2</v>
      </c>
      <c r="AX558" s="899">
        <f>INDEX(V558:AG558,1,MATCH(Parametres!$B$3,V$1:AG$1,0))*IF(OR(C558="L",C558="S",C558="I"),-1,1)</f>
        <v>18</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-2824032.92</v>
      </c>
      <c r="AM560" s="905">
        <f t="shared" si="33"/>
        <v>0</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29</v>
      </c>
      <c r="AW560" s="899">
        <f t="shared" si="35"/>
        <v>0</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-5798727.6600000001</v>
      </c>
      <c r="AM561" s="905">
        <f t="shared" si="33"/>
        <v>-338061.33000000007</v>
      </c>
      <c r="AN561" s="905">
        <f>INDEX(G561:R561,1,MATCH(Parametres!$B$3,G$1:R$1,0))*IF(OR(F561="L",F561="S",F561="I"),-1,1)</f>
        <v>-6136788.9900000002</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76</v>
      </c>
      <c r="AW561" s="899">
        <f t="shared" si="35"/>
        <v>4</v>
      </c>
      <c r="AX561" s="899">
        <f>INDEX(V561:AG561,1,MATCH(Parametres!$B$3,V$1:AG$1,0))*IF(OR(C561="L",C561="S",C561="I"),-1,1)</f>
        <v>80</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-100119</v>
      </c>
      <c r="AN562" s="905">
        <f>INDEX(G562:R562,1,MATCH(Parametres!$B$3,G$1:R$1,0))*IF(OR(F562="L",F562="S",F562="I"),-1,1)</f>
        <v>-1230858.81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1</v>
      </c>
      <c r="AX562" s="899">
        <f>INDEX(V562:AG562,1,MATCH(Parametres!$B$3,V$1:AG$1,0))*IF(OR(C562="L",C562="S",C562="I"),-1,1)</f>
        <v>11</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-3400516.52</v>
      </c>
      <c r="AM565" s="905">
        <f t="shared" si="33"/>
        <v>-458386.08999999985</v>
      </c>
      <c r="AN565" s="905">
        <f>INDEX(G565:R565,1,MATCH(Parametres!$B$3,G$1:R$1,0))*IF(OR(F565="L",F565="S",F565="I"),-1,1)</f>
        <v>-3858902.61</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31</v>
      </c>
      <c r="AW565" s="899">
        <f t="shared" si="35"/>
        <v>4</v>
      </c>
      <c r="AX565" s="899">
        <f>INDEX(V565:AG565,1,MATCH(Parametres!$B$3,V$1:AG$1,0))*IF(OR(C565="L",C565="S",C565="I"),-1,1)</f>
        <v>35</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-522568.06</v>
      </c>
      <c r="AM568" s="905">
        <f t="shared" si="33"/>
        <v>-61618.01999999996</v>
      </c>
      <c r="AN568" s="905">
        <f>INDEX(G568:R568,1,MATCH(Parametres!$B$3,G$1:R$1,0))*IF(OR(F568="L",F568="S",F568="I"),-1,1)</f>
        <v>-584186.07999999996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8</v>
      </c>
      <c r="AW568" s="899">
        <f t="shared" si="35"/>
        <v>1</v>
      </c>
      <c r="AX568" s="899">
        <f>INDEX(V568:AG568,1,MATCH(Parametres!$B$3,V$1:AG$1,0))*IF(OR(C568="L",C568="S",C568="I"),-1,1)</f>
        <v>9</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-476991.96</v>
      </c>
      <c r="AM570" s="905">
        <f t="shared" si="33"/>
        <v>-181860.34000000003</v>
      </c>
      <c r="AN570" s="905">
        <f>INDEX(G570:R570,1,MATCH(Parametres!$B$3,G$1:R$1,0))*IF(OR(F570="L",F570="S",F570="I"),-1,1)</f>
        <v>-658852.30000000005</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12</v>
      </c>
      <c r="AW570" s="899">
        <f t="shared" si="35"/>
        <v>4</v>
      </c>
      <c r="AX570" s="899">
        <f>INDEX(V570:AG570,1,MATCH(Parametres!$B$3,V$1:AG$1,0))*IF(OR(C570="L",C570="S",C570="I"),-1,1)</f>
        <v>16</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-5449525.0300000003</v>
      </c>
      <c r="AM571" s="905">
        <f t="shared" si="33"/>
        <v>-1097587.6799999997</v>
      </c>
      <c r="AN571" s="905">
        <f>INDEX(G571:R571,1,MATCH(Parametres!$B$3,G$1:R$1,0))*IF(OR(F571="L",F571="S",F571="I"),-1,1)</f>
        <v>-6547112.71</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104</v>
      </c>
      <c r="AW571" s="899">
        <f t="shared" si="35"/>
        <v>20</v>
      </c>
      <c r="AX571" s="899">
        <f>INDEX(V571:AG571,1,MATCH(Parametres!$B$3,V$1:AG$1,0))*IF(OR(C571="L",C571="S",C571="I"),-1,1)</f>
        <v>124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-359341.77</v>
      </c>
      <c r="AM576" s="905">
        <f t="shared" si="33"/>
        <v>-39477.5</v>
      </c>
      <c r="AN576" s="905">
        <f>INDEX(G576:R576,1,MATCH(Parametres!$B$3,G$1:R$1,0))*IF(OR(F576="L",F576="S",F576="I"),-1,1)</f>
        <v>-398819.27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10</v>
      </c>
      <c r="AW576" s="899">
        <f t="shared" si="35"/>
        <v>1</v>
      </c>
      <c r="AX576" s="899">
        <f>INDEX(V576:AG576,1,MATCH(Parametres!$B$3,V$1:AG$1,0))*IF(OR(C576="L",C576="S",C576="I"),-1,1)</f>
        <v>11</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-67243266.129999995</v>
      </c>
      <c r="AM580" s="905">
        <f t="shared" ref="AM580:AM643" si="37">AN580-AL580</f>
        <v>-4881896.3800000101</v>
      </c>
      <c r="AN580" s="905">
        <f>INDEX(G580:R580,1,MATCH(Parametres!$B$3,G$1:R$1,0))*IF(OR(F580="L",F580="S",F580="I"),-1,1)</f>
        <v>-72125162.510000005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1170</v>
      </c>
      <c r="AW580" s="899">
        <f t="shared" ref="AW580:AW643" si="39">AX580-AV580</f>
        <v>82</v>
      </c>
      <c r="AX580" s="899">
        <f>INDEX(V580:AG580,1,MATCH(Parametres!$B$3,V$1:AG$1,0))*IF(OR(C580="L",C580="S",C580="I"),-1,1)</f>
        <v>1252</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-650789.38</v>
      </c>
      <c r="AM582" s="905">
        <f t="shared" si="37"/>
        <v>-82992</v>
      </c>
      <c r="AN582" s="905">
        <f>INDEX(G582:R582,1,MATCH(Parametres!$B$3,G$1:R$1,0))*IF(OR(F582="L",F582="S",F582="I"),-1,1)</f>
        <v>-733781.38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199</v>
      </c>
      <c r="AW582" s="899">
        <f t="shared" si="39"/>
        <v>30</v>
      </c>
      <c r="AX582" s="899">
        <f>INDEX(V582:AG582,1,MATCH(Parametres!$B$3,V$1:AG$1,0))*IF(OR(C582="L",C582="S",C582="I"),-1,1)</f>
        <v>229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-4495</v>
      </c>
      <c r="AM584" s="905">
        <f t="shared" si="37"/>
        <v>0</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6</v>
      </c>
      <c r="AW584" s="899">
        <f t="shared" si="39"/>
        <v>0</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-46554</v>
      </c>
      <c r="AM585" s="905">
        <f t="shared" si="37"/>
        <v>-7930</v>
      </c>
      <c r="AN585" s="905">
        <f>INDEX(G585:R585,1,MATCH(Parametres!$B$3,G$1:R$1,0))*IF(OR(F585="L",F585="S",F585="I"),-1,1)</f>
        <v>-54484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67</v>
      </c>
      <c r="AW585" s="899">
        <f t="shared" si="39"/>
        <v>7</v>
      </c>
      <c r="AX585" s="899">
        <f>INDEX(V585:AG585,1,MATCH(Parametres!$B$3,V$1:AG$1,0))*IF(OR(C585="L",C585="S",C585="I"),-1,1)</f>
        <v>74</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-61317</v>
      </c>
      <c r="AM586" s="905">
        <f t="shared" si="37"/>
        <v>-14656</v>
      </c>
      <c r="AN586" s="905">
        <f>INDEX(G586:R586,1,MATCH(Parametres!$B$3,G$1:R$1,0))*IF(OR(F586="L",F586="S",F586="I"),-1,1)</f>
        <v>-75973</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20</v>
      </c>
      <c r="AW586" s="899">
        <f t="shared" si="39"/>
        <v>5</v>
      </c>
      <c r="AX586" s="899">
        <f>INDEX(V586:AG586,1,MATCH(Parametres!$B$3,V$1:AG$1,0))*IF(OR(C586="L",C586="S",C586="I"),-1,1)</f>
        <v>25</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-39472</v>
      </c>
      <c r="AM587" s="905">
        <f t="shared" si="37"/>
        <v>-2757</v>
      </c>
      <c r="AN587" s="905">
        <f>INDEX(G587:R587,1,MATCH(Parametres!$B$3,G$1:R$1,0))*IF(OR(F587="L",F587="S",F587="I"),-1,1)</f>
        <v>-42229</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88</v>
      </c>
      <c r="AW587" s="899">
        <f t="shared" si="39"/>
        <v>6</v>
      </c>
      <c r="AX587" s="899">
        <f>INDEX(V587:AG587,1,MATCH(Parametres!$B$3,V$1:AG$1,0))*IF(OR(C587="L",C587="S",C587="I"),-1,1)</f>
        <v>94</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-751570.51</v>
      </c>
      <c r="AM589" s="905">
        <f t="shared" si="37"/>
        <v>-76998</v>
      </c>
      <c r="AN589" s="905">
        <f>INDEX(G589:R589,1,MATCH(Parametres!$B$3,G$1:R$1,0))*IF(OR(F589="L",F589="S",F589="I"),-1,1)</f>
        <v>-828568.51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25</v>
      </c>
      <c r="AW589" s="899">
        <f t="shared" si="39"/>
        <v>2</v>
      </c>
      <c r="AX589" s="899">
        <f>INDEX(V589:AG589,1,MATCH(Parametres!$B$3,V$1:AG$1,0))*IF(OR(C589="L",C589="S",C589="I"),-1,1)</f>
        <v>27</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-970032.95</v>
      </c>
      <c r="AM594" s="905">
        <f t="shared" si="37"/>
        <v>-243675.44999999995</v>
      </c>
      <c r="AN594" s="905">
        <f>INDEX(G594:R594,1,MATCH(Parametres!$B$3,G$1:R$1,0))*IF(OR(F594="L",F594="S",F594="I"),-1,1)</f>
        <v>-1213708.3999999999</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50</v>
      </c>
      <c r="AW594" s="899">
        <f t="shared" si="39"/>
        <v>18</v>
      </c>
      <c r="AX594" s="899">
        <f>INDEX(V594:AG594,1,MATCH(Parametres!$B$3,V$1:AG$1,0))*IF(OR(C594="L",C594="S",C594="I"),-1,1)</f>
        <v>68</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-1302803.21</v>
      </c>
      <c r="AM597" s="905">
        <f t="shared" si="37"/>
        <v>-443568.97</v>
      </c>
      <c r="AN597" s="905">
        <f>INDEX(G597:R597,1,MATCH(Parametres!$B$3,G$1:R$1,0))*IF(OR(F597="L",F597="S",F597="I"),-1,1)</f>
        <v>-1746372.18</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44</v>
      </c>
      <c r="AW597" s="899">
        <f t="shared" si="39"/>
        <v>12</v>
      </c>
      <c r="AX597" s="899">
        <f>INDEX(V597:AG597,1,MATCH(Parametres!$B$3,V$1:AG$1,0))*IF(OR(C597="L",C597="S",C597="I"),-1,1)</f>
        <v>56</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-16835152.829999998</v>
      </c>
      <c r="AM602" s="905">
        <f t="shared" si="37"/>
        <v>-2007191.3300000019</v>
      </c>
      <c r="AN602" s="905">
        <f>INDEX(G602:R602,1,MATCH(Parametres!$B$3,G$1:R$1,0))*IF(OR(F602="L",F602="S",F602="I"),-1,1)</f>
        <v>-18842344.16</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429</v>
      </c>
      <c r="AW602" s="899">
        <f t="shared" si="39"/>
        <v>47</v>
      </c>
      <c r="AX602" s="899">
        <f>INDEX(V602:AG602,1,MATCH(Parametres!$B$3,V$1:AG$1,0))*IF(OR(C602="L",C602="S",C602="I"),-1,1)</f>
        <v>476</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-20376770</v>
      </c>
      <c r="AM603" s="905">
        <f t="shared" si="37"/>
        <v>-3297000</v>
      </c>
      <c r="AN603" s="905">
        <f>INDEX(G603:R603,1,MATCH(Parametres!$B$3,G$1:R$1,0))*IF(OR(F603="L",F603="S",F603="I"),-1,1)</f>
        <v>-23673770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154</v>
      </c>
      <c r="AW603" s="899">
        <f t="shared" si="39"/>
        <v>21</v>
      </c>
      <c r="AX603" s="899">
        <f>INDEX(V603:AG603,1,MATCH(Parametres!$B$3,V$1:AG$1,0))*IF(OR(C603="L",C603="S",C603="I"),-1,1)</f>
        <v>175</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-89171</v>
      </c>
      <c r="AM605" s="905">
        <f t="shared" si="37"/>
        <v>-22003</v>
      </c>
      <c r="AN605" s="905">
        <f>INDEX(G605:R605,1,MATCH(Parametres!$B$3,G$1:R$1,0))*IF(OR(F605="L",F605="S",F605="I"),-1,1)</f>
        <v>-111174</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27</v>
      </c>
      <c r="AW605" s="899">
        <f t="shared" si="39"/>
        <v>7</v>
      </c>
      <c r="AX605" s="899">
        <f>INDEX(V605:AG605,1,MATCH(Parametres!$B$3,V$1:AG$1,0))*IF(OR(C605="L",C605="S",C605="I"),-1,1)</f>
        <v>34</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-9449</v>
      </c>
      <c r="AM607" s="905">
        <f t="shared" si="37"/>
        <v>0</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6</v>
      </c>
      <c r="AW607" s="899">
        <f t="shared" si="39"/>
        <v>0</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-25527437.09</v>
      </c>
      <c r="AM610" s="905">
        <f t="shared" si="37"/>
        <v>-543991.42000000179</v>
      </c>
      <c r="AN610" s="905">
        <f>INDEX(G610:R610,1,MATCH(Parametres!$B$3,G$1:R$1,0))*IF(OR(F610="L",F610="S",F610="I"),-1,1)</f>
        <v>-26071428.510000002</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491</v>
      </c>
      <c r="AW610" s="899">
        <f t="shared" si="39"/>
        <v>10</v>
      </c>
      <c r="AX610" s="899">
        <f>INDEX(V610:AG610,1,MATCH(Parametres!$B$3,V$1:AG$1,0))*IF(OR(C610="L",C610="S",C610="I"),-1,1)</f>
        <v>501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-609123.57999999996</v>
      </c>
      <c r="AM611" s="905">
        <f t="shared" si="37"/>
        <v>-70472.190000000061</v>
      </c>
      <c r="AN611" s="905">
        <f>INDEX(G611:R611,1,MATCH(Parametres!$B$3,G$1:R$1,0))*IF(OR(F611="L",F611="S",F611="I"),-1,1)</f>
        <v>-679595.77</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1544</v>
      </c>
      <c r="AW611" s="899">
        <f t="shared" si="39"/>
        <v>193</v>
      </c>
      <c r="AX611" s="899">
        <f>INDEX(V611:AG611,1,MATCH(Parametres!$B$3,V$1:AG$1,0))*IF(OR(C611="L",C611="S",C611="I"),-1,1)</f>
        <v>1737</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-66644.899999999994</v>
      </c>
      <c r="AM614" s="905">
        <f t="shared" si="37"/>
        <v>-3082.9600000000064</v>
      </c>
      <c r="AN614" s="905">
        <f>INDEX(G614:R614,1,MATCH(Parametres!$B$3,G$1:R$1,0))*IF(OR(F614="L",F614="S",F614="I"),-1,1)</f>
        <v>-69727.86</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337</v>
      </c>
      <c r="AW614" s="899">
        <f t="shared" si="39"/>
        <v>16</v>
      </c>
      <c r="AX614" s="899">
        <f>INDEX(V614:AG614,1,MATCH(Parametres!$B$3,V$1:AG$1,0))*IF(OR(C614="L",C614="S",C614="I"),-1,1)</f>
        <v>353</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-673317.48</v>
      </c>
      <c r="AM615" s="905">
        <f t="shared" si="37"/>
        <v>-71453.400000000023</v>
      </c>
      <c r="AN615" s="905">
        <f>INDEX(G615:R615,1,MATCH(Parametres!$B$3,G$1:R$1,0))*IF(OR(F615="L",F615="S",F615="I"),-1,1)</f>
        <v>-744770.88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4592</v>
      </c>
      <c r="AW615" s="899">
        <f t="shared" si="39"/>
        <v>470</v>
      </c>
      <c r="AX615" s="899">
        <f>INDEX(V615:AG615,1,MATCH(Parametres!$B$3,V$1:AG$1,0))*IF(OR(C615="L",C615="S",C615="I"),-1,1)</f>
        <v>5062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-408921.06</v>
      </c>
      <c r="AM618" s="905">
        <f t="shared" si="37"/>
        <v>-54748.200000000012</v>
      </c>
      <c r="AN618" s="905">
        <f>INDEX(G618:R618,1,MATCH(Parametres!$B$3,G$1:R$1,0))*IF(OR(F618="L",F618="S",F618="I"),-1,1)</f>
        <v>-463669.26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2618</v>
      </c>
      <c r="AW618" s="899">
        <f t="shared" si="39"/>
        <v>328</v>
      </c>
      <c r="AX618" s="899">
        <f>INDEX(V618:AG618,1,MATCH(Parametres!$B$3,V$1:AG$1,0))*IF(OR(C618="L",C618="S",C618="I"),-1,1)</f>
        <v>2946</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-327663.19</v>
      </c>
      <c r="AM619" s="905">
        <f t="shared" si="37"/>
        <v>-40921.909999999974</v>
      </c>
      <c r="AN619" s="905">
        <f>INDEX(G619:R619,1,MATCH(Parametres!$B$3,G$1:R$1,0))*IF(OR(F619="L",F619="S",F619="I"),-1,1)</f>
        <v>-368585.1</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2606</v>
      </c>
      <c r="AW619" s="899">
        <f t="shared" si="39"/>
        <v>331</v>
      </c>
      <c r="AX619" s="899">
        <f>INDEX(V619:AG619,1,MATCH(Parametres!$B$3,V$1:AG$1,0))*IF(OR(C619="L",C619="S",C619="I"),-1,1)</f>
        <v>2937</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-8205</v>
      </c>
      <c r="AM620" s="905">
        <f t="shared" si="37"/>
        <v>-950</v>
      </c>
      <c r="AN620" s="905">
        <f>INDEX(G620:R620,1,MATCH(Parametres!$B$3,G$1:R$1,0))*IF(OR(F620="L",F620="S",F620="I"),-1,1)</f>
        <v>-9155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69</v>
      </c>
      <c r="AW620" s="899">
        <f t="shared" si="39"/>
        <v>8</v>
      </c>
      <c r="AX620" s="899">
        <f>INDEX(V620:AG620,1,MATCH(Parametres!$B$3,V$1:AG$1,0))*IF(OR(C620="L",C620="S",C620="I"),-1,1)</f>
        <v>77</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-250558.5</v>
      </c>
      <c r="AM621" s="905">
        <f t="shared" si="37"/>
        <v>-27654.309999999998</v>
      </c>
      <c r="AN621" s="905">
        <f>INDEX(G621:R621,1,MATCH(Parametres!$B$3,G$1:R$1,0))*IF(OR(F621="L",F621="S",F621="I"),-1,1)</f>
        <v>-278212.81</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1718</v>
      </c>
      <c r="AW621" s="899">
        <f t="shared" si="39"/>
        <v>186</v>
      </c>
      <c r="AX621" s="899">
        <f>INDEX(V621:AG621,1,MATCH(Parametres!$B$3,V$1:AG$1,0))*IF(OR(C621="L",C621="S",C621="I"),-1,1)</f>
        <v>1904</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-169245.39</v>
      </c>
      <c r="AM624" s="905">
        <f t="shared" si="37"/>
        <v>-17156.449999999983</v>
      </c>
      <c r="AN624" s="905">
        <f>INDEX(G624:R624,1,MATCH(Parametres!$B$3,G$1:R$1,0))*IF(OR(F624="L",F624="S",F624="I"),-1,1)</f>
        <v>-186401.84</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400</v>
      </c>
      <c r="AW624" s="899">
        <f t="shared" si="39"/>
        <v>44</v>
      </c>
      <c r="AX624" s="899">
        <f>INDEX(V624:AG624,1,MATCH(Parametres!$B$3,V$1:AG$1,0))*IF(OR(C624="L",C624="S",C624="I"),-1,1)</f>
        <v>444</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-463158.49</v>
      </c>
      <c r="AM627" s="905">
        <f t="shared" si="37"/>
        <v>-54282.650000000023</v>
      </c>
      <c r="AN627" s="905">
        <f>INDEX(G627:R627,1,MATCH(Parametres!$B$3,G$1:R$1,0))*IF(OR(F627="L",F627="S",F627="I"),-1,1)</f>
        <v>-517441.14</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1480</v>
      </c>
      <c r="AW627" s="899">
        <f t="shared" si="39"/>
        <v>177</v>
      </c>
      <c r="AX627" s="899">
        <f>INDEX(V627:AG627,1,MATCH(Parametres!$B$3,V$1:AG$1,0))*IF(OR(C627="L",C627="S",C627="I"),-1,1)</f>
        <v>1657</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-21847.99</v>
      </c>
      <c r="AM633" s="905">
        <f t="shared" si="37"/>
        <v>-3036.6499999999978</v>
      </c>
      <c r="AN633" s="905">
        <f>INDEX(G633:R633,1,MATCH(Parametres!$B$3,G$1:R$1,0))*IF(OR(F633="L",F633="S",F633="I"),-1,1)</f>
        <v>-24884.639999999999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2037</v>
      </c>
      <c r="AW633" s="899">
        <f t="shared" si="39"/>
        <v>284</v>
      </c>
      <c r="AX633" s="899">
        <f>INDEX(V633:AG633,1,MATCH(Parametres!$B$3,V$1:AG$1,0))*IF(OR(C633="L",C633="S",C633="I"),-1,1)</f>
        <v>2321</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-379618.53</v>
      </c>
      <c r="AM635" s="905">
        <f t="shared" si="37"/>
        <v>-54442.399999999965</v>
      </c>
      <c r="AN635" s="905">
        <f>INDEX(G635:R635,1,MATCH(Parametres!$B$3,G$1:R$1,0))*IF(OR(F635="L",F635="S",F635="I"),-1,1)</f>
        <v>-434060.93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286</v>
      </c>
      <c r="AW635" s="899">
        <f t="shared" si="39"/>
        <v>43</v>
      </c>
      <c r="AX635" s="899">
        <f>INDEX(V635:AG635,1,MATCH(Parametres!$B$3,V$1:AG$1,0))*IF(OR(C635="L",C635="S",C635="I"),-1,1)</f>
        <v>329</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-31866.1</v>
      </c>
      <c r="AM637" s="905">
        <f t="shared" si="37"/>
        <v>-9764.260000000002</v>
      </c>
      <c r="AN637" s="905">
        <f>INDEX(G637:R637,1,MATCH(Parametres!$B$3,G$1:R$1,0))*IF(OR(F637="L",F637="S",F637="I"),-1,1)</f>
        <v>-41630.36</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54</v>
      </c>
      <c r="AW637" s="899">
        <f t="shared" si="39"/>
        <v>13</v>
      </c>
      <c r="AX637" s="899">
        <f>INDEX(V637:AG637,1,MATCH(Parametres!$B$3,V$1:AG$1,0))*IF(OR(C637="L",C637="S",C637="I"),-1,1)</f>
        <v>67</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-684857.05</v>
      </c>
      <c r="AM639" s="905">
        <f t="shared" si="37"/>
        <v>-87065.469999999972</v>
      </c>
      <c r="AN639" s="905">
        <f>INDEX(G639:R639,1,MATCH(Parametres!$B$3,G$1:R$1,0))*IF(OR(F639="L",F639="S",F639="I"),-1,1)</f>
        <v>-771922.52</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290</v>
      </c>
      <c r="AW639" s="899">
        <f t="shared" si="39"/>
        <v>44</v>
      </c>
      <c r="AX639" s="899">
        <f>INDEX(V639:AG639,1,MATCH(Parametres!$B$3,V$1:AG$1,0))*IF(OR(C639="L",C639="S",C639="I"),-1,1)</f>
        <v>334</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-143609.99</v>
      </c>
      <c r="AM643" s="905">
        <f t="shared" si="37"/>
        <v>-21348.910000000003</v>
      </c>
      <c r="AN643" s="905">
        <f>INDEX(G643:R643,1,MATCH(Parametres!$B$3,G$1:R$1,0))*IF(OR(F643="L",F643="S",F643="I"),-1,1)</f>
        <v>-164958.9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298</v>
      </c>
      <c r="AW643" s="899">
        <f t="shared" si="39"/>
        <v>51</v>
      </c>
      <c r="AX643" s="899">
        <f>INDEX(V643:AG643,1,MATCH(Parametres!$B$3,V$1:AG$1,0))*IF(OR(C643="L",C643="S",C643="I"),-1,1)</f>
        <v>349</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-428312.76</v>
      </c>
      <c r="AM644" s="905">
        <f t="shared" ref="AM644:AM707" si="41">AN644-AL644</f>
        <v>-74831.27999999997</v>
      </c>
      <c r="AN644" s="905">
        <f>INDEX(G644:R644,1,MATCH(Parametres!$B$3,G$1:R$1,0))*IF(OR(F644="L",F644="S",F644="I"),-1,1)</f>
        <v>-503144.04</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1581</v>
      </c>
      <c r="AW644" s="899">
        <f t="shared" ref="AW644:AW707" si="43">AX644-AV644</f>
        <v>223</v>
      </c>
      <c r="AX644" s="899">
        <f>INDEX(V644:AG644,1,MATCH(Parametres!$B$3,V$1:AG$1,0))*IF(OR(C644="L",C644="S",C644="I"),-1,1)</f>
        <v>1804</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-507378.83</v>
      </c>
      <c r="AM646" s="905">
        <f t="shared" si="41"/>
        <v>-46742.559999999998</v>
      </c>
      <c r="AN646" s="905">
        <f>INDEX(G646:R646,1,MATCH(Parametres!$B$3,G$1:R$1,0))*IF(OR(F646="L",F646="S",F646="I"),-1,1)</f>
        <v>-554121.39</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1434</v>
      </c>
      <c r="AW646" s="899">
        <f t="shared" si="43"/>
        <v>176</v>
      </c>
      <c r="AX646" s="899">
        <f>INDEX(V646:AG646,1,MATCH(Parametres!$B$3,V$1:AG$1,0))*IF(OR(C646="L",C646="S",C646="I"),-1,1)</f>
        <v>1610</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-244698.56</v>
      </c>
      <c r="AM648" s="905">
        <f t="shared" si="41"/>
        <v>-29061.130000000005</v>
      </c>
      <c r="AN648" s="905">
        <f>INDEX(G648:R648,1,MATCH(Parametres!$B$3,G$1:R$1,0))*IF(OR(F648="L",F648="S",F648="I"),-1,1)</f>
        <v>-273759.69</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1210</v>
      </c>
      <c r="AW648" s="899">
        <f t="shared" si="43"/>
        <v>155</v>
      </c>
      <c r="AX648" s="899">
        <f>INDEX(V648:AG648,1,MATCH(Parametres!$B$3,V$1:AG$1,0))*IF(OR(C648="L",C648="S",C648="I"),-1,1)</f>
        <v>1365</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-1144528.8400000001</v>
      </c>
      <c r="AM649" s="905">
        <f t="shared" si="41"/>
        <v>-193176.41999999993</v>
      </c>
      <c r="AN649" s="905">
        <f>INDEX(G649:R649,1,MATCH(Parametres!$B$3,G$1:R$1,0))*IF(OR(F649="L",F649="S",F649="I"),-1,1)</f>
        <v>-1337705.26</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3016</v>
      </c>
      <c r="AW649" s="899">
        <f t="shared" si="43"/>
        <v>406</v>
      </c>
      <c r="AX649" s="899">
        <f>INDEX(V649:AG649,1,MATCH(Parametres!$B$3,V$1:AG$1,0))*IF(OR(C649="L",C649="S",C649="I"),-1,1)</f>
        <v>3422</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-86120.21</v>
      </c>
      <c r="AM652" s="905">
        <f t="shared" si="41"/>
        <v>-20398.25</v>
      </c>
      <c r="AN652" s="905">
        <f>INDEX(G652:R652,1,MATCH(Parametres!$B$3,G$1:R$1,0))*IF(OR(F652="L",F652="S",F652="I"),-1,1)</f>
        <v>-106518.46</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109</v>
      </c>
      <c r="AW652" s="899">
        <f t="shared" si="43"/>
        <v>26</v>
      </c>
      <c r="AX652" s="899">
        <f>INDEX(V652:AG652,1,MATCH(Parametres!$B$3,V$1:AG$1,0))*IF(OR(C652="L",C652="S",C652="I"),-1,1)</f>
        <v>135</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-57019.79</v>
      </c>
      <c r="AM653" s="905">
        <f t="shared" si="41"/>
        <v>-12049.909999999996</v>
      </c>
      <c r="AN653" s="905">
        <f>INDEX(G653:R653,1,MATCH(Parametres!$B$3,G$1:R$1,0))*IF(OR(F653="L",F653="S",F653="I"),-1,1)</f>
        <v>-69069.7</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631</v>
      </c>
      <c r="AW653" s="899">
        <f t="shared" si="43"/>
        <v>166</v>
      </c>
      <c r="AX653" s="899">
        <f>INDEX(V653:AG653,1,MATCH(Parametres!$B$3,V$1:AG$1,0))*IF(OR(C653="L",C653="S",C653="I"),-1,1)</f>
        <v>797</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7363.73</v>
      </c>
      <c r="AM655" s="905">
        <f t="shared" si="41"/>
        <v>0</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-11</v>
      </c>
      <c r="AW655" s="899">
        <f t="shared" si="43"/>
        <v>0</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617633.35</v>
      </c>
      <c r="AM693" s="905">
        <f t="shared" si="41"/>
        <v>0</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554604.89</v>
      </c>
      <c r="AM714" s="905">
        <f t="shared" si="45"/>
        <v>90839.559999999939</v>
      </c>
      <c r="AN714" s="905">
        <f>INDEX(G714:R714,1,MATCH(Parametres!$B$3,G$1:R$1,0))*IF(OR(F714="L",F714="S",F714="I"),-1,1)</f>
        <v>645444.44999999995</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522016.33</v>
      </c>
      <c r="AM721" s="905">
        <f t="shared" si="45"/>
        <v>52350.94</v>
      </c>
      <c r="AN721" s="905">
        <f>INDEX(G721:R721,1,MATCH(Parametres!$B$3,G$1:R$1,0))*IF(OR(F721="L",F721="S",F721="I"),-1,1)</f>
        <v>574367.27</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433758.16</v>
      </c>
      <c r="AM722" s="905">
        <f t="shared" si="45"/>
        <v>60073.160000000033</v>
      </c>
      <c r="AN722" s="905">
        <f>INDEX(G722:R722,1,MATCH(Parametres!$B$3,G$1:R$1,0))*IF(OR(F722="L",F722="S",F722="I"),-1,1)</f>
        <v>493831.32</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356866.17</v>
      </c>
      <c r="AM723" s="905">
        <f t="shared" si="45"/>
        <v>49716.900000000023</v>
      </c>
      <c r="AN723" s="905">
        <f>INDEX(G723:R723,1,MATCH(Parametres!$B$3,G$1:R$1,0))*IF(OR(F723="L",F723="S",F723="I"),-1,1)</f>
        <v>406583.07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481836.04</v>
      </c>
      <c r="AM724" s="905">
        <f t="shared" si="45"/>
        <v>30460.5</v>
      </c>
      <c r="AN724" s="905">
        <f>INDEX(G724:R724,1,MATCH(Parametres!$B$3,G$1:R$1,0))*IF(OR(F724="L",F724="S",F724="I"),-1,1)</f>
        <v>512296.54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227357.06</v>
      </c>
      <c r="AM726" s="905">
        <f t="shared" si="45"/>
        <v>58738</v>
      </c>
      <c r="AN726" s="905">
        <f>INDEX(G726:R726,1,MATCH(Parametres!$B$3,G$1:R$1,0))*IF(OR(F726="L",F726="S",F726="I"),-1,1)</f>
        <v>286095.06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126187.8</v>
      </c>
      <c r="AM727" s="905">
        <f t="shared" si="45"/>
        <v>0</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214914.46</v>
      </c>
      <c r="AM728" s="905">
        <f t="shared" si="45"/>
        <v>0</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977605.61</v>
      </c>
      <c r="AM730" s="905">
        <f t="shared" si="45"/>
        <v>248668.64</v>
      </c>
      <c r="AN730" s="905">
        <f>INDEX(G730:R730,1,MATCH(Parametres!$B$3,G$1:R$1,0))*IF(OR(F730="L",F730="S",F730="I"),-1,1)</f>
        <v>1226274.25</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1465583.86</v>
      </c>
      <c r="AM731" s="905">
        <f t="shared" si="45"/>
        <v>77485.5</v>
      </c>
      <c r="AN731" s="905">
        <f>INDEX(G731:R731,1,MATCH(Parametres!$B$3,G$1:R$1,0))*IF(OR(F731="L",F731="S",F731="I"),-1,1)</f>
        <v>1543069.36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6405579.96</v>
      </c>
      <c r="AM732" s="905">
        <f t="shared" si="45"/>
        <v>494246.45999999996</v>
      </c>
      <c r="AN732" s="905">
        <f>INDEX(G732:R732,1,MATCH(Parametres!$B$3,G$1:R$1,0))*IF(OR(F732="L",F732="S",F732="I"),-1,1)</f>
        <v>6899826.4199999999</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209442.10000000003</v>
      </c>
      <c r="AN733" s="905">
        <f>INDEX(G733:R733,1,MATCH(Parametres!$B$3,G$1:R$1,0))*IF(OR(F733="L",F733="S",F733="I"),-1,1)</f>
        <v>512599.45</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1577240.41</v>
      </c>
      <c r="AM734" s="905">
        <f t="shared" si="45"/>
        <v>211453.22999999998</v>
      </c>
      <c r="AN734" s="905">
        <f>INDEX(G734:R734,1,MATCH(Parametres!$B$3,G$1:R$1,0))*IF(OR(F734="L",F734="S",F734="I"),-1,1)</f>
        <v>1788693.64</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2676534.9300000002</v>
      </c>
      <c r="AM736" s="905">
        <f t="shared" si="45"/>
        <v>0</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5522978.2800000003</v>
      </c>
      <c r="AM737" s="905">
        <f t="shared" si="45"/>
        <v>321458.76999999955</v>
      </c>
      <c r="AN737" s="905">
        <f>INDEX(G737:R737,1,MATCH(Parametres!$B$3,G$1:R$1,0))*IF(OR(F737="L",F737="S",F737="I"),-1,1)</f>
        <v>5844437.0499999998</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96046.050000000047</v>
      </c>
      <c r="AN738" s="905">
        <f>INDEX(G738:R738,1,MATCH(Parametres!$B$3,G$1:R$1,0))*IF(OR(F738="L",F738="S",F738="I"),-1,1)</f>
        <v>1189987.79</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3242392.11</v>
      </c>
      <c r="AM741" s="905">
        <f t="shared" si="45"/>
        <v>434443.12000000011</v>
      </c>
      <c r="AN741" s="905">
        <f>INDEX(G741:R741,1,MATCH(Parametres!$B$3,G$1:R$1,0))*IF(OR(F741="L",F741="S",F741="I"),-1,1)</f>
        <v>3676835.23</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506749.84</v>
      </c>
      <c r="AM744" s="905">
        <f t="shared" si="45"/>
        <v>61214.52999999997</v>
      </c>
      <c r="AN744" s="905">
        <f>INDEX(G744:R744,1,MATCH(Parametres!$B$3,G$1:R$1,0))*IF(OR(F744="L",F744="S",F744="I"),-1,1)</f>
        <v>567964.37</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461536.34</v>
      </c>
      <c r="AM746" s="905">
        <f t="shared" si="45"/>
        <v>174614.71000000002</v>
      </c>
      <c r="AN746" s="905">
        <f>INDEX(G746:R746,1,MATCH(Parametres!$B$3,G$1:R$1,0))*IF(OR(F746="L",F746="S",F746="I"),-1,1)</f>
        <v>636151.05000000005</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5384578.1699999999</v>
      </c>
      <c r="AM747" s="905">
        <f t="shared" si="45"/>
        <v>1075018.6200000001</v>
      </c>
      <c r="AN747" s="905">
        <f>INDEX(G747:R747,1,MATCH(Parametres!$B$3,G$1:R$1,0))*IF(OR(F747="L",F747="S",F747="I"),-1,1)</f>
        <v>6459596.79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351481.02</v>
      </c>
      <c r="AM752" s="905">
        <f t="shared" si="45"/>
        <v>37314.44</v>
      </c>
      <c r="AN752" s="905">
        <f>INDEX(G752:R752,1,MATCH(Parametres!$B$3,G$1:R$1,0))*IF(OR(F752="L",F752="S",F752="I"),-1,1)</f>
        <v>388795.46</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66521250.469999999</v>
      </c>
      <c r="AM756" s="905">
        <f t="shared" si="45"/>
        <v>4826990.9399999976</v>
      </c>
      <c r="AN756" s="905">
        <f>INDEX(G756:R756,1,MATCH(Parametres!$B$3,G$1:R$1,0))*IF(OR(F756="L",F756="S",F756="I"),-1,1)</f>
        <v>71348241.409999996</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354291.91</v>
      </c>
      <c r="AM758" s="905">
        <f t="shared" si="45"/>
        <v>43754.200000000012</v>
      </c>
      <c r="AN758" s="905">
        <f>INDEX(G758:R758,1,MATCH(Parametres!$B$3,G$1:R$1,0))*IF(OR(F758="L",F758="S",F758="I"),-1,1)</f>
        <v>398046.11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17952</v>
      </c>
      <c r="AM761" s="905">
        <f t="shared" si="45"/>
        <v>3678.7000000000007</v>
      </c>
      <c r="AN761" s="905">
        <f>INDEX(G761:R761,1,MATCH(Parametres!$B$3,G$1:R$1,0))*IF(OR(F761="L",F761="S",F761="I"),-1,1)</f>
        <v>21630.7</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43404.160000000003</v>
      </c>
      <c r="AM762" s="905">
        <f t="shared" si="45"/>
        <v>10259.199999999997</v>
      </c>
      <c r="AN762" s="905">
        <f>INDEX(G762:R762,1,MATCH(Parametres!$B$3,G$1:R$1,0))*IF(OR(F762="L",F762="S",F762="I"),-1,1)</f>
        <v>53663.360000000001</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35758.959999999999</v>
      </c>
      <c r="AM763" s="905">
        <f t="shared" si="45"/>
        <v>2571</v>
      </c>
      <c r="AN763" s="905">
        <f>INDEX(G763:R763,1,MATCH(Parametres!$B$3,G$1:R$1,0))*IF(OR(F763="L",F763="S",F763="I"),-1,1)</f>
        <v>38329.96</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788417.23</v>
      </c>
      <c r="AM765" s="905">
        <f t="shared" si="45"/>
        <v>76966.589999999967</v>
      </c>
      <c r="AN765" s="905">
        <f>INDEX(G765:R765,1,MATCH(Parametres!$B$3,G$1:R$1,0))*IF(OR(F765="L",F765="S",F765="I"),-1,1)</f>
        <v>865383.82</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970427.38</v>
      </c>
      <c r="AM770" s="905">
        <f t="shared" si="45"/>
        <v>242923.47000000009</v>
      </c>
      <c r="AN770" s="905">
        <f>INDEX(G770:R770,1,MATCH(Parametres!$B$3,G$1:R$1,0))*IF(OR(F770="L",F770="S",F770="I"),-1,1)</f>
        <v>1213350.8500000001</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1249513.92</v>
      </c>
      <c r="AM773" s="905">
        <f t="shared" si="49"/>
        <v>439929.18000000017</v>
      </c>
      <c r="AN773" s="905">
        <f>INDEX(G773:R773,1,MATCH(Parametres!$B$3,G$1:R$1,0))*IF(OR(F773="L",F773="S",F773="I"),-1,1)</f>
        <v>1689443.1</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16460316.810000001</v>
      </c>
      <c r="AM778" s="905">
        <f t="shared" si="49"/>
        <v>1904139.4000000004</v>
      </c>
      <c r="AN778" s="905">
        <f>INDEX(G778:R778,1,MATCH(Parametres!$B$3,G$1:R$1,0))*IF(OR(F778="L",F778="S",F778="I"),-1,1)</f>
        <v>18364456.210000001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19904220.670000002</v>
      </c>
      <c r="AM779" s="905">
        <f t="shared" si="49"/>
        <v>3225150</v>
      </c>
      <c r="AN779" s="905">
        <f>INDEX(G779:R779,1,MATCH(Parametres!$B$3,G$1:R$1,0))*IF(OR(F779="L",F779="S",F779="I"),-1,1)</f>
        <v>23129370.670000002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44278.61</v>
      </c>
      <c r="AM781" s="905">
        <f t="shared" si="49"/>
        <v>12236</v>
      </c>
      <c r="AN781" s="905">
        <f>INDEX(G781:R781,1,MATCH(Parametres!$B$3,G$1:R$1,0))*IF(OR(F781="L",F781="S",F781="I"),-1,1)</f>
        <v>56514.61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6614.3</v>
      </c>
      <c r="AM783" s="905">
        <f t="shared" si="49"/>
        <v>0</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729876</v>
      </c>
      <c r="AM784" s="905">
        <f t="shared" si="49"/>
        <v>-58.089999999967404</v>
      </c>
      <c r="AN784" s="905">
        <f>INDEX(G784:R784,1,MATCH(Parametres!$B$3,G$1:R$1,0))*IF(OR(F784="L",F784="S",F784="I"),-1,1)</f>
        <v>729817.91</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24725787.18</v>
      </c>
      <c r="AM786" s="905">
        <f t="shared" si="49"/>
        <v>559664.76000000164</v>
      </c>
      <c r="AN786" s="905">
        <f>INDEX(G786:R786,1,MATCH(Parametres!$B$3,G$1:R$1,0))*IF(OR(F786="L",F786="S",F786="I"),-1,1)</f>
        <v>25285451.940000001</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135408.21</v>
      </c>
      <c r="AM787" s="905">
        <f t="shared" si="49"/>
        <v>14223.630000000005</v>
      </c>
      <c r="AN787" s="905">
        <f>INDEX(G787:R787,1,MATCH(Parametres!$B$3,G$1:R$1,0))*IF(OR(F787="L",F787="S",F787="I"),-1,1)</f>
        <v>149631.84</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15042.91</v>
      </c>
      <c r="AM790" s="905">
        <f t="shared" si="49"/>
        <v>492.38000000000102</v>
      </c>
      <c r="AN790" s="905">
        <f>INDEX(G790:R790,1,MATCH(Parametres!$B$3,G$1:R$1,0))*IF(OR(F790="L",F790="S",F790="I"),-1,1)</f>
        <v>15535.29</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167868.49</v>
      </c>
      <c r="AM791" s="905">
        <f t="shared" si="49"/>
        <v>17556.540000000008</v>
      </c>
      <c r="AN791" s="905">
        <f>INDEX(G791:R791,1,MATCH(Parametres!$B$3,G$1:R$1,0))*IF(OR(F791="L",F791="S",F791="I"),-1,1)</f>
        <v>185425.03</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127894.27</v>
      </c>
      <c r="AM794" s="905">
        <f t="shared" si="55"/>
        <v>19770.439999999988</v>
      </c>
      <c r="AN794" s="905">
        <f>INDEX(G794:R794,1,MATCH(Parametres!$B$3,G$1:R$1,0))*IF(OR(F794="L",F794="S",F794="I"),-1,1)</f>
        <v>147664.71</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110509.83</v>
      </c>
      <c r="AM795" s="905">
        <f t="shared" si="55"/>
        <v>13182.470000000001</v>
      </c>
      <c r="AN795" s="905">
        <f>INDEX(G795:R795,1,MATCH(Parametres!$B$3,G$1:R$1,0))*IF(OR(F795="L",F795="S",F795="I"),-1,1)</f>
        <v>123692.3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2307.4</v>
      </c>
      <c r="AM796" s="905">
        <f t="shared" si="55"/>
        <v>212.15000000000009</v>
      </c>
      <c r="AN796" s="905">
        <f>INDEX(G796:R796,1,MATCH(Parametres!$B$3,G$1:R$1,0))*IF(OR(F796="L",F796="S",F796="I"),-1,1)</f>
        <v>2519.5500000000002</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47616.54</v>
      </c>
      <c r="AM797" s="905">
        <f t="shared" si="55"/>
        <v>4224.6500000000015</v>
      </c>
      <c r="AN797" s="905">
        <f>INDEX(G797:R797,1,MATCH(Parametres!$B$3,G$1:R$1,0))*IF(OR(F797="L",F797="S",F797="I"),-1,1)</f>
        <v>51841.19</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-23291.599999999999</v>
      </c>
      <c r="AM799" s="905">
        <f t="shared" si="55"/>
        <v>-1668.8900000000031</v>
      </c>
      <c r="AN799" s="905">
        <f>INDEX(G799:R799,1,MATCH(Parametres!$B$3,G$1:R$1,0))*IF(OR(F799="L",F799="S",F799="I"),-1,1)</f>
        <v>-24960.49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140204.43</v>
      </c>
      <c r="AM800" s="905">
        <f t="shared" si="55"/>
        <v>14443.770000000019</v>
      </c>
      <c r="AN800" s="905">
        <f>INDEX(G800:R800,1,MATCH(Parametres!$B$3,G$1:R$1,0))*IF(OR(F800="L",F800="S",F800="I"),-1,1)</f>
        <v>154648.20000000001</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291425.81</v>
      </c>
      <c r="AM803" s="905">
        <f t="shared" si="55"/>
        <v>32488.729999999981</v>
      </c>
      <c r="AN803" s="905">
        <f>INDEX(G803:R803,1,MATCH(Parametres!$B$3,G$1:R$1,0))*IF(OR(F803="L",F803="S",F803="I"),-1,1)</f>
        <v>323914.53999999998</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12116.83</v>
      </c>
      <c r="AM809" s="905">
        <f t="shared" si="55"/>
        <v>0</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149411.48000000001</v>
      </c>
      <c r="AM811" s="905">
        <f t="shared" si="55"/>
        <v>20866.619999999995</v>
      </c>
      <c r="AN811" s="905">
        <f>INDEX(G811:R811,1,MATCH(Parametres!$B$3,G$1:R$1,0))*IF(OR(F811="L",F811="S",F811="I"),-1,1)</f>
        <v>170278.1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4717.08</v>
      </c>
      <c r="AM813" s="905">
        <f t="shared" si="55"/>
        <v>5046.9500000000007</v>
      </c>
      <c r="AN813" s="905">
        <f>INDEX(G813:R813,1,MATCH(Parametres!$B$3,G$1:R$1,0))*IF(OR(F813="L",F813="S",F813="I"),-1,1)</f>
        <v>9764.0300000000007</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-5629.34</v>
      </c>
      <c r="AM814" s="905">
        <f t="shared" si="55"/>
        <v>-1697.5900000000001</v>
      </c>
      <c r="AN814" s="905">
        <f>INDEX(G814:R814,1,MATCH(Parametres!$B$3,G$1:R$1,0))*IF(OR(F814="L",F814="S",F814="I"),-1,1)</f>
        <v>-7326.93</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528620.9</v>
      </c>
      <c r="AM815" s="905">
        <f t="shared" si="55"/>
        <v>66881.890000000014</v>
      </c>
      <c r="AN815" s="905">
        <f>INDEX(G815:R815,1,MATCH(Parametres!$B$3,G$1:R$1,0))*IF(OR(F815="L",F815="S",F815="I"),-1,1)</f>
        <v>595502.79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45022.33</v>
      </c>
      <c r="AM819" s="905">
        <f t="shared" si="55"/>
        <v>6035.4099999999962</v>
      </c>
      <c r="AN819" s="905">
        <f>INDEX(G819:R819,1,MATCH(Parametres!$B$3,G$1:R$1,0))*IF(OR(F819="L",F819="S",F819="I"),-1,1)</f>
        <v>51057.74</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308234.84000000003</v>
      </c>
      <c r="AM820" s="905">
        <f t="shared" si="55"/>
        <v>55404.75</v>
      </c>
      <c r="AN820" s="905">
        <f>INDEX(G820:R820,1,MATCH(Parametres!$B$3,G$1:R$1,0))*IF(OR(F820="L",F820="S",F820="I"),-1,1)</f>
        <v>363639.59</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359862.83</v>
      </c>
      <c r="AM822" s="905">
        <f t="shared" si="55"/>
        <v>33534.599999999977</v>
      </c>
      <c r="AN822" s="905">
        <f>INDEX(G822:R822,1,MATCH(Parametres!$B$3,G$1:R$1,0))*IF(OR(F822="L",F822="S",F822="I"),-1,1)</f>
        <v>393397.43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194035.92</v>
      </c>
      <c r="AM824" s="905">
        <f t="shared" si="55"/>
        <v>21127.349999999977</v>
      </c>
      <c r="AN824" s="905">
        <f>INDEX(G824:R824,1,MATCH(Parametres!$B$3,G$1:R$1,0))*IF(OR(F824="L",F824="S",F824="I"),-1,1)</f>
        <v>215163.27</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970163.52</v>
      </c>
      <c r="AM825" s="905">
        <f t="shared" si="55"/>
        <v>149529.85000000009</v>
      </c>
      <c r="AN825" s="905">
        <f>INDEX(G825:R825,1,MATCH(Parametres!$B$3,G$1:R$1,0))*IF(OR(F825="L",F825="S",F825="I"),-1,1)</f>
        <v>1119693.3700000001</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-60694.92</v>
      </c>
      <c r="AM826" s="905">
        <f t="shared" si="55"/>
        <v>-3667.8800000000047</v>
      </c>
      <c r="AN826" s="905">
        <f>INDEX(G826:R826,1,MATCH(Parametres!$B$3,G$1:R$1,0))*IF(OR(F826="L",F826="S",F826="I"),-1,1)</f>
        <v>-64362.8</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-23569.45</v>
      </c>
      <c r="AM827" s="905">
        <f t="shared" si="55"/>
        <v>-744.02999999999884</v>
      </c>
      <c r="AN827" s="905">
        <f>INDEX(G827:R827,1,MATCH(Parametres!$B$3,G$1:R$1,0))*IF(OR(F827="L",F827="S",F827="I"),-1,1)</f>
        <v>-24313.48</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69941.600000000006</v>
      </c>
      <c r="AM828" s="905">
        <f t="shared" si="55"/>
        <v>18186.729999999996</v>
      </c>
      <c r="AN828" s="905">
        <f>INDEX(G828:R828,1,MATCH(Parametres!$B$3,G$1:R$1,0))*IF(OR(F828="L",F828="S",F828="I"),-1,1)</f>
        <v>88128.33</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45436.639999999999</v>
      </c>
      <c r="AM829" s="905">
        <f t="shared" si="55"/>
        <v>8580.0800000000017</v>
      </c>
      <c r="AN829" s="905">
        <f>INDEX(G829:R829,1,MATCH(Parametres!$B$3,G$1:R$1,0))*IF(OR(F829="L",F829="S",F829="I"),-1,1)</f>
        <v>54016.72</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-5332.73</v>
      </c>
      <c r="AM864" s="905">
        <f t="shared" si="61"/>
        <v>0</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-42511.77</v>
      </c>
      <c r="AM866" s="905">
        <f t="shared" si="61"/>
        <v>-3049.0200000000041</v>
      </c>
      <c r="AN866" s="905">
        <f>INDEX(G866:R866,1,MATCH(Parametres!$B$3,G$1:R$1,0))*IF(OR(F866="L",F866="S",F866="I"),-1,1)</f>
        <v>-45560.79</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-24704.34</v>
      </c>
      <c r="AM868" s="905">
        <f t="shared" si="61"/>
        <v>-4642.3899999999994</v>
      </c>
      <c r="AN868" s="905">
        <f>INDEX(G868:R868,1,MATCH(Parametres!$B$3,G$1:R$1,0))*IF(OR(F868="L",F868="S",F868="I"),-1,1)</f>
        <v>-29346.73</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30</v>
      </c>
      <c r="AW868" s="899">
        <f t="shared" si="64"/>
        <v>4</v>
      </c>
      <c r="AX868" s="899">
        <f>INDEX(V868:AG868,1,MATCH(Parametres!$B$3,V$1:AG$1,0))*IF(OR(C868="L",C868="S",C868="I"),-1,1)</f>
        <v>34</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-1153.73</v>
      </c>
      <c r="AM870" s="905">
        <f t="shared" si="61"/>
        <v>0</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105699.01</v>
      </c>
      <c r="AM884" s="905">
        <f t="shared" si="61"/>
        <v>17003.090000000011</v>
      </c>
      <c r="AN884" s="905">
        <f>INDEX(G884:R884,1,MATCH(Parametres!$B$3,G$1:R$1,0))*IF(OR(F884="L",F884="S",F884="I"),-1,1)</f>
        <v>122702.1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17787.689999999999</v>
      </c>
      <c r="AM886" s="905">
        <f t="shared" si="61"/>
        <v>4176.2299999999996</v>
      </c>
      <c r="AN886" s="905">
        <f>INDEX(G886:R886,1,MATCH(Parametres!$B$3,G$1:R$1,0))*IF(OR(F886="L",F886="S",F886="I"),-1,1)</f>
        <v>21963.919999999998</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-263170.24</v>
      </c>
      <c r="AM893" s="905">
        <f t="shared" si="67"/>
        <v>-139962.32</v>
      </c>
      <c r="AN893" s="905">
        <f>INDEX(G893:R893,1,MATCH(Parametres!$B$3,G$1:R$1,0))*IF(OR(F893="L",F893="S",F893="I"),-1,1)</f>
        <v>-403132.56</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51</v>
      </c>
      <c r="AW893" s="899">
        <f t="shared" si="70"/>
        <v>-2</v>
      </c>
      <c r="AX893" s="899">
        <f>INDEX(V893:AG893,1,MATCH(Parametres!$B$3,V$1:AG$1,0))*IF(OR(C893="L",C893="S",C893="I"),-1,1)</f>
        <v>49</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-203730.07</v>
      </c>
      <c r="AM894" s="905">
        <f t="shared" si="67"/>
        <v>-26831.50999999998</v>
      </c>
      <c r="AN894" s="905">
        <f>INDEX(G894:R894,1,MATCH(Parametres!$B$3,G$1:R$1,0))*IF(OR(F894="L",F894="S",F894="I"),-1,1)</f>
        <v>-230561.58</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12</v>
      </c>
      <c r="AW894" s="899">
        <f t="shared" si="70"/>
        <v>1</v>
      </c>
      <c r="AX894" s="899">
        <f>INDEX(V894:AG894,1,MATCH(Parametres!$B$3,V$1:AG$1,0))*IF(OR(C894="L",C894="S",C894="I"),-1,1)</f>
        <v>13</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3690.16</v>
      </c>
      <c r="AM897" s="905">
        <f t="shared" si="67"/>
        <v>-19.440000000000055</v>
      </c>
      <c r="AN897" s="905">
        <f>INDEX(G897:R897,1,MATCH(Parametres!$B$3,G$1:R$1,0))*IF(OR(F897="L",F897="S",F897="I"),-1,1)</f>
        <v>3670.72</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0</v>
      </c>
      <c r="AM899" s="905">
        <f t="shared" si="67"/>
        <v>0</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9" workbookViewId="0">
      <selection activeCell="J16" sqref="J16"/>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92" t="s">
        <v>1160</v>
      </c>
      <c r="D4" s="1293"/>
      <c r="E4" s="1293"/>
      <c r="F4" s="1293"/>
      <c r="G4" s="1294"/>
    </row>
    <row r="5" spans="2:7" s="1061" customFormat="1" ht="28.2" thickBot="1">
      <c r="C5" s="1062" t="s">
        <v>3185</v>
      </c>
      <c r="D5" s="1063" t="s">
        <v>282</v>
      </c>
      <c r="E5" s="1064" t="s">
        <v>3164</v>
      </c>
      <c r="F5" s="1063">
        <v>2025</v>
      </c>
      <c r="G5" s="1064" t="s">
        <v>3165</v>
      </c>
    </row>
    <row r="6" spans="2:7" s="1061" customFormat="1" ht="14.4" thickBot="1">
      <c r="B6" s="1065" t="s">
        <v>3166</v>
      </c>
      <c r="C6" s="1066">
        <f>Print_Mois!J13</f>
        <v>77</v>
      </c>
      <c r="D6" s="1067"/>
      <c r="E6" s="1068">
        <f t="shared" ref="E6:E19" si="0">C6-D6</f>
        <v>77</v>
      </c>
      <c r="F6" s="1069">
        <f>Print_Mois!O13</f>
        <v>62</v>
      </c>
      <c r="G6" s="1068">
        <f t="shared" ref="G6:G19" si="1">C6-F6</f>
        <v>15</v>
      </c>
    </row>
    <row r="7" spans="2:7" s="1061" customFormat="1">
      <c r="B7" s="1099" t="s">
        <v>3187</v>
      </c>
      <c r="C7" s="1095">
        <f>Print_Mois!J17</f>
        <v>51</v>
      </c>
      <c r="D7" s="1096"/>
      <c r="E7" s="1068">
        <f t="shared" si="0"/>
        <v>51</v>
      </c>
      <c r="F7" s="1098">
        <f>Print_Mois!O17</f>
        <v>82</v>
      </c>
      <c r="G7" s="1097">
        <f t="shared" si="1"/>
        <v>-31</v>
      </c>
    </row>
    <row r="8" spans="2:7" s="1061" customFormat="1" ht="14.4" thickBot="1">
      <c r="B8" s="1070" t="s">
        <v>3167</v>
      </c>
      <c r="C8" s="1071">
        <f>Print_Mois!J97</f>
        <v>22</v>
      </c>
      <c r="D8" s="1072"/>
      <c r="E8" s="1073">
        <f t="shared" si="0"/>
        <v>22</v>
      </c>
      <c r="F8" s="1074">
        <f>Print_Mois!O97</f>
        <v>14</v>
      </c>
      <c r="G8" s="1073">
        <f t="shared" si="1"/>
        <v>8</v>
      </c>
    </row>
    <row r="9" spans="2:7">
      <c r="B9" s="1075" t="s">
        <v>3168</v>
      </c>
      <c r="C9" s="1076">
        <f>Print_Mois!L27</f>
        <v>208542.12000000873</v>
      </c>
      <c r="D9" s="1077"/>
      <c r="E9" s="1078">
        <f t="shared" si="0"/>
        <v>208542.12000000873</v>
      </c>
      <c r="F9" s="1077">
        <f>Print_Mois!Q27</f>
        <v>251703.21000001201</v>
      </c>
      <c r="G9" s="1078">
        <f t="shared" si="1"/>
        <v>-43161.090000003285</v>
      </c>
    </row>
    <row r="10" spans="2:7">
      <c r="B10" s="1075" t="s">
        <v>3169</v>
      </c>
      <c r="C10" s="1076">
        <f>Print_Mois!L109</f>
        <v>32709.379999999772</v>
      </c>
      <c r="D10" s="1077"/>
      <c r="E10" s="1078">
        <f t="shared" si="0"/>
        <v>32709.379999999772</v>
      </c>
      <c r="F10" s="1077">
        <f>Print_Mois!Q109</f>
        <v>121884.50000000138</v>
      </c>
      <c r="G10" s="1078">
        <f t="shared" si="1"/>
        <v>-89175.120000001611</v>
      </c>
    </row>
    <row r="11" spans="2:7">
      <c r="B11" s="1100" t="s">
        <v>3188</v>
      </c>
      <c r="C11" s="1076">
        <f>Print_Mois!L182</f>
        <v>-43505.200000001118</v>
      </c>
      <c r="D11" s="1077"/>
      <c r="E11" s="1078"/>
      <c r="F11" s="1077">
        <f>Print_Mois!Q182</f>
        <v>56234.750000000116</v>
      </c>
      <c r="G11" s="1078">
        <f t="shared" si="1"/>
        <v>-99739.950000001234</v>
      </c>
    </row>
    <row r="12" spans="2:7">
      <c r="B12" s="1075" t="s">
        <v>3170</v>
      </c>
      <c r="C12" s="1076">
        <f>Print_Mois!L268</f>
        <v>107445.27000000003</v>
      </c>
      <c r="D12" s="1077"/>
      <c r="E12" s="1078">
        <f t="shared" si="0"/>
        <v>107445.27000000003</v>
      </c>
      <c r="F12" s="1077">
        <f>Print_Mois!Q268</f>
        <v>152404.22000000003</v>
      </c>
      <c r="G12" s="1078">
        <f t="shared" si="1"/>
        <v>-44958.95</v>
      </c>
    </row>
    <row r="13" spans="2:7">
      <c r="B13" s="1100" t="s">
        <v>3190</v>
      </c>
      <c r="C13" s="1076">
        <f>Print_Mois!L448</f>
        <v>68237.71000000005</v>
      </c>
      <c r="D13" s="1077"/>
      <c r="E13" s="1078"/>
      <c r="F13" s="1077">
        <f>Print_Mois!Q448</f>
        <v>54634.710000000014</v>
      </c>
      <c r="G13" s="1078">
        <f t="shared" si="1"/>
        <v>13603.000000000036</v>
      </c>
    </row>
    <row r="14" spans="2:7">
      <c r="B14" s="1100" t="s">
        <v>3189</v>
      </c>
      <c r="C14" s="1076">
        <f>Print_Mois!L326</f>
        <v>91270.9</v>
      </c>
      <c r="D14" s="1077"/>
      <c r="E14" s="1078"/>
      <c r="F14" s="1077">
        <f>Print_Mois!Q326</f>
        <v>75487.759999999922</v>
      </c>
      <c r="G14" s="1078">
        <f t="shared" si="1"/>
        <v>15783.140000000072</v>
      </c>
    </row>
    <row r="15" spans="2:7" ht="14.4" thickBot="1">
      <c r="B15" s="1075" t="s">
        <v>3171</v>
      </c>
      <c r="C15" s="1076">
        <f>Print_Mois!L390</f>
        <v>95727.829999999973</v>
      </c>
      <c r="D15" s="1077"/>
      <c r="E15" s="1078">
        <f t="shared" si="0"/>
        <v>95727.829999999973</v>
      </c>
      <c r="F15" s="1077">
        <f>Print_Mois!Q390</f>
        <v>116102.0199999999</v>
      </c>
      <c r="G15" s="1078">
        <f t="shared" si="1"/>
        <v>-20374.18999999993</v>
      </c>
    </row>
    <row r="16" spans="2:7" ht="14.4" thickTop="1">
      <c r="B16" s="1079" t="s">
        <v>3172</v>
      </c>
      <c r="C16" s="1080">
        <f>SUM(C9:C15)</f>
        <v>560428.01000000746</v>
      </c>
      <c r="D16" s="1081">
        <f>SUM(D9:D15)</f>
        <v>0</v>
      </c>
      <c r="E16" s="1082">
        <f t="shared" si="0"/>
        <v>560428.01000000746</v>
      </c>
      <c r="F16" s="1081">
        <f>SUM(F9:F15)</f>
        <v>828451.17000001331</v>
      </c>
      <c r="G16" s="1082">
        <f t="shared" si="1"/>
        <v>-268023.16000000585</v>
      </c>
    </row>
    <row r="17" spans="2:7">
      <c r="B17" s="1075" t="s">
        <v>3173</v>
      </c>
      <c r="C17" s="1076">
        <f>Print_Mois!AF568</f>
        <v>53435</v>
      </c>
      <c r="D17" s="1077"/>
      <c r="E17" s="1078">
        <f t="shared" si="0"/>
        <v>53435</v>
      </c>
      <c r="F17" s="1077">
        <f>Print_Mois!AL568</f>
        <v>166813.26999999999</v>
      </c>
      <c r="G17" s="1078">
        <f t="shared" si="1"/>
        <v>-113378.26999999999</v>
      </c>
    </row>
    <row r="18" spans="2:7">
      <c r="B18" s="1075" t="s">
        <v>3174</v>
      </c>
      <c r="C18" s="1076">
        <f>-Print_Mois!AF555</f>
        <v>-420351.95000000007</v>
      </c>
      <c r="D18" s="1077"/>
      <c r="E18" s="1078">
        <f t="shared" si="0"/>
        <v>-420351.95000000007</v>
      </c>
      <c r="F18" s="1077">
        <f>-Print_Mois!AL555</f>
        <v>-498162.3499999998</v>
      </c>
      <c r="G18" s="1078">
        <f t="shared" si="1"/>
        <v>77810.399999999732</v>
      </c>
    </row>
    <row r="19" spans="2:7" ht="14.4" thickBot="1">
      <c r="B19" s="1075" t="s">
        <v>3175</v>
      </c>
      <c r="C19" s="1076">
        <f>-Print_Mois!AF578-Print_Mois!AF579-Print_Mois!AF580-Print_Mois!AF581-Print_Mois!AF583</f>
        <v>-10810</v>
      </c>
      <c r="D19" s="1077"/>
      <c r="E19" s="1078">
        <f t="shared" si="0"/>
        <v>-10810</v>
      </c>
      <c r="F19" s="1077">
        <f>-Print_Mois!AL578-Print_Mois!AL579-Print_Mois!AL580-Print_Mois!AL581-Print_Mois!AL583</f>
        <v>-10786.230000000003</v>
      </c>
      <c r="G19" s="1078">
        <f t="shared" si="1"/>
        <v>-23.769999999996799</v>
      </c>
    </row>
    <row r="20" spans="2:7" ht="15" thickTop="1" thickBot="1">
      <c r="B20" s="1083" t="s">
        <v>3176</v>
      </c>
      <c r="C20" s="1084">
        <f>SUM(C16:C19)</f>
        <v>182701.06000000739</v>
      </c>
      <c r="D20" s="1085">
        <f t="shared" ref="D20:G20" si="2">SUM(D16:D19)</f>
        <v>0</v>
      </c>
      <c r="E20" s="1086">
        <f t="shared" si="2"/>
        <v>182701.06000000739</v>
      </c>
      <c r="F20" s="1085">
        <f t="shared" si="2"/>
        <v>486315.86000001355</v>
      </c>
      <c r="G20" s="1086">
        <f t="shared" si="2"/>
        <v>-303614.80000000616</v>
      </c>
    </row>
    <row r="21" spans="2:7" ht="14.4" thickBot="1"/>
    <row r="22" spans="2:7" ht="21.6" thickBot="1">
      <c r="C22" s="1292" t="s">
        <v>3457</v>
      </c>
      <c r="D22" s="1293"/>
      <c r="E22" s="1293"/>
      <c r="F22" s="1293"/>
      <c r="G22" s="1294"/>
    </row>
    <row r="23" spans="2:7" ht="28.2" thickBot="1">
      <c r="B23" s="1061"/>
      <c r="C23" s="1062" t="s">
        <v>3186</v>
      </c>
      <c r="D23" s="1063" t="s">
        <v>3177</v>
      </c>
      <c r="E23" s="1064" t="s">
        <v>3164</v>
      </c>
      <c r="F23" s="1063" t="s">
        <v>3178</v>
      </c>
      <c r="G23" s="1064" t="s">
        <v>3165</v>
      </c>
    </row>
    <row r="24" spans="2:7" ht="14.4" thickBot="1">
      <c r="B24" s="1065" t="s">
        <v>3166</v>
      </c>
      <c r="C24" s="1066">
        <f>Print_AAD!J13</f>
        <v>433</v>
      </c>
      <c r="D24" s="1067"/>
      <c r="E24" s="1068">
        <f t="shared" ref="E24:E37" si="3">C24-D24</f>
        <v>433</v>
      </c>
      <c r="F24" s="1069">
        <f>Print_AAD!O13</f>
        <v>589</v>
      </c>
      <c r="G24" s="1068">
        <f t="shared" ref="G24:G37" si="4">C24-F24</f>
        <v>-156</v>
      </c>
    </row>
    <row r="25" spans="2:7">
      <c r="B25" s="1099" t="s">
        <v>3187</v>
      </c>
      <c r="C25" s="1095">
        <f>Print_AAD!J17</f>
        <v>989</v>
      </c>
      <c r="D25" s="1096"/>
      <c r="E25" s="1068">
        <f t="shared" si="3"/>
        <v>989</v>
      </c>
      <c r="F25" s="1098">
        <f>Print_AAD!O17</f>
        <v>1252</v>
      </c>
      <c r="G25" s="1097">
        <f t="shared" si="4"/>
        <v>-263</v>
      </c>
    </row>
    <row r="26" spans="2:7" ht="14.4" thickBot="1">
      <c r="B26" s="1070" t="s">
        <v>3167</v>
      </c>
      <c r="C26" s="1071">
        <f>Print_AAD!J97</f>
        <v>193</v>
      </c>
      <c r="D26" s="1072"/>
      <c r="E26" s="1073">
        <f t="shared" si="3"/>
        <v>193</v>
      </c>
      <c r="F26" s="1074">
        <f>Print_AAD!O97</f>
        <v>83</v>
      </c>
      <c r="G26" s="1073">
        <f t="shared" si="4"/>
        <v>110</v>
      </c>
    </row>
    <row r="27" spans="2:7">
      <c r="B27" s="1075" t="s">
        <v>3168</v>
      </c>
      <c r="C27" s="1076">
        <f>Print_AAD!L27</f>
        <v>1832219.7899999972</v>
      </c>
      <c r="D27" s="1077"/>
      <c r="E27" s="1078">
        <f t="shared" si="3"/>
        <v>1832219.7899999972</v>
      </c>
      <c r="F27" s="1077">
        <f>Print_AAD!Q27</f>
        <v>2759193.4400000125</v>
      </c>
      <c r="G27" s="1078">
        <f t="shared" si="4"/>
        <v>-926973.65000001527</v>
      </c>
    </row>
    <row r="28" spans="2:7">
      <c r="B28" s="1075" t="s">
        <v>3169</v>
      </c>
      <c r="C28" s="1076">
        <f>Print_AAD!L109</f>
        <v>433921.11999999988</v>
      </c>
      <c r="D28" s="1077"/>
      <c r="E28" s="1078">
        <f t="shared" si="3"/>
        <v>433921.11999999988</v>
      </c>
      <c r="F28" s="1077">
        <f>Print_AAD!Q109</f>
        <v>586353.81999999634</v>
      </c>
      <c r="G28" s="1078">
        <f t="shared" si="4"/>
        <v>-152432.69999999646</v>
      </c>
    </row>
    <row r="29" spans="2:7">
      <c r="B29" s="1100" t="s">
        <v>3188</v>
      </c>
      <c r="C29" s="1076">
        <f>Print_AAD!L182</f>
        <v>1103066.620000001</v>
      </c>
      <c r="D29" s="1077"/>
      <c r="E29" s="1078"/>
      <c r="F29" s="1077">
        <f>Print_AAD!Q182</f>
        <v>1204328.9699999988</v>
      </c>
      <c r="G29" s="1078">
        <f t="shared" si="4"/>
        <v>-101262.34999999776</v>
      </c>
    </row>
    <row r="30" spans="2:7">
      <c r="B30" s="1075" t="s">
        <v>3170</v>
      </c>
      <c r="C30" s="1076">
        <f>Print_AAD!L268</f>
        <v>1193352.8999999999</v>
      </c>
      <c r="D30" s="1077"/>
      <c r="E30" s="1078"/>
      <c r="F30" s="1077">
        <f>Print_AAD!Q268</f>
        <v>1440907.41</v>
      </c>
      <c r="G30" s="1078">
        <f t="shared" si="4"/>
        <v>-247554.51</v>
      </c>
    </row>
    <row r="31" spans="2:7">
      <c r="B31" s="1100" t="s">
        <v>3190</v>
      </c>
      <c r="C31" s="1076">
        <f>Print_AAD!L448</f>
        <v>616909.24</v>
      </c>
      <c r="D31" s="1077"/>
      <c r="E31" s="1078"/>
      <c r="F31" s="1077">
        <f>Print_AAD!Q448</f>
        <v>565981.29999999993</v>
      </c>
      <c r="G31" s="1078">
        <f t="shared" si="4"/>
        <v>50927.940000000061</v>
      </c>
    </row>
    <row r="32" spans="2:7">
      <c r="B32" s="1100" t="s">
        <v>3189</v>
      </c>
      <c r="C32" s="1076">
        <f>Print_AAD!L326</f>
        <v>640060.26000000024</v>
      </c>
      <c r="D32" s="1077"/>
      <c r="E32" s="1078">
        <f t="shared" si="3"/>
        <v>640060.26000000024</v>
      </c>
      <c r="F32" s="1077">
        <f>Print_AAD!Q326</f>
        <v>593583.26999999979</v>
      </c>
      <c r="G32" s="1078">
        <f t="shared" si="4"/>
        <v>46476.990000000456</v>
      </c>
    </row>
    <row r="33" spans="2:8" ht="14.4" thickBot="1">
      <c r="B33" s="1075" t="s">
        <v>3171</v>
      </c>
      <c r="C33" s="1076">
        <f>Print_AAD!L390</f>
        <v>882045.12000000011</v>
      </c>
      <c r="D33" s="1077"/>
      <c r="E33" s="1078">
        <f t="shared" si="3"/>
        <v>882045.12000000011</v>
      </c>
      <c r="F33" s="1077">
        <f>Print_AAD!Q390</f>
        <v>892489.22</v>
      </c>
      <c r="G33" s="1078">
        <f t="shared" si="4"/>
        <v>-10444.09999999986</v>
      </c>
    </row>
    <row r="34" spans="2:8" ht="14.4" thickTop="1">
      <c r="B34" s="1079" t="s">
        <v>3172</v>
      </c>
      <c r="C34" s="1080">
        <f>SUM(C27:C33)</f>
        <v>6701575.049999998</v>
      </c>
      <c r="D34" s="1081">
        <f>SUM(D27:D33)</f>
        <v>0</v>
      </c>
      <c r="E34" s="1082">
        <f t="shared" si="3"/>
        <v>6701575.049999998</v>
      </c>
      <c r="F34" s="1081">
        <f>SUM(F27:F33)</f>
        <v>8042837.4300000072</v>
      </c>
      <c r="G34" s="1082">
        <f t="shared" si="4"/>
        <v>-1341262.3800000092</v>
      </c>
    </row>
    <row r="35" spans="2:8">
      <c r="B35" s="1075" t="s">
        <v>3173</v>
      </c>
      <c r="C35" s="1076">
        <f>Print_AAD!AF568</f>
        <v>328668.33999999997</v>
      </c>
      <c r="D35" s="1077"/>
      <c r="E35" s="1078">
        <f t="shared" si="3"/>
        <v>328668.33999999997</v>
      </c>
      <c r="F35" s="1077">
        <f>Print_AAD!AL568</f>
        <v>630023.42000000004</v>
      </c>
      <c r="G35" s="1078">
        <f t="shared" si="4"/>
        <v>-301355.08000000007</v>
      </c>
    </row>
    <row r="36" spans="2:8">
      <c r="B36" s="1075" t="s">
        <v>3174</v>
      </c>
      <c r="C36" s="1076">
        <f>-Print_AAD!AF555</f>
        <v>-5017156.37</v>
      </c>
      <c r="D36" s="1077"/>
      <c r="E36" s="1078">
        <f t="shared" si="3"/>
        <v>-5017156.37</v>
      </c>
      <c r="F36" s="1077">
        <f>-Print_AAD!AL555</f>
        <v>-5501492.1600000001</v>
      </c>
      <c r="G36" s="1078">
        <f t="shared" si="4"/>
        <v>484335.79000000004</v>
      </c>
      <c r="H36" s="1102" t="s">
        <v>3191</v>
      </c>
    </row>
    <row r="37" spans="2:8" ht="14.4" thickBot="1">
      <c r="B37" s="1075" t="s">
        <v>3179</v>
      </c>
      <c r="C37" s="1076">
        <f>-Print_AAD!AF578-Print_AAD!AF579-Print_AAD!AF580-Print_AAD!AF581-Print_AAD!AF583</f>
        <v>-97290</v>
      </c>
      <c r="D37" s="1077"/>
      <c r="E37" s="1078">
        <f t="shared" si="3"/>
        <v>-97290</v>
      </c>
      <c r="F37" s="1077">
        <f>-Print_AAD!AL578-Print_AAD!AL579-Print_AAD!AL580-Print_AAD!AL581-Print_AAD!AL583</f>
        <v>-101488.8</v>
      </c>
      <c r="G37" s="1078">
        <f t="shared" si="4"/>
        <v>4198.8000000000029</v>
      </c>
    </row>
    <row r="38" spans="2:8" ht="15" thickTop="1" thickBot="1">
      <c r="B38" s="1083" t="s">
        <v>3176</v>
      </c>
      <c r="C38" s="1084">
        <f t="shared" ref="C38:G38" si="5">SUM(C34:C37)</f>
        <v>1915797.0199999977</v>
      </c>
      <c r="D38" s="1085">
        <f t="shared" si="5"/>
        <v>0</v>
      </c>
      <c r="E38" s="1086">
        <f t="shared" si="5"/>
        <v>1915797.0199999977</v>
      </c>
      <c r="F38" s="1085">
        <f t="shared" si="5"/>
        <v>3069879.8900000071</v>
      </c>
      <c r="G38" s="1086">
        <f t="shared" si="5"/>
        <v>-1154082.8700000092</v>
      </c>
    </row>
    <row r="40" spans="2:8" ht="21.6" hidden="1" thickBot="1">
      <c r="C40" s="1292" t="s">
        <v>3180</v>
      </c>
      <c r="D40" s="1293"/>
      <c r="E40" s="1293"/>
      <c r="F40" s="1293"/>
      <c r="G40" s="1294"/>
    </row>
    <row r="41" spans="2:8" ht="27.6"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4.4"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4.4"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92" t="s">
        <v>3203</v>
      </c>
      <c r="D54" s="1293"/>
      <c r="E54" s="1293"/>
      <c r="F54" s="1293"/>
      <c r="G54" s="1294"/>
    </row>
    <row r="55" spans="2:7" ht="28.2" hidden="1" thickBot="1">
      <c r="B55" s="1061"/>
      <c r="C55" s="1062" t="s">
        <v>3186</v>
      </c>
      <c r="D55" s="1063" t="s">
        <v>3177</v>
      </c>
      <c r="E55" s="1064" t="s">
        <v>3164</v>
      </c>
      <c r="F55" s="1063" t="s">
        <v>3178</v>
      </c>
      <c r="G55" s="1064" t="s">
        <v>3165</v>
      </c>
    </row>
    <row r="56" spans="2:7" ht="14.4"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4.4"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4.4" hidden="1" thickBot="1">
      <c r="B65" s="1075" t="s">
        <v>3171</v>
      </c>
      <c r="C65" s="1076">
        <f>'Q2'!L390</f>
        <v>298770.57999999996</v>
      </c>
      <c r="D65" s="1077"/>
      <c r="E65" s="1078">
        <f t="shared" si="11"/>
        <v>298770.57999999996</v>
      </c>
      <c r="F65" s="1077">
        <f>'Q2'!Q390</f>
        <v>295186.97999999992</v>
      </c>
      <c r="G65" s="1078">
        <f t="shared" si="10"/>
        <v>3583.6000000000349</v>
      </c>
    </row>
    <row r="66" spans="2:7" ht="14.4"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4.4"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553" zoomScale="60" zoomScaleNormal="60" workbookViewId="0">
      <pane xSplit="1" topLeftCell="K1" activePane="topRight" state="frozen"/>
      <selection activeCell="A478" sqref="A478"/>
      <selection pane="topRight" activeCell="AA589" sqref="AA589"/>
    </sheetView>
  </sheetViews>
  <sheetFormatPr baseColWidth="10" defaultRowHeight="13.8"/>
  <cols>
    <col min="1" max="1" width="39.3984375" customWidth="1"/>
    <col min="2" max="25" width="17.19921875" customWidth="1"/>
    <col min="26" max="26" width="11" customWidth="1"/>
  </cols>
  <sheetData>
    <row r="1" spans="1:25" s="1248" customFormat="1" ht="22.8">
      <c r="C1" s="1248" t="s">
        <v>3419</v>
      </c>
      <c r="F1" s="1248" t="s">
        <v>3420</v>
      </c>
      <c r="I1" s="1248" t="s">
        <v>3421</v>
      </c>
      <c r="L1" s="1248" t="s">
        <v>3422</v>
      </c>
      <c r="O1" s="1248" t="s">
        <v>3423</v>
      </c>
      <c r="R1" s="1248" t="s">
        <v>3424</v>
      </c>
      <c r="U1" s="1248" t="s">
        <v>3428</v>
      </c>
      <c r="X1" s="1248" t="s">
        <v>3437</v>
      </c>
    </row>
    <row r="3" spans="1:25"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1">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1">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1">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1">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241.13075471698116</v>
      </c>
      <c r="Y38" s="1242">
        <v>12779.930000000002</v>
      </c>
    </row>
    <row r="39" spans="1:25"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9.7354559179688827E-2</v>
      </c>
      <c r="Y43" s="1149">
        <v>14163.74000000002</v>
      </c>
    </row>
    <row r="44" spans="1:25"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4857.2099999999991</v>
      </c>
    </row>
    <row r="52" spans="1:25"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0.26822814405357598</v>
      </c>
      <c r="Y56" s="1149">
        <v>39023.479999999981</v>
      </c>
    </row>
    <row r="57" spans="1:25"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0.52542169821663687</v>
      </c>
      <c r="Y76" s="1149">
        <v>76441.580000000016</v>
      </c>
    </row>
    <row r="77" spans="1:25"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1">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121672.00999999931</v>
      </c>
    </row>
    <row r="88" spans="1:25" ht="23.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2.8">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6"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2038487.7499999991</v>
      </c>
    </row>
    <row r="96" spans="1:25"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2317.4499999999971</v>
      </c>
    </row>
    <row r="134" spans="1:25"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0.98487713057720183</v>
      </c>
      <c r="Y138" s="1149">
        <v>23728.3</v>
      </c>
    </row>
    <row r="139" spans="1:25"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2.2528136174311202</v>
      </c>
      <c r="Y158" s="1149">
        <v>54276.25</v>
      </c>
    </row>
    <row r="159" spans="1:25"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-23059.260000000839</v>
      </c>
    </row>
    <row r="169" spans="1:25"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6"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-6991.5299999999988</v>
      </c>
    </row>
    <row r="200" spans="1:25"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1968.42</v>
      </c>
    </row>
    <row r="207" spans="1:25"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-1357.4499999999971</v>
      </c>
    </row>
    <row r="208" spans="1:25"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-0.57861131921978182</v>
      </c>
      <c r="Y211" s="1149">
        <v>-13940.279999999993</v>
      </c>
    </row>
    <row r="212" spans="1:25"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0.27719532720561102</v>
      </c>
      <c r="Y231" s="1149">
        <v>6678.3700000000326</v>
      </c>
    </row>
    <row r="232" spans="1:25"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-22580.300000001596</v>
      </c>
    </row>
    <row r="242" spans="1:25"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6514.1000000000058</v>
      </c>
      <c r="Z274" t="s">
        <v>3438</v>
      </c>
    </row>
    <row r="275" spans="1:26"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7931.0699999999924</v>
      </c>
    </row>
    <row r="282" spans="1:26"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0.59577696391062784</v>
      </c>
      <c r="Y286" s="1149">
        <v>66904.489999999991</v>
      </c>
    </row>
    <row r="287" spans="1:26"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0.94021009123235488</v>
      </c>
      <c r="Y307" s="1149">
        <v>105583.6</v>
      </c>
    </row>
    <row r="308" spans="1:25"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6714.2799999999552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3892.1799999999967</v>
      </c>
    </row>
    <row r="340" spans="1:25"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0.53034726615087668</v>
      </c>
      <c r="Y344" s="1149">
        <v>33351.44999999999</v>
      </c>
    </row>
    <row r="345" spans="1:25"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7636.6500000000005</v>
      </c>
    </row>
    <row r="348" spans="1:25"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399999999999999">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0.39938660491689282</v>
      </c>
      <c r="Y363" s="1149">
        <v>25115.850000000009</v>
      </c>
    </row>
    <row r="364" spans="1:25"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0.9297338710677695</v>
      </c>
      <c r="Y365" s="1149">
        <v>58467.3</v>
      </c>
    </row>
    <row r="366" spans="1:25"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4418.7599999999802</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7934.34</v>
      </c>
    </row>
    <row r="397" spans="1:25"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14321.329999999987</v>
      </c>
    </row>
    <row r="399" spans="1:25"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1984.9599999999991</v>
      </c>
    </row>
    <row r="404" spans="1:25"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0.34573716729816573</v>
      </c>
      <c r="Y408" s="1149">
        <v>31919.329999999987</v>
      </c>
    </row>
    <row r="409" spans="1:25"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0.44723536064273695</v>
      </c>
      <c r="Y429" s="1149">
        <v>41289.899999999987</v>
      </c>
    </row>
    <row r="430" spans="1:25"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51032.630000000201</v>
      </c>
    </row>
    <row r="432" spans="1:25"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1">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3742.17</v>
      </c>
    </row>
    <row r="462" spans="1:25"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0.30975473095516232</v>
      </c>
      <c r="Y466" s="1149">
        <v>15357.589999999998</v>
      </c>
    </row>
    <row r="467" spans="1:25"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0.31854035833919581</v>
      </c>
      <c r="Y486" s="1149">
        <v>15793.179999999998</v>
      </c>
    </row>
    <row r="487" spans="1:25"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33786.660000000011</v>
      </c>
    </row>
    <row r="489" spans="1:25"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1">
      <c r="D490" s="305"/>
      <c r="G490" s="305"/>
      <c r="J490" s="305"/>
      <c r="M490" s="305"/>
      <c r="P490" s="305"/>
      <c r="S490" s="305"/>
      <c r="V490" s="305"/>
      <c r="Y490" s="305"/>
    </row>
    <row r="491" spans="1:25" ht="35.4">
      <c r="A491" s="656" t="s">
        <v>1161</v>
      </c>
      <c r="D491" s="709"/>
      <c r="G491" s="709"/>
      <c r="J491" s="709"/>
      <c r="M491" s="709"/>
      <c r="P491" s="709"/>
      <c r="S491" s="709"/>
      <c r="V491" s="709"/>
      <c r="Y491" s="709"/>
    </row>
    <row r="492" spans="1:25" ht="18" thickBot="1">
      <c r="A492" s="376"/>
    </row>
    <row r="493" spans="1:25"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13948793.349999994</v>
      </c>
    </row>
    <row r="496" spans="1:25"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3.3749383777342809E-2</v>
      </c>
      <c r="X496" s="393"/>
      <c r="Y496" s="391">
        <v>470763.17999999708</v>
      </c>
    </row>
    <row r="497" spans="1:26"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3439</v>
      </c>
    </row>
    <row r="501" spans="1:26"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236.01883116883121</v>
      </c>
      <c r="Y503" s="399">
        <v>18173.450000000004</v>
      </c>
    </row>
    <row r="504" spans="1:26"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3448</v>
      </c>
    </row>
    <row r="505" spans="1:26"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0.11354573227243557</v>
      </c>
      <c r="X508" s="1208"/>
      <c r="Y508" s="416">
        <v>53453.150000000067</v>
      </c>
    </row>
    <row r="509" spans="1:26"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32819.069999999992</v>
      </c>
    </row>
    <row r="511" spans="1:26"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33828.989999999991</v>
      </c>
    </row>
    <row r="513" spans="1:26"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26693.459999999985</v>
      </c>
    </row>
    <row r="518" spans="1:26"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46233.479999999996</v>
      </c>
    </row>
    <row r="519" spans="1:26"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0.44587614095053318</v>
      </c>
      <c r="X522" s="1210"/>
      <c r="Y522" s="416">
        <v>209902.06999999992</v>
      </c>
    </row>
    <row r="523" spans="1:26"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25757.210000000014</v>
      </c>
    </row>
    <row r="526" spans="1:26"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3449</v>
      </c>
    </row>
    <row r="529" spans="1:26"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3449</v>
      </c>
    </row>
    <row r="535" spans="1:26"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7.399999999999999">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0.23097105852671118</v>
      </c>
      <c r="X541" s="1206"/>
      <c r="Y541" s="416">
        <v>108732.67</v>
      </c>
    </row>
    <row r="542" spans="1:26"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3450</v>
      </c>
    </row>
    <row r="549" spans="1:26"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1.0562974784901467</v>
      </c>
      <c r="X557" s="1206"/>
      <c r="Y557" s="416">
        <v>497265.95999999996</v>
      </c>
    </row>
    <row r="558" spans="1:26"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3910.6699999999942</v>
      </c>
    </row>
    <row r="559" spans="1:26"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0.13523243257894635</v>
      </c>
      <c r="X570" s="1215"/>
      <c r="Y570" s="416">
        <v>63662.44999999999</v>
      </c>
    </row>
    <row r="571" spans="1:25"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2.6640060589898356E-3</v>
      </c>
      <c r="Y572" s="468">
        <v>37159.66999999711</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4">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5.8079088253176533E-3</v>
      </c>
      <c r="Y577" s="752">
        <v>81013.319999997155</v>
      </c>
    </row>
    <row r="578" spans="1:25"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2.6640060589898356E-3</v>
      </c>
      <c r="Y578" s="468">
        <v>37159.66999999711</v>
      </c>
    </row>
    <row r="579" spans="1:25"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1.3197163036326089E-3</v>
      </c>
      <c r="Y587" s="468">
        <v>18408.449999997109</v>
      </c>
    </row>
    <row r="588" spans="1:25" ht="14.4"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2026-10-08T03:06:28Z</dcterms:modified>
</cp:coreProperties>
</file>