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D59044CC-2F2D-4BDA-AB89-92EE66F6644A}" xr6:coauthVersionLast="47" xr6:coauthVersionMax="47" xr10:uidLastSave="{00000000-0000-0000-0000-000000000000}"/>
  <bookViews>
    <workbookView xWindow="2868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U5" i="12" l="1"/>
  <c r="Q482" i="12"/>
  <c r="Q484" i="12" s="1"/>
  <c r="Q464" i="12"/>
  <c r="Q481" i="12"/>
  <c r="Q480" i="12"/>
  <c r="Q479" i="12"/>
  <c r="Q478" i="12"/>
  <c r="Q477" i="12"/>
  <c r="Q476" i="12"/>
  <c r="Q475" i="12"/>
  <c r="Q474" i="12"/>
  <c r="Q473" i="12"/>
  <c r="Q472" i="12"/>
  <c r="Q471" i="12"/>
  <c r="Q470" i="12"/>
  <c r="Q469" i="12"/>
  <c r="Q468" i="12"/>
  <c r="Q467" i="12"/>
  <c r="Q466" i="12"/>
  <c r="Q465" i="12"/>
  <c r="Q463" i="12"/>
  <c r="Q462" i="12"/>
  <c r="Q461" i="12"/>
  <c r="Q460" i="12"/>
  <c r="Q459" i="12"/>
  <c r="Q458" i="12"/>
  <c r="Q457" i="12"/>
  <c r="Q456" i="12"/>
  <c r="Q455" i="12"/>
  <c r="Q454" i="12"/>
  <c r="Q453" i="12"/>
  <c r="Q452" i="12"/>
  <c r="Q361" i="12"/>
  <c r="Q359" i="12"/>
  <c r="Q360" i="12"/>
  <c r="A358" i="12"/>
  <c r="F358" i="12" a="1"/>
  <c r="F358" i="12"/>
  <c r="L358" i="12"/>
  <c r="N358" i="12"/>
  <c r="Q358" i="12"/>
  <c r="S358" i="12"/>
  <c r="Q357" i="12"/>
  <c r="Q356" i="12"/>
  <c r="Q355" i="12"/>
  <c r="Q354" i="12"/>
  <c r="Q353" i="12"/>
  <c r="Q352" i="12"/>
  <c r="Q351" i="12"/>
  <c r="Q350" i="12"/>
  <c r="Q349" i="12"/>
  <c r="Q348" i="12"/>
  <c r="Q347" i="12"/>
  <c r="Q346" i="12"/>
  <c r="Q345" i="12"/>
  <c r="Q344" i="12"/>
  <c r="Q343" i="12"/>
  <c r="Q341" i="12"/>
  <c r="Q340" i="12"/>
  <c r="Q339" i="12"/>
  <c r="Q338" i="12"/>
  <c r="Q337" i="12"/>
  <c r="Q336" i="12"/>
  <c r="Q335" i="12"/>
  <c r="Q334" i="12"/>
  <c r="Q333" i="12"/>
  <c r="Q332" i="12"/>
  <c r="Q331" i="12"/>
  <c r="Q330" i="12"/>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9" l="1"/>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D437" i="12" l="1"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<sst xmlns="http://schemas.openxmlformats.org/spreadsheetml/2006/main" count="25167" uniqueCount="3462">
  <si>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</si>
  <si>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</si>
  <si>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</si>
  <si>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</si>
  <si>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</si>
  <si>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</si>
  <si>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</si>
  <si>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</si>
  <si>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</si>
  <si>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</si>
  <si>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</si>
  <si>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</si>
  <si>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</si>
  <si>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</si>
  <si>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</si>
  <si>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</si>
  <si>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</si>
  <si>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</si>
  <si>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</si>
  <si>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</si>
  <si>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</si>
  <si>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</si>
  <si>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</si>
  <si>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</si>
  <si>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</si>
  <si>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</si>
  <si>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</si>
  <si>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</si>
  <si>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</si>
  <si>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</si>
  <si>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</si>
  <si>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</si>
  <si>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</si>
  <si>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</si>
  <si>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</si>
  <si>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</si>
  <si>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</si>
  <si>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</si>
  <si>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</si>
  <si>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</si>
  <si>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</si>
  <si>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</si>
  <si>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</si>
  <si>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</si>
  <si>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</si>
  <si>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</si>
  <si>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</si>
  <si>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</si>
  <si>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</si>
  <si>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</si>
  <si>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</si>
  <si>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</si>
  <si>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</si>
  <si>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</si>
  <si>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</si>
  <si>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</si>
  <si>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</si>
  <si>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</si>
  <si>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</si>
  <si>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</si>
  <si>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</si>
  <si>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</si>
  <si>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</si>
  <si>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</si>
  <si>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</si>
  <si>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</si>
  <si>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</si>
  <si>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</si>
  <si>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</si>
  <si>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</si>
  <si>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</si>
  <si>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</si>
  <si>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</si>
  <si>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</si>
  <si>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</si>
  <si>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</si>
  <si>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</si>
  <si>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</si>
  <si>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</si>
  <si>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</si>
  <si>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</si>
  <si>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</si>
  <si>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</si>
  <si>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</si>
  <si>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</si>
  <si>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</si>
  <si>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</si>
  <si>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</si>
  <si>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</si>
  <si>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</si>
  <si>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</si>
  <si>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</si>
  <si>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</si>
  <si>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</si>
  <si>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</si>
  <si>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</si>
  <si>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</si>
  <si>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</si>
  <si>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</si>
  <si>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</si>
  <si>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</si>
  <si>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</si>
  <si>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</si>
  <si>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</si>
  <si>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</si>
  <si>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</si>
  <si>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</si>
  <si>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</si>
  <si>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</si>
  <si>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</si>
  <si>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</si>
  <si>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</si>
  <si>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</si>
  <si>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</si>
  <si>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</si>
  <si>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</si>
  <si>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</si>
  <si>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</si>
  <si>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</si>
  <si>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</si>
  <si>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</si>
  <si>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</si>
  <si>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</si>
  <si>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</si>
  <si>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</si>
  <si>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</si>
  <si>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</si>
  <si>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</si>
  <si>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</si>
  <si>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</si>
  <si>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</si>
  <si>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</si>
  <si>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</si>
  <si>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</si>
  <si>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</si>
  <si>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</si>
  <si>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</si>
  <si>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</si>
  <si>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</si>
  <si>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</si>
  <si>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</si>
  <si>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</si>
  <si>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</si>
  <si>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</si>
  <si>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</si>
  <si>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</si>
  <si>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</si>
  <si>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</si>
  <si>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</si>
  <si>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</si>
  <si>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</si>
  <si>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</si>
  <si>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</si>
  <si>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</si>
  <si>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</si>
  <si>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</si>
  <si>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</si>
  <si>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</si>
  <si>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</si>
  <si>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</si>
  <si>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</si>
  <si>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</si>
  <si>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</si>
  <si>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</si>
  <si>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</si>
  <si>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</si>
  <si>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</si>
  <si>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</si>
  <si>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</si>
  <si>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</si>
  <si>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</si>
  <si>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</si>
  <si>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</si>
  <si>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</si>
  <si>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</si>
  <si>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</si>
  <si>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</si>
  <si>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</si>
  <si>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</si>
  <si>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</si>
  <si>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</si>
  <si>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</si>
  <si>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</si>
  <si>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</si>
  <si>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</si>
  <si>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</si>
  <si>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</si>
  <si>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</si>
  <si>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</si>
  <si>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</si>
  <si>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</si>
  <si>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</si>
  <si>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</si>
  <si>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</si>
  <si>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</si>
  <si>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</si>
  <si>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</si>
  <si>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</si>
  <si>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</si>
  <si>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</si>
  <si>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</si>
  <si>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</si>
  <si>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</si>
  <si>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</si>
  <si>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</si>
  <si>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</si>
  <si>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</si>
  <si>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</si>
  <si>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</si>
  <si>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</si>
  <si>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</si>
  <si>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</si>
  <si>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</si>
  <si>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</si>
  <si>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</si>
  <si>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</si>
  <si>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</si>
  <si>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</si>
  <si>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</si>
  <si>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</si>
  <si>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</si>
  <si>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</si>
  <si>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</si>
  <si>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</si>
  <si>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</si>
  <si>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</si>
  <si>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</si>
  <si>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</si>
  <si>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</si>
  <si>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</si>
  <si>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</si>
  <si>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</si>
  <si>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</si>
  <si>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</si>
  <si>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</si>
  <si>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</si>
  <si>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</si>
  <si>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</si>
  <si>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</si>
  <si>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</si>
  <si>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</si>
  <si>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</si>
  <si>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</si>
  <si>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</si>
  <si>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</si>
  <si>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</si>
  <si>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</si>
  <si>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</si>
  <si>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</si>
  <si>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</si>
  <si>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</si>
  <si>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</si>
  <si>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</si>
  <si>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</si>
  <si>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</si>
  <si>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</si>
  <si>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</si>
  <si>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</si>
  <si>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</si>
  <si>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</si>
  <si>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</si>
  <si>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</si>
  <si>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</si>
  <si>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</si>
  <si>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</si>
  <si>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</si>
  <si>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</si>
  <si>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</si>
  <si>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</si>
  <si>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</si>
  <si>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</si>
  <si>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</si>
  <si>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</si>
  <si>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</si>
  <si>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</si>
  <si>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</si>
  <si>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</si>
  <si>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</si>
  <si>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</si>
  <si>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</si>
  <si>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</si>
  <si>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</si>
  <si>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</si>
  <si>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</si>
  <si>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</si>
  <si>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</si>
  <si>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</si>
  <si>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</si>
  <si>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</si>
  <si>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</si>
  <si>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</si>
  <si>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</si>
  <si>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</si>
  <si>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</si>
  <si>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</si>
  <si>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</si>
  <si>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</si>
  <si>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</si>
  <si>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</si>
  <si>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</si>
  <si>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</si>
  <si>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</si>
  <si>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</si>
  <si>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</si>
  <si>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</si>
  <si>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</si>
  <si>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</si>
  <si>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</si>
  <si>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</si>
  <si>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</si>
  <si>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</si>
  <si>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</si>
  <si>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</si>
  <si>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</si>
  <si>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</si>
  <si>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</si>
  <si>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</si>
  <si>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</si>
  <si>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</si>
  <si>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</si>
  <si>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</si>
  <si>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</si>
  <si>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</si>
  <si>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</si>
  <si>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</si>
  <si>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</si>
  <si>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</si>
  <si>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</si>
  <si>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</si>
  <si>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</si>
  <si>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</si>
  <si>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</si>
  <si>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</si>
  <si>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</si>
  <si>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</si>
  <si>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</si>
  <si>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</si>
  <si>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</si>
  <si>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</si>
  <si>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</si>
  <si>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</si>
  <si>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</si>
  <si>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</si>
  <si>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</si>
  <si>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</si>
  <si>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</si>
  <si>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</si>
  <si>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</si>
  <si>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</si>
  <si>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</si>
  <si>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</si>
  <si>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</si>
  <si>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</si>
  <si>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</si>
  <si>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</si>
  <si>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</si>
  <si>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</si>
  <si>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</si>
  <si>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</si>
  <si>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</si>
  <si>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</si>
  <si>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</si>
  <si>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</si>
  <si>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</si>
  <si>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</si>
  <si>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</si>
  <si>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</si>
  <si>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</si>
  <si>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</si>
  <si>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</si>
  <si>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</si>
  <si>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</si>
  <si>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</si>
  <si>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</si>
  <si>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</si>
  <si>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</si>
  <si>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</si>
  <si>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</si>
  <si>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</si>
  <si>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</si>
  <si>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</si>
  <si>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</si>
  <si>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</si>
  <si>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</si>
  <si>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</si>
  <si>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</si>
  <si>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</si>
  <si>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</si>
  <si>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</si>
  <si>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</si>
  <si>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</si>
  <si>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</si>
  <si>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</si>
  <si>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</si>
  <si>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</si>
  <si>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</si>
  <si>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</si>
  <si>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</si>
  <si>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</si>
  <si>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</si>
  <si>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</si>
  <si>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</si>
  <si>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</si>
  <si>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</si>
  <si>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</si>
  <si>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</si>
  <si>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</si>
  <si>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</si>
  <si>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</si>
  <si>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</si>
  <si>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</si>
  <si>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</si>
  <si>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</si>
  <si>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</si>
  <si>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</si>
  <si>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</si>
  <si>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</si>
  <si>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</si>
  <si>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</si>
  <si>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</si>
  <si>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</si>
  <si>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</si>
  <si>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</si>
  <si>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</si>
  <si>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</si>
  <si>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</si>
  <si>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</si>
  <si>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</si>
  <si>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</si>
  <si>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</si>
  <si>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</si>
  <si>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</si>
  <si>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</si>
  <si>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</si>
  <si>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</si>
  <si>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</si>
  <si>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</si>
  <si>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</si>
  <si>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</si>
  <si>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</si>
  <si>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</si>
  <si>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</si>
  <si>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</si>
  <si>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</si>
  <si>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</si>
  <si>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</si>
  <si>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</si>
  <si>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</si>
  <si>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</si>
  <si>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</si>
  <si>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</si>
  <si>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</si>
  <si>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</si>
  <si>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</si>
  <si>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</si>
  <si>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</si>
  <si>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</si>
  <si>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</si>
  <si>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</si>
  <si>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</si>
  <si>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</si>
  <si>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</si>
  <si>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</si>
  <si>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</si>
  <si>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</si>
  <si>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</si>
  <si>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</si>
  <si>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</si>
  <si>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</si>
  <si>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</si>
  <si>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</si>
  <si>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</si>
  <si>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</si>
  <si>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</si>
  <si>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</si>
  <si>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</si>
  <si>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</si>
  <si>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</si>
  <si>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</si>
  <si>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</si>
  <si>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</si>
  <si>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</si>
  <si>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</si>
  <si>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</si>
  <si>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</si>
  <si>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</si>
  <si>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</si>
  <si>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</si>
  <si>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</si>
  <si>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</si>
  <si>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</si>
  <si>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</si>
  <si>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</si>
  <si>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</si>
  <si>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</si>
  <si>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</si>
  <si>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</si>
  <si>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</si>
  <si>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</si>
  <si>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</si>
  <si>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</si>
  <si>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</si>
  <si>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</si>
  <si>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</si>
  <si>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</si>
  <si>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</si>
  <si>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</si>
  <si>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</si>
  <si>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</si>
  <si>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</si>
  <si>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</si>
  <si>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</si>
  <si>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</si>
  <si>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</si>
  <si>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</si>
  <si>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</si>
  <si>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</si>
  <si>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</si>
  <si>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</si>
  <si>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</si>
  <si>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</si>
  <si>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</si>
  <si>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</si>
  <si>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</si>
  <si>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</si>
  <si>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</si>
  <si>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</si>
  <si>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</si>
  <si>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</si>
  <si>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</si>
  <si>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</si>
  <si>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</si>
  <si>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</si>
  <si>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</si>
  <si>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</si>
  <si>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</si>
  <si>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</si>
  <si>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</si>
  <si>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</si>
  <si>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</si>
  <si>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</si>
  <si>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</si>
  <si>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</si>
  <si>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</si>
  <si>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</si>
  <si>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</si>
  <si>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</si>
  <si>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</si>
  <si>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</si>
  <si>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</si>
  <si>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</si>
  <si>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</si>
  <si>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</si>
  <si>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</si>
  <si>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</si>
  <si>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</si>
  <si>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</si>
  <si>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</si>
  <si>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</si>
  <si>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</si>
  <si>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</si>
  <si>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</si>
  <si>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</si>
  <si>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</si>
  <si>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</si>
  <si>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</si>
  <si>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</si>
  <si>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</si>
  <si>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</si>
  <si>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</si>
  <si>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</si>
  <si>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</si>
  <si>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</si>
  <si>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</si>
  <si>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</si>
  <si>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</si>
  <si>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</si>
  <si>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</si>
  <si>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</si>
  <si>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</si>
  <si>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</si>
  <si>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</si>
  <si>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</si>
  <si>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</si>
  <si>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</si>
  <si>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</si>
  <si>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</si>
  <si>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</si>
  <si>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</si>
  <si>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</si>
  <si>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</si>
  <si>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</si>
  <si>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</si>
  <si>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</si>
  <si>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</si>
  <si>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</si>
  <si>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</si>
  <si>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</si>
  <si>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</si>
  <si>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</si>
  <si>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</si>
  <si>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</si>
  <si>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</si>
  <si>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</si>
  <si>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</si>
  <si>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</si>
  <si>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</si>
  <si>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</si>
  <si>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</si>
  <si>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</si>
  <si>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</si>
  <si>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</si>
  <si>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</si>
  <si>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</si>
  <si>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</si>
  <si>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</si>
  <si>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</si>
  <si>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</si>
  <si>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</si>
  <si>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</si>
  <si>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</si>
  <si>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</si>
  <si>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</si>
  <si>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</si>
  <si>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</si>
  <si>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</si>
  <si>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</si>
  <si>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</si>
  <si>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</si>
  <si>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</si>
  <si>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</si>
  <si>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</si>
  <si>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</si>
  <si>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</si>
  <si>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</si>
  <si>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</si>
  <si>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</si>
  <si>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</si>
  <si>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</si>
  <si>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</si>
  <si>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</si>
  <si>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</si>
  <si>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</si>
  <si>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</si>
  <si>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</si>
  <si>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</si>
  <si>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</si>
  <si>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</si>
  <si>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</si>
  <si>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</si>
  <si>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</si>
  <si>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</si>
  <si>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</si>
  <si>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</si>
  <si>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</si>
  <si>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</si>
  <si>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</si>
  <si>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</si>
  <si>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</si>
  <si>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</si>
  <si>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</si>
  <si>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</si>
  <si>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</si>
  <si>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</si>
  <si>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</si>
  <si>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</si>
  <si>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</si>
  <si>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</si>
  <si>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</si>
  <si>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</si>
  <si>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</si>
  <si>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</si>
  <si>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</si>
  <si>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</si>
  <si>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</si>
  <si>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</si>
  <si>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</si>
  <si>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</si>
  <si>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</si>
  <si>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</si>
  <si>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</si>
  <si>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</si>
  <si>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</si>
  <si>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</si>
  <si>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</si>
  <si>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</si>
  <si>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</si>
  <si>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</si>
  <si>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</si>
  <si>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</si>
  <si>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</si>
  <si>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</si>
  <si>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</si>
  <si>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</si>
  <si>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</si>
  <si>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</si>
  <si>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</si>
  <si>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</si>
  <si>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</si>
  <si>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</si>
  <si>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</si>
  <si>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</si>
  <si>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</si>
  <si>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</si>
  <si>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</si>
  <si>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</si>
  <si>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</si>
  <si>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</si>
  <si>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</si>
  <si>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</si>
  <si>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</si>
  <si>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</si>
  <si>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</si>
  <si>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</si>
  <si>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</si>
  <si>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</si>
  <si>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</si>
  <si>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</si>
  <si>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</si>
  <si>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</si>
  <si>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</si>
  <si>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</si>
  <si>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</si>
  <si>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</si>
  <si>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</si>
  <si>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</si>
  <si>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</si>
  <si>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</si>
  <si>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</si>
  <si>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</si>
  <si>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</si>
  <si>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</si>
  <si>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</si>
  <si>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</si>
  <si>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</si>
  <si>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</si>
  <si>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</si>
  <si>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</si>
  <si>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</si>
  <si>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</si>
  <si>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</si>
  <si>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</si>
  <si>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</si>
  <si>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</si>
  <si>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</si>
  <si>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</si>
  <si>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</si>
  <si>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</si>
  <si>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</si>
  <si>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</si>
  <si>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</si>
  <si>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</si>
  <si>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</si>
  <si>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</si>
  <si>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</si>
  <si>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</si>
  <si>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</si>
  <si>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</si>
  <si>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</si>
  <si>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</si>
  <si>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</si>
  <si>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</si>
  <si>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</si>
  <si>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</si>
  <si>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</si>
  <si>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</si>
  <si>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</si>
  <si>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</si>
  <si>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</si>
  <si>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</si>
  <si>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</si>
  <si>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</si>
  <si>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</si>
  <si>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</si>
  <si>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</si>
  <si>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</si>
  <si>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</si>
  <si>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</si>
  <si>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</si>
  <si>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</si>
  <si>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</si>
  <si>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</si>
  <si>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</si>
  <si>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</si>
  <si>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</si>
  <si>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</si>
  <si>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</si>
  <si>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</si>
  <si>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</si>
  <si>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</si>
  <si>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</si>
  <si>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</si>
  <si>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</si>
  <si>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</si>
  <si>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</si>
  <si>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</si>
  <si>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</si>
  <si>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</si>
  <si>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</si>
  <si>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</si>
  <si>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</si>
  <si>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</si>
  <si>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</si>
  <si>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</si>
  <si>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</si>
  <si>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</si>
  <si>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</si>
  <si>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</si>
  <si>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</si>
  <si>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</si>
  <si>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</si>
  <si>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</si>
  <si>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</si>
  <si>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</si>
  <si>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</si>
  <si>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</si>
  <si>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</si>
  <si>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</si>
  <si>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</si>
  <si>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</si>
  <si>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</si>
  <si>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</si>
  <si>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</si>
  <si>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</si>
  <si>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</si>
  <si>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</si>
  <si>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</si>
  <si>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</si>
  <si>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</si>
  <si>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</si>
  <si>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</si>
  <si>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</si>
  <si>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</si>
  <si>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</si>
  <si>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</si>
  <si>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</si>
  <si>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</si>
  <si>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</si>
  <si>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</si>
  <si>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</si>
  <si>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</si>
  <si>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</si>
  <si>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</si>
  <si>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</si>
  <si>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</si>
  <si>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</si>
  <si>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</si>
  <si>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</si>
  <si>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</si>
  <si>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</si>
  <si>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</si>
  <si>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</si>
  <si>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</si>
  <si>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</si>
  <si>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</si>
  <si>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</si>
  <si>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</si>
  <si>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</si>
  <si>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</si>
  <si>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</si>
  <si>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</si>
  <si>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</si>
  <si>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</si>
  <si>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</si>
  <si>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</si>
  <si>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</si>
  <si>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</si>
  <si>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</si>
  <si>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</si>
  <si>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</si>
  <si>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</si>
  <si>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</si>
  <si>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</si>
  <si>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</si>
  <si>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</si>
  <si>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</si>
  <si>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</si>
  <si>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</si>
  <si>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</si>
  <si>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</si>
  <si>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</si>
  <si>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</si>
  <si>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</si>
  <si>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</si>
  <si>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</si>
  <si>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</si>
  <si>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</si>
  <si>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</si>
  <si>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</si>
  <si>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</si>
  <si>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</si>
  <si>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</si>
  <si>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</si>
  <si>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</si>
  <si>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</si>
  <si>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</si>
  <si>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</si>
  <si>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</si>
  <si>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</si>
  <si>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</si>
  <si>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</si>
  <si>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</si>
  <si>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</si>
  <si>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</si>
  <si>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</si>
  <si>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</si>
  <si>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</si>
  <si>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</si>
  <si>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</si>
  <si>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</si>
  <si>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</si>
  <si>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</si>
  <si>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</si>
  <si>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</si>
  <si>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</si>
  <si>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</si>
  <si>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</si>
  <si>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</si>
  <si>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</si>
  <si>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</si>
  <si>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</si>
  <si>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</si>
  <si>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</si>
  <si>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</si>
  <si>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</si>
  <si>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</si>
  <si>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</si>
  <si>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</si>
  <si>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</si>
  <si>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</si>
  <si>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</si>
  <si>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</si>
  <si>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</si>
  <si>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</si>
  <si>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</si>
  <si>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</si>
  <si>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</si>
  <si>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</si>
  <si>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</si>
  <si>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</si>
  <si>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</si>
  <si>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</si>
  <si>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</si>
  <si>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</si>
  <si>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</si>
  <si>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</si>
  <si>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</si>
  <si>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</si>
  <si>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</si>
  <si>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</si>
  <si>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</si>
  <si>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</si>
  <si>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</si>
  <si>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</si>
  <si>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</si>
  <si>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</si>
  <si>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</si>
  <si>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</si>
  <si>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</si>
  <si>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</si>
  <si>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</si>
  <si>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</si>
  <si>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</si>
  <si>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</si>
  <si>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</si>
  <si>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</si>
  <si>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</si>
  <si>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</si>
  <si>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</si>
  <si>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</si>
  <si>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</si>
  <si>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</si>
  <si>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</si>
  <si>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</si>
  <si>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</si>
  <si>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</si>
  <si>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</si>
  <si>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</si>
  <si>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</si>
  <si>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</si>
  <si>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</si>
  <si>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</si>
  <si>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</si>
  <si>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</si>
  <si>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</si>
  <si>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</si>
  <si>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</si>
  <si>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</si>
  <si>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</si>
  <si>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</si>
  <si>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</si>
  <si>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</si>
  <si>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</si>
  <si>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</si>
  <si>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</si>
  <si>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</si>
  <si>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</si>
  <si>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</si>
  <si>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</si>
  <si>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</si>
  <si>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</si>
  <si>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</si>
  <si>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</si>
  <si>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</si>
  <si>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</si>
  <si>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</si>
  <si>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</si>
  <si>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</si>
  <si>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</si>
  <si>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</si>
  <si>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</si>
  <si>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</si>
  <si>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</si>
  <si>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</si>
  <si>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</si>
  <si>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</si>
  <si>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</si>
  <si>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</si>
  <si>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</si>
  <si>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</si>
  <si>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</si>
  <si>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</si>
  <si>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</si>
  <si>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</si>
  <si>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</si>
  <si>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</si>
  <si>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</si>
  <si>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</si>
  <si>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</si>
  <si>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</si>
  <si>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</si>
  <si>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</si>
  <si>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</si>
  <si>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</si>
  <si>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</si>
  <si>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</si>
  <si>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</si>
  <si>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</si>
  <si>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</si>
  <si>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</si>
  <si>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</si>
  <si>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</si>
  <si>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</si>
  <si>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</si>
  <si>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</si>
  <si>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</si>
  <si>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</si>
  <si>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</si>
  <si>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</si>
  <si>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</si>
  <si>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</si>
  <si>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</si>
  <si>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</si>
  <si>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</si>
  <si>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</si>
  <si>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</si>
  <si>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</si>
  <si>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</si>
  <si>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</si>
  <si>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</si>
  <si>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</si>
  <si>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</si>
  <si>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</si>
  <si>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</si>
  <si>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</si>
  <si>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</si>
  <si>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</si>
  <si>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</si>
  <si>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</si>
  <si>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</si>
  <si>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</si>
  <si>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</si>
  <si>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</si>
  <si>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</si>
  <si>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</si>
  <si>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</si>
  <si>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</si>
  <si>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</si>
  <si>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</si>
  <si>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</si>
  <si>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</si>
  <si>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</si>
  <si>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</si>
  <si>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</si>
  <si>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</si>
  <si>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</si>
  <si>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</si>
  <si>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</si>
  <si>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</si>
  <si>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</si>
  <si>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</si>
  <si>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</si>
  <si>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</si>
  <si>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</si>
  <si>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</si>
  <si>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</si>
  <si>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</si>
  <si>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</si>
  <si>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</si>
  <si>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</si>
  <si>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</si>
  <si>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</si>
  <si>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</si>
  <si>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</si>
  <si>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</si>
  <si>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</si>
  <si>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</si>
  <si>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</si>
  <si>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</si>
  <si>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</si>
  <si>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</si>
  <si>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</si>
  <si>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</si>
  <si>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</si>
  <si>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</si>
  <si>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</si>
  <si>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</si>
  <si>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</si>
  <si>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</si>
  <si>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</si>
  <si>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</si>
  <si>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</si>
  <si>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</si>
  <si>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</si>
  <si>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</si>
  <si>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</si>
  <si>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</si>
  <si>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</si>
  <si>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</si>
  <si>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</si>
  <si>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</si>
  <si>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</si>
  <si>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</si>
  <si>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</si>
  <si>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</si>
  <si>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</si>
  <si>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</si>
  <si>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</si>
  <si>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</si>
  <si>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</si>
  <si>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</si>
  <si>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</si>
  <si>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</si>
  <si>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</si>
  <si>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</si>
  <si>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</si>
  <si>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</si>
  <si>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</si>
  <si>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</si>
  <si>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</si>
  <si>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</si>
  <si>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</si>
  <si>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</si>
  <si>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</si>
  <si>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</si>
  <si>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</si>
  <si>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</si>
  <si>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</si>
  <si>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</si>
  <si>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</si>
  <si>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</si>
  <si>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</si>
  <si>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</si>
  <si>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</si>
  <si>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</si>
  <si>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</si>
  <si>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</si>
  <si>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</si>
  <si>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</si>
  <si>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</si>
  <si>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</si>
  <si>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</si>
  <si>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</si>
  <si>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</si>
  <si>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</si>
  <si>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</si>
  <si>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</si>
  <si>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</si>
  <si>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</si>
  <si>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</si>
  <si>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</si>
  <si>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</si>
  <si>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</si>
  <si>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</si>
  <si>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</si>
  <si>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</si>
  <si>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</si>
  <si>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</si>
  <si>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</si>
  <si>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</si>
  <si>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</si>
  <si>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</si>
  <si>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</si>
  <si>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</si>
  <si>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</si>
  <si>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</si>
  <si>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</si>
  <si>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</si>
  <si>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</si>
  <si>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</si>
  <si>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</si>
  <si>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</si>
  <si>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</si>
  <si>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</si>
  <si>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</si>
  <si>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</si>
  <si>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</si>
  <si>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</si>
  <si>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</si>
  <si>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</si>
  <si>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</si>
  <si>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</si>
  <si>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</si>
  <si>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</si>
  <si>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</si>
  <si>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</si>
  <si>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</si>
  <si>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</si>
  <si>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</si>
  <si>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</si>
  <si>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</si>
  <si>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</si>
  <si>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</si>
  <si>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</si>
  <si>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</si>
  <si>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</si>
  <si>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</si>
  <si>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</si>
  <si>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</si>
  <si>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</si>
  <si>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</si>
  <si>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</si>
  <si>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</si>
  <si>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</si>
  <si>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</si>
  <si>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</si>
  <si>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</si>
  <si>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</si>
  <si>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</si>
  <si>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</si>
  <si>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</si>
  <si>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</si>
  <si>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</si>
  <si>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</si>
  <si>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</si>
  <si>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</si>
  <si>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</si>
  <si>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</si>
  <si>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</si>
  <si>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</si>
  <si>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</si>
  <si>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</si>
  <si>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</si>
  <si>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</si>
  <si>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</si>
  <si>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</si>
  <si>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</si>
  <si>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</si>
  <si>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</si>
  <si>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</si>
  <si>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</si>
  <si>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</si>
  <si>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</si>
  <si>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</si>
  <si>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</si>
  <si>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</si>
  <si>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</si>
  <si>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</si>
  <si>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</si>
  <si>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</si>
  <si>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</si>
  <si>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</si>
  <si>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</si>
  <si>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</si>
  <si>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</si>
  <si>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</si>
  <si>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</si>
  <si>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</si>
  <si>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</si>
  <si>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</si>
  <si>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</si>
  <si>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</si>
  <si>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</si>
  <si>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</si>
  <si>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</si>
  <si>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</si>
  <si>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</si>
  <si>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</si>
  <si>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</si>
  <si>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</si>
  <si>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</si>
  <si>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</si>
  <si>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</si>
  <si>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</si>
  <si>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</si>
  <si>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</si>
  <si>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</si>
  <si>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</si>
  <si>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</si>
  <si>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</si>
  <si>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</si>
  <si>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</si>
  <si>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</si>
  <si>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</si>
  <si>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</si>
  <si>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</si>
  <si>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</si>
  <si>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</si>
  <si>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</si>
  <si>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</si>
  <si>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</si>
  <si>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</si>
  <si>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</si>
  <si>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</si>
  <si>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</si>
  <si>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</si>
  <si>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</si>
  <si>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</si>
  <si>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</si>
  <si>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</si>
  <si>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</si>
  <si>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</si>
  <si>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</si>
  <si>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</si>
  <si>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</si>
  <si>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</si>
  <si>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</si>
  <si>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</si>
  <si>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</si>
  <si>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</si>
  <si>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</si>
  <si>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</si>
  <si>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</si>
  <si>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</si>
  <si>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</si>
  <si>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</si>
  <si>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</si>
  <si>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</si>
  <si>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</si>
  <si>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</si>
  <si>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</si>
  <si>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</si>
  <si>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</si>
  <si>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</si>
  <si>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</si>
  <si>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</si>
  <si>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</si>
  <si>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</si>
  <si>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</si>
  <si>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</si>
  <si>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</si>
  <si>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</si>
  <si>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</si>
  <si>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</si>
  <si>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</si>
  <si>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</si>
  <si>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</si>
  <si>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</si>
  <si>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</si>
  <si>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</si>
  <si>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</si>
  <si>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</si>
  <si>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</si>
  <si>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</si>
  <si>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</si>
  <si>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</si>
  <si>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</si>
  <si>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</si>
  <si>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</si>
  <si>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</si>
  <si>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</si>
  <si>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</si>
  <si>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</si>
  <si>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</si>
  <si>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</si>
  <si>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</si>
  <si>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</si>
  <si>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</si>
  <si>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</si>
  <si>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</si>
  <si>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</si>
  <si>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</si>
  <si>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</si>
  <si>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</si>
  <si>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</si>
  <si>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</si>
  <si>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</si>
  <si>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</si>
  <si>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</si>
  <si>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</si>
  <si>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</si>
  <si>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</si>
  <si>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</si>
  <si>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</si>
  <si>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</si>
  <si>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</si>
  <si>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</si>
  <si>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</si>
  <si>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</si>
  <si>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</si>
  <si>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</si>
  <si>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</si>
  <si>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</si>
  <si>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</si>
  <si>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</si>
  <si>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</si>
  <si>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</si>
  <si>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</si>
  <si>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</si>
  <si>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</si>
  <si>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</si>
  <si>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</si>
  <si>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</si>
  <si>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</si>
  <si>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</si>
  <si>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</si>
  <si>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</si>
  <si>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</si>
  <si>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</si>
  <si>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</si>
  <si>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</si>
  <si>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</si>
  <si>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</si>
  <si>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</si>
  <si>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</si>
  <si>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</si>
  <si>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</si>
  <si>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</si>
  <si>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</si>
  <si>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</si>
  <si>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</si>
  <si>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</si>
  <si>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</si>
  <si>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</si>
  <si>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</si>
  <si>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</si>
  <si>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</si>
  <si>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</si>
  <si>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</si>
  <si>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</si>
  <si>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</si>
  <si>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</si>
  <si>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</si>
  <si>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</si>
  <si>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</si>
  <si>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</si>
  <si>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</si>
  <si>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</si>
  <si>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</si>
  <si>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</si>
  <si>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</si>
  <si>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</si>
  <si>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</si>
  <si>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</si>
  <si>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</si>
  <si>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</si>
  <si>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</si>
  <si>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</si>
  <si>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</si>
  <si>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</si>
  <si>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</si>
  <si>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</si>
  <si>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</si>
  <si>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</si>
  <si>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</si>
  <si>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</si>
  <si>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</si>
  <si>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</si>
  <si>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</si>
  <si>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</si>
  <si>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</si>
  <si>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</si>
  <si>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</si>
  <si>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</si>
  <si>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</si>
  <si>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</si>
  <si>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</si>
  <si>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</si>
  <si>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</si>
  <si>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</si>
  <si>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</si>
  <si>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</si>
  <si>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</si>
  <si>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</si>
  <si>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</si>
  <si>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</si>
  <si>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</si>
  <si>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</si>
  <si>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</si>
  <si>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</si>
  <si>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</si>
  <si>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</si>
  <si>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</si>
  <si>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</si>
  <si>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</si>
  <si>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</si>
  <si>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</si>
  <si>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</si>
  <si>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</si>
  <si>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</si>
  <si>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</si>
  <si>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</si>
  <si>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</si>
  <si>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</si>
  <si>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</si>
  <si>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</si>
  <si>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</si>
  <si>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</si>
  <si>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</si>
  <si>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</si>
  <si>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</si>
  <si>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</si>
  <si>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</si>
  <si>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</si>
  <si>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</si>
  <si>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</si>
  <si>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</si>
  <si>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</si>
  <si>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</si>
  <si>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</si>
  <si>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</si>
  <si>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</si>
  <si>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</si>
  <si>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</si>
  <si>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</si>
  <si>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</si>
  <si>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</si>
  <si>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</si>
  <si>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</si>
  <si>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</si>
  <si>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</si>
  <si>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</si>
  <si>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</si>
  <si>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</si>
  <si>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</si>
  <si>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</si>
  <si>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</si>
  <si>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</si>
  <si>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</si>
  <si>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</si>
  <si>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</si>
  <si>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</si>
  <si>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</si>
  <si>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</si>
  <si>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</si>
  <si>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</si>
  <si>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</si>
  <si>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</si>
  <si>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</si>
  <si>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</si>
  <si>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</si>
  <si>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</si>
  <si>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</si>
  <si>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</si>
  <si>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</si>
  <si>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</si>
  <si>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</si>
  <si>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</si>
  <si>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</si>
  <si>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</si>
  <si>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</si>
  <si>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</si>
  <si>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</si>
  <si>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</si>
  <si>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</si>
  <si>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</si>
  <si>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</si>
  <si>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</si>
  <si>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</si>
  <si>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</si>
  <si>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</si>
  <si>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</si>
  <si>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</si>
  <si>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</si>
  <si>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</si>
  <si>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</si>
  <si>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</si>
  <si>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</si>
  <si>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</si>
  <si>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</si>
  <si>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</si>
  <si>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</si>
  <si>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</si>
  <si>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</si>
  <si>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</si>
  <si>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</si>
  <si>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</si>
  <si>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</si>
  <si>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</si>
  <si>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</si>
  <si>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</si>
  <si>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</si>
  <si>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</si>
  <si>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</si>
  <si>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</si>
  <si>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</si>
  <si>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</si>
  <si>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</si>
  <si>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</si>
  <si>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</si>
  <si>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</si>
  <si>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</si>
  <si>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</si>
  <si>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</si>
  <si>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</si>
  <si>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</si>
  <si>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</si>
  <si>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</si>
  <si>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</si>
  <si>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</si>
  <si>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</si>
  <si>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</si>
  <si>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</si>
  <si>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</si>
  <si>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</si>
  <si>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</si>
  <si>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</si>
  <si>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</si>
  <si>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</si>
  <si>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</si>
  <si>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</si>
  <si>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</si>
  <si>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</si>
  <si>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</si>
  <si>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</si>
  <si>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</si>
  <si>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</si>
  <si>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</si>
  <si>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</si>
  <si>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</si>
  <si>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</si>
  <si>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</si>
  <si>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</si>
  <si>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</si>
  <si>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</si>
  <si>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</si>
  <si>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</si>
  <si>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</si>
  <si>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</si>
  <si>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</si>
  <si>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</si>
  <si>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</si>
  <si>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</si>
  <si>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</si>
  <si>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</si>
  <si>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</si>
  <si>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</si>
  <si>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</si>
  <si>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</si>
  <si>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</si>
  <si>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</si>
  <si>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</si>
  <si>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</si>
  <si>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</si>
  <si>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</si>
  <si>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</si>
  <si>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</si>
  <si>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</si>
  <si>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</si>
  <si>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</si>
  <si>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</si>
  <si>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</si>
  <si>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</si>
  <si>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</si>
  <si>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</si>
  <si>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</si>
  <si>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</si>
  <si>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</si>
  <si>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</si>
  <si>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</si>
  <si>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</si>
  <si>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</si>
  <si>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</si>
  <si>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</si>
  <si>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</si>
  <si>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</si>
  <si>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</si>
  <si>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</si>
  <si>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</si>
  <si>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</si>
  <si>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</si>
  <si>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</si>
  <si>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</si>
  <si>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</si>
  <si>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</si>
  <si>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</si>
  <si>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</si>
  <si>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</si>
  <si>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</si>
  <si>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</si>
  <si>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</si>
  <si>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</si>
  <si>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</si>
  <si>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</si>
  <si>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</si>
  <si>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</si>
  <si>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</si>
  <si>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</si>
  <si>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</si>
  <si>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</si>
  <si>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</si>
  <si>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</si>
  <si>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</si>
  <si>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</si>
  <si>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</si>
  <si>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</si>
  <si>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</si>
  <si>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</si>
  <si>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</si>
  <si>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</si>
  <si>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</si>
  <si>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</si>
  <si>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</si>
  <si>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</si>
  <si>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</si>
  <si>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</si>
  <si>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</si>
  <si>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</si>
  <si>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</si>
  <si>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</si>
  <si>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</si>
  <si>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</si>
  <si>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</si>
  <si>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</si>
  <si>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</si>
  <si>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</si>
  <si>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</si>
  <si>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</si>
  <si>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</si>
  <si>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</si>
  <si>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</si>
  <si>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</si>
  <si>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</si>
  <si>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</si>
  <si>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</si>
  <si>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</si>
  <si>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</si>
  <si>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</si>
  <si>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</si>
  <si>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</si>
  <si>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</si>
  <si>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</si>
  <si>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</si>
  <si>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</si>
  <si>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</si>
  <si>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</si>
  <si>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</si>
  <si>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</si>
  <si>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</si>
  <si>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</si>
  <si>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</si>
  <si>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</si>
  <si>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</si>
  <si>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</si>
  <si>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</si>
  <si>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</si>
  <si>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</si>
  <si>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</si>
  <si>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</si>
  <si>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</si>
  <si>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</si>
  <si>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</si>
  <si>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</si>
  <si>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</si>
  <si>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</si>
  <si>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</si>
  <si>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</si>
  <si>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</si>
  <si>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</si>
  <si>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</si>
  <si>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</si>
  <si>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</si>
  <si>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</si>
  <si>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</si>
  <si>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</si>
  <si>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</si>
  <si>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</si>
  <si>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</si>
  <si>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</si>
  <si>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</si>
  <si>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</si>
  <si>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</si>
  <si>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</si>
  <si>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</si>
  <si>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</si>
  <si>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</si>
  <si>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</si>
  <si>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</si>
  <si>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</si>
  <si>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</si>
  <si>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</si>
  <si>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</si>
  <si>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</si>
  <si>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</si>
  <si>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</si>
  <si>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</si>
  <si>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</si>
  <si>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</si>
  <si>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</si>
  <si>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</si>
  <si>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</si>
  <si>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</si>
  <si>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</si>
  <si>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</si>
  <si>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</si>
  <si>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</si>
  <si>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</si>
  <si>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</si>
  <si>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</si>
  <si>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</si>
  <si>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</si>
  <si>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</si>
  <si>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</si>
  <si>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</si>
  <si>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</si>
  <si>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</si>
  <si>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</si>
  <si>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</si>
  <si>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</si>
  <si>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</si>
  <si>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</si>
  <si>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</si>
  <si>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</si>
  <si>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</si>
  <si>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</si>
  <si>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</si>
  <si>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</si>
  <si>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</si>
  <si>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</si>
  <si>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</si>
  <si>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</si>
  <si>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</si>
  <si>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</si>
  <si>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</si>
  <si>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</si>
  <si>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</si>
  <si>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</si>
  <si>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</si>
  <si>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</si>
  <si>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</si>
  <si>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</si>
  <si>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</si>
  <si>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</si>
  <si>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</si>
  <si>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</si>
  <si>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</si>
  <si>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</si>
  <si>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</si>
  <si>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</si>
  <si>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</si>
  <si>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</si>
  <si>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</si>
  <si>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</si>
  <si>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</si>
  <si>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</si>
  <si>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</si>
  <si>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</si>
  <si>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</si>
  <si>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</si>
  <si>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</si>
  <si>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</si>
  <si>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</si>
  <si>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</si>
  <si>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</si>
  <si>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</si>
  <si>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</si>
  <si>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</si>
  <si>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</si>
  <si>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</si>
  <si>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</si>
  <si>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</si>
  <si>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</si>
  <si>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</si>
  <si>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</si>
  <si>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</si>
  <si>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</si>
  <si>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</si>
  <si>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</si>
  <si>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</si>
  <si>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</si>
  <si>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</si>
  <si>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</si>
  <si>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</si>
  <si>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</si>
  <si>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</si>
  <si>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</si>
  <si>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</si>
  <si>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</si>
  <si>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</si>
  <si>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</si>
  <si>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</si>
  <si>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</si>
  <si>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</si>
  <si>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</si>
  <si>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</si>
  <si>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</si>
  <si>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</si>
  <si>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</si>
  <si>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</si>
  <si>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</si>
  <si>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</si>
  <si>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</si>
  <si>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</si>
  <si>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</si>
  <si>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</si>
  <si>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</si>
  <si>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</si>
  <si>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</si>
  <si>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</si>
  <si>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</si>
  <si>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</si>
  <si>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</si>
  <si>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</si>
  <si>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</si>
  <si>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</si>
  <si>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</si>
  <si>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</si>
  <si>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</si>
  <si>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</si>
  <si>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</si>
  <si>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</si>
  <si>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</si>
  <si>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</si>
  <si>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</si>
  <si>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</si>
  <si>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</si>
  <si>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</si>
  <si>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</si>
  <si>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</si>
  <si>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</si>
  <si>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</si>
  <si>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</si>
  <si>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</si>
  <si>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</si>
  <si>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</si>
  <si>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</si>
  <si>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</si>
  <si>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</si>
  <si>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</si>
  <si>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</si>
  <si>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</si>
  <si>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</si>
  <si>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</si>
  <si>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</si>
  <si>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</si>
  <si>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</si>
  <si>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</si>
  <si>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</si>
  <si>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</si>
  <si>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</si>
  <si>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</si>
  <si>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</si>
  <si>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</si>
  <si>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</si>
  <si>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</si>
  <si>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</si>
  <si>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</si>
  <si>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</si>
  <si>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</si>
  <si>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</si>
  <si>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</si>
  <si>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</si>
  <si>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</si>
  <si>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</si>
  <si>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</si>
  <si>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</si>
  <si>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</si>
  <si>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</si>
  <si>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</si>
  <si>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</si>
  <si>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</si>
  <si>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</si>
  <si>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</si>
  <si>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</si>
  <si>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</si>
  <si>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</si>
  <si>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</si>
  <si>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</si>
  <si>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</si>
  <si>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</si>
  <si>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</si>
  <si>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</si>
  <si>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</si>
  <si>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</si>
  <si>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</si>
  <si>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</si>
  <si>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</si>
  <si>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</si>
  <si>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</si>
  <si>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</si>
  <si>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</si>
  <si>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</si>
  <si>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</si>
  <si>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</si>
  <si>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</si>
  <si>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</si>
  <si>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</si>
  <si>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</si>
  <si>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</si>
  <si>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</si>
  <si>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</si>
  <si>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</si>
  <si>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</si>
  <si>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</si>
  <si>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</si>
  <si>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</si>
  <si>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</si>
  <si>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</si>
  <si>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</si>
  <si>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</si>
  <si>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</si>
  <si>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</si>
  <si>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</si>
  <si>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</si>
  <si>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</si>
  <si>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</si>
  <si>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</si>
  <si>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</si>
  <si>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</si>
  <si>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</si>
  <si>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</si>
  <si>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</si>
  <si>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</si>
  <si>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</si>
  <si>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</si>
  <si>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</si>
  <si>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</si>
  <si>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</si>
  <si>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</si>
  <si>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</si>
  <si>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</si>
  <si>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</si>
  <si>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</si>
  <si>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</si>
  <si>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</si>
  <si>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</si>
  <si>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</si>
  <si>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</si>
  <si>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</si>
  <si>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</si>
  <si>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</si>
  <si>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</si>
  <si>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</si>
  <si>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</si>
  <si>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</si>
  <si>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</si>
  <si>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</si>
  <si>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</si>
  <si>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</si>
  <si>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</si>
  <si>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</si>
  <si>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</si>
  <si>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</si>
  <si>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</si>
  <si>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</si>
  <si>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</si>
  <si>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</si>
  <si>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</si>
  <si>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</si>
  <si>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</si>
  <si>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</si>
  <si>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</si>
  <si>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</si>
  <si>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</si>
  <si>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</si>
  <si>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</si>
  <si>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</si>
  <si>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</si>
  <si>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</si>
  <si>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</si>
  <si>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</si>
  <si>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</si>
  <si>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</si>
  <si>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</si>
  <si>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</si>
  <si>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</si>
  <si>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</si>
  <si>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</si>
  <si>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</si>
  <si>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</si>
  <si>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</si>
  <si>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</si>
  <si>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</si>
  <si>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</si>
  <si>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</si>
  <si>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</si>
  <si>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</si>
  <si>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</si>
  <si>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</si>
  <si>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</si>
  <si>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</si>
  <si>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</si>
  <si>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</si>
  <si>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</si>
  <si>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</si>
  <si>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</si>
  <si>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</si>
  <si>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</si>
  <si>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</si>
  <si>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</si>
  <si>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</si>
  <si>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</si>
  <si>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</si>
  <si>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</si>
  <si>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</si>
  <si>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</si>
  <si>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</si>
  <si>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</si>
  <si>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</si>
  <si>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</si>
  <si>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</si>
  <si>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</si>
  <si>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</si>
  <si>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</si>
  <si>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</si>
  <si>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</si>
  <si>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</si>
  <si>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</si>
  <si>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</si>
  <si>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</si>
  <si>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</si>
  <si>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</si>
  <si>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</si>
  <si>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</si>
  <si>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</si>
  <si>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</si>
  <si>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</si>
  <si>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</si>
  <si>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</si>
  <si>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</si>
  <si>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</si>
  <si>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</si>
  <si>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</si>
  <si>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</si>
  <si>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</si>
  <si>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</si>
  <si>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</si>
  <si>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</si>
  <si>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</si>
  <si>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</si>
  <si>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</si>
  <si>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</si>
  <si>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</si>
  <si>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</si>
  <si>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</si>
  <si>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</si>
  <si>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</si>
  <si>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</si>
  <si>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</si>
  <si>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</si>
  <si>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</si>
  <si>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</si>
  <si>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</si>
  <si>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</si>
  <si>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</si>
  <si>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</si>
  <si>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</si>
  <si>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</si>
  <si>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</si>
  <si>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</si>
  <si>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</si>
  <si>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</si>
  <si>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</si>
  <si>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</si>
  <si>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</si>
  <si>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</si>
  <si>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</si>
  <si>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</si>
  <si>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</si>
  <si>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</si>
  <si>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</si>
  <si>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</si>
  <si>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</si>
  <si>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</si>
  <si>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</si>
  <si>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</si>
  <si>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</si>
  <si>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</si>
  <si>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</si>
  <si>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</si>
  <si>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</si>
  <si>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</si>
  <si>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</si>
  <si>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</si>
  <si>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</si>
  <si>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</si>
  <si>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</si>
  <si>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</si>
  <si>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</si>
  <si>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</si>
  <si>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</si>
  <si>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</si>
  <si>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</si>
  <si>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</si>
  <si>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</si>
  <si>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</si>
  <si>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</si>
  <si>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</si>
  <si>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</si>
  <si>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</si>
  <si>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</si>
  <si>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</si>
  <si>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</si>
  <si>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</si>
  <si>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</si>
  <si>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</si>
  <si>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</si>
  <si>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</si>
  <si>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</si>
  <si>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</si>
  <si>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</si>
  <si>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</si>
  <si>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</si>
  <si>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</si>
  <si>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</si>
  <si>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</si>
  <si>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</si>
  <si>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</si>
  <si>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</si>
  <si>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</si>
  <si>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</si>
  <si>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</si>
  <si>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</si>
  <si>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</si>
  <si>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</si>
  <si>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</si>
  <si>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</si>
  <si>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</si>
  <si>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</si>
  <si>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</si>
  <si>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</si>
  <si>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</si>
  <si>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</si>
  <si>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</si>
  <si>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</si>
  <si>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</si>
  <si>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</si>
  <si>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</si>
  <si>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</si>
  <si>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</si>
  <si>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</si>
  <si>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</si>
  <si>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</si>
  <si>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</si>
  <si>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</si>
  <si>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</si>
  <si>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</si>
  <si>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</si>
  <si>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</si>
  <si>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</si>
  <si>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</si>
  <si>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</si>
  <si>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</si>
  <si>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</si>
  <si>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</si>
  <si>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</si>
  <si>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</si>
  <si>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</si>
  <si>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</si>
  <si>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</si>
  <si>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</si>
  <si>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</si>
  <si>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</si>
  <si>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</si>
  <si>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</si>
  <si>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</si>
  <si>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</si>
  <si>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</si>
  <si>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</si>
  <si>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</si>
  <si>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</si>
  <si>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</si>
  <si>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</si>
  <si>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</si>
  <si>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</si>
  <si>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</si>
  <si>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</si>
  <si>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</si>
  <si>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</si>
  <si>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</si>
  <si>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</si>
  <si>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</si>
  <si>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</si>
  <si>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</si>
  <si>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</si>
  <si>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</si>
  <si>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</si>
  <si>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</si>
  <si>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</si>
  <si>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</si>
  <si>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</si>
  <si>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</si>
  <si>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</si>
  <si>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</si>
  <si>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</si>
  <si>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</si>
  <si>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</si>
  <si>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</si>
  <si>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</si>
  <si>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</si>
  <si>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</si>
  <si>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</si>
  <si>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</si>
  <si>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</si>
  <si>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</si>
  <si>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</si>
  <si>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</si>
  <si>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</si>
  <si>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</si>
  <si>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</si>
  <si>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</si>
  <si>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</si>
  <si>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</si>
  <si>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</si>
  <si>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</si>
  <si>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</si>
  <si>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</si>
  <si>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</si>
  <si>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</si>
  <si>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</si>
  <si>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</si>
  <si>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</si>
  <si>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</si>
  <si>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</si>
  <si>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</si>
  <si>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</si>
  <si>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</si>
  <si>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</si>
  <si>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</si>
  <si>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</si>
  <si>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</si>
  <si>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</si>
  <si>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</si>
  <si>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</si>
  <si>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</si>
  <si>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</si>
  <si>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</si>
  <si>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</si>
  <si>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</si>
  <si>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</si>
  <si>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</si>
  <si>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</si>
  <si>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</si>
  <si>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</si>
  <si>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</si>
  <si>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</si>
  <si>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</si>
  <si>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</si>
  <si>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</si>
  <si>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</si>
  <si>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</si>
  <si>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</si>
  <si>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</si>
  <si>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</si>
  <si>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</si>
  <si>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</si>
  <si>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</si>
  <si>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</si>
  <si>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</si>
  <si>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</si>
  <si>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</si>
  <si>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</si>
  <si>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</si>
  <si>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</si>
  <si>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</si>
  <si>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</si>
  <si>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</si>
  <si>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</si>
  <si>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</si>
  <si>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</si>
  <si>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</si>
  <si>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</si>
  <si>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</si>
  <si>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</si>
  <si>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</si>
  <si>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</si>
  <si>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</si>
  <si>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</si>
  <si>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</si>
  <si>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</si>
  <si>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</si>
  <si>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</si>
  <si>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</si>
  <si>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</si>
  <si>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</si>
  <si>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</si>
  <si>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</si>
  <si>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</si>
  <si>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</si>
  <si>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</si>
  <si>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</si>
  <si>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</si>
  <si>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</si>
  <si>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</si>
  <si>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</si>
  <si>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</si>
  <si>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</si>
  <si>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</si>
  <si>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</si>
  <si>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</si>
  <si>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</si>
  <si>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</si>
  <si>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</si>
  <si>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</si>
  <si>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</si>
  <si>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</si>
  <si>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</si>
  <si>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</si>
  <si>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</si>
  <si>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</si>
  <si>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</si>
  <si>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</si>
  <si>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</si>
  <si>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</si>
  <si>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</si>
  <si>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</si>
  <si>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</si>
  <si>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</si>
  <si>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</si>
  <si>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</si>
  <si>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</si>
  <si>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</si>
  <si>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</si>
  <si>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</si>
  <si>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</si>
  <si>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</si>
  <si>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</si>
  <si>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</si>
  <si>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</si>
  <si>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</si>
  <si>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</si>
  <si>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</si>
  <si>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</si>
  <si>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</si>
  <si>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</si>
  <si>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</si>
  <si>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</si>
  <si>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</si>
  <si>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</si>
  <si>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</si>
  <si>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</si>
  <si>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</si>
  <si>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</si>
  <si>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</si>
  <si>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</si>
  <si>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</si>
  <si>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</si>
  <si>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</si>
  <si>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</si>
  <si>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</si>
  <si>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</si>
  <si>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</si>
  <si>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</si>
  <si>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</si>
  <si>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</si>
  <si>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</si>
  <si>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</si>
  <si>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</si>
  <si>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</si>
  <si>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</si>
  <si>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</si>
  <si>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</si>
  <si>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</si>
  <si>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</si>
  <si>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</si>
  <si>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</si>
  <si>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</si>
  <si>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</si>
  <si>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</si>
  <si>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</si>
  <si>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</si>
  <si>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</si>
  <si>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</si>
  <si>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</si>
  <si>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</si>
  <si>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</si>
  <si>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</si>
  <si>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</si>
  <si>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</si>
  <si>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</si>
  <si>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</si>
  <si>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</si>
  <si>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</si>
  <si>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</si>
  <si>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</si>
  <si>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</si>
  <si>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</si>
  <si>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</si>
  <si>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</si>
  <si>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</si>
  <si>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</si>
  <si>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</si>
  <si>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</si>
  <si>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</si>
  <si>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</si>
  <si>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</si>
  <si>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</si>
  <si>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</si>
  <si>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</si>
  <si>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</si>
  <si>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</si>
  <si>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</si>
  <si>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</si>
  <si>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</si>
  <si>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</si>
  <si>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</si>
  <si>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</si>
  <si>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</si>
  <si>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</si>
  <si>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</si>
  <si>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</si>
  <si>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</si>
  <si>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</si>
  <si>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</si>
  <si>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</si>
  <si>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</si>
  <si>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</si>
  <si>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</si>
  <si>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</si>
  <si>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</si>
  <si>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</si>
  <si>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</si>
  <si>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</si>
  <si>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</si>
  <si>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</si>
  <si>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</si>
  <si>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</si>
  <si>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</si>
  <si>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</si>
  <si>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</si>
  <si>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</si>
  <si>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</si>
  <si>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</si>
  <si>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</si>
  <si>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</si>
  <si>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</si>
  <si>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</si>
  <si>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</si>
  <si>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</si>
  <si>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</si>
  <si>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</si>
  <si>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</si>
  <si>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</si>
  <si>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</si>
  <si>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</si>
  <si>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</si>
  <si>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</si>
  <si>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</si>
  <si>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</si>
  <si>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</si>
  <si>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</si>
  <si>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</si>
  <si>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</si>
  <si>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</si>
  <si>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</si>
  <si>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</si>
  <si>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</si>
  <si>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</si>
  <si>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</si>
  <si>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</si>
  <si>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</si>
  <si>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</si>
  <si>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</si>
  <si>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</si>
  <si>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</si>
  <si>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</si>
  <si>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</si>
  <si>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</si>
  <si>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</si>
  <si>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</si>
  <si>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</si>
  <si>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</si>
  <si>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</si>
  <si>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</si>
  <si>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</si>
  <si>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</si>
  <si>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</si>
  <si>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</si>
  <si>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</si>
  <si>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</si>
  <si>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</si>
  <si>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</si>
  <si>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</si>
  <si>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</si>
  <si>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</si>
  <si>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</si>
  <si>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</si>
  <si>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</si>
  <si>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</si>
  <si>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</si>
  <si>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</si>
  <si>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</si>
  <si>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</si>
  <si>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</si>
  <si>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</si>
  <si>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</si>
  <si>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</si>
  <si>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</si>
  <si>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</si>
  <si>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</si>
  <si>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</si>
  <si>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</si>
  <si>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</si>
  <si>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</si>
  <si>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</si>
  <si>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</si>
  <si>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</si>
  <si>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</si>
  <si>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</si>
  <si>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</si>
  <si>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</si>
  <si>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</si>
  <si>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</si>
  <si>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</si>
  <si>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</si>
  <si>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</si>
  <si>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</si>
  <si>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</si>
  <si>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</si>
  <si>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</si>
  <si>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</si>
  <si>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</si>
  <si>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</si>
  <si>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</si>
  <si>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</si>
  <si>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</si>
  <si>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</si>
  <si>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</si>
  <si>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</si>
  <si>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</si>
  <si>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</si>
  <si>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</si>
  <si>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</si>
  <si>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</si>
  <si>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</si>
  <si>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</si>
  <si>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</si>
  <si>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</si>
  <si>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</si>
  <si>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</si>
  <si>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</si>
  <si>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</si>
  <si>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</si>
  <si>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</si>
  <si>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</si>
  <si>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</si>
  <si>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</si>
  <si>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</si>
  <si>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</si>
  <si>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</si>
  <si>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</si>
  <si>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</si>
  <si>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</si>
  <si>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</si>
  <si>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</si>
  <si>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</si>
  <si>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</si>
  <si>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</si>
  <si>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</si>
  <si>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</si>
  <si>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</si>
  <si>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</si>
  <si>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</si>
  <si>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</si>
  <si>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</si>
  <si>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</si>
  <si>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</si>
  <si>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</si>
  <si>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</si>
  <si>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</si>
  <si>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</si>
  <si>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</si>
  <si>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</si>
  <si>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</si>
  <si>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</si>
  <si>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</si>
  <si>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</si>
  <si>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</si>
  <si>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</si>
  <si>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</si>
  <si>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</si>
  <si>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</si>
  <si>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</si>
  <si>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</si>
  <si>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</si>
  <si>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</si>
  <si>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</si>
  <si>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</si>
  <si>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</si>
  <si>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</si>
  <si>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</si>
  <si>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</si>
  <si>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</si>
  <si>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</si>
  <si>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</si>
  <si>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</si>
  <si>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</si>
  <si>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</si>
  <si>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</si>
  <si>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</si>
  <si>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</si>
  <si>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</si>
  <si>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</si>
  <si>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</si>
  <si>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</si>
  <si>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</si>
  <si>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</si>
  <si>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</si>
  <si>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</si>
  <si>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</si>
  <si>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</si>
  <si>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</si>
  <si>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</si>
  <si>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</si>
  <si>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</si>
  <si>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</si>
  <si>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</si>
  <si>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</si>
  <si>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</si>
  <si>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</si>
  <si>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</si>
  <si>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</si>
  <si>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</si>
  <si>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</si>
  <si>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</si>
  <si>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</si>
  <si>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</si>
  <si>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</si>
  <si>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</si>
  <si>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</si>
  <si>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</si>
  <si>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</si>
  <si>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</si>
  <si>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</si>
  <si>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</si>
  <si>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</si>
  <si>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</si>
  <si>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</si>
  <si>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</si>
  <si>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</si>
  <si>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</si>
  <si>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</si>
  <si>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</si>
  <si>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</si>
  <si>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</si>
  <si>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</si>
  <si>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</si>
  <si>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</si>
  <si>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</si>
  <si>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</si>
  <si>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</si>
  <si>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</si>
  <si>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</si>
  <si>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</si>
  <si>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</si>
  <si>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</si>
  <si>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</si>
  <si>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</si>
  <si>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</si>
  <si>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</si>
  <si>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</si>
  <si>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</si>
  <si>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</si>
  <si>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</si>
  <si>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</si>
  <si>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</si>
  <si>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</si>
  <si>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</si>
  <si>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</si>
  <si>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</si>
  <si>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</si>
  <si>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</si>
  <si>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</si>
  <si>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</si>
  <si>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</si>
  <si>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</si>
  <si>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</si>
  <si>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</si>
  <si>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</si>
  <si>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</si>
  <si>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</si>
  <si>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</si>
  <si>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</si>
  <si>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</si>
  <si>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</si>
  <si>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</si>
  <si>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</si>
  <si>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</si>
  <si>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</si>
  <si>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</si>
  <si>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</si>
  <si>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</si>
  <si>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</si>
  <si>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</si>
  <si>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</si>
  <si>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</si>
  <si>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</si>
  <si>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</si>
  <si>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</si>
  <si>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</si>
  <si>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</si>
  <si>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</si>
  <si>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</si>
  <si>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</si>
  <si>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</si>
  <si>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</si>
  <si>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</si>
  <si>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</si>
  <si>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</si>
  <si>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</si>
  <si>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</si>
  <si>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</si>
  <si>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</si>
  <si>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</si>
  <si>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</si>
  <si>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</si>
  <si>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</si>
  <si>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</si>
  <si>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</si>
  <si>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</si>
  <si>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</si>
  <si>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</si>
  <si>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</si>
  <si>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</si>
  <si>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</si>
  <si>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</si>
  <si>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</si>
  <si>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</si>
  <si>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</si>
  <si>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</si>
  <si>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</si>
  <si>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</si>
  <si>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</si>
  <si>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</si>
  <si>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</si>
  <si>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</si>
  <si>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</si>
  <si>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</si>
  <si>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</si>
  <si>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</si>
  <si>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</si>
  <si>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</si>
  <si>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</si>
  <si>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</si>
  <si>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</si>
  <si>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</si>
  <si>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</si>
  <si>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</si>
  <si>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</si>
  <si>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</si>
  <si>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</si>
  <si>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</si>
  <si>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</si>
  <si>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</si>
  <si>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</si>
  <si>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</si>
  <si>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</si>
  <si>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</si>
  <si>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</si>
  <si>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</si>
  <si>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</si>
  <si>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</si>
  <si>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</si>
  <si>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</si>
  <si>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</si>
  <si>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</si>
  <si>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</si>
  <si>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</si>
  <si>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</si>
  <si>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</si>
  <si>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</si>
  <si>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</si>
  <si>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</si>
  <si>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</si>
  <si>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</si>
  <si>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</si>
  <si>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</si>
  <si>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</si>
  <si>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</si>
  <si>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</si>
  <si>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</si>
  <si>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</si>
  <si>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</si>
  <si>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</si>
  <si>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</si>
  <si>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</si>
  <si>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</si>
  <si>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</si>
  <si>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</si>
  <si>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</si>
  <si>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</si>
  <si>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</si>
  <si>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</si>
  <si>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</si>
  <si>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</si>
  <si>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</si>
  <si>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</si>
  <si>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</si>
  <si>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</si>
  <si>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</si>
  <si>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</si>
  <si>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</si>
  <si>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</si>
  <si>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</si>
  <si>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</si>
  <si>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</si>
  <si>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</si>
  <si>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</si>
  <si>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</si>
  <si>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</si>
  <si>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</si>
  <si>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</si>
  <si>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</si>
  <si>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</si>
  <si>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</si>
  <si>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</si>
  <si>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</si>
  <si>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</si>
  <si>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</si>
  <si>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</si>
  <si>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</si>
  <si>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</si>
  <si>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</si>
  <si>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</si>
  <si>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</si>
  <si>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</si>
  <si>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</si>
  <si>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</si>
  <si>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</si>
  <si>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</si>
  <si>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</si>
  <si>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</si>
  <si>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</si>
  <si>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</si>
  <si>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</si>
  <si>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</si>
  <si>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</si>
  <si>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</si>
  <si>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</si>
  <si>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</si>
  <si>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</si>
  <si>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</si>
  <si>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</si>
  <si>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</si>
  <si>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</si>
  <si>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</si>
  <si>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</si>
  <si>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</si>
  <si>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</si>
  <si>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</si>
  <si>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</si>
  <si>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</si>
  <si>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</si>
  <si>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</si>
  <si>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</si>
  <si>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</si>
  <si>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</si>
  <si>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</si>
  <si>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</si>
  <si>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</si>
  <si>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</si>
  <si>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</si>
  <si>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</si>
  <si>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</si>
  <si>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</si>
  <si>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</si>
  <si>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</si>
  <si>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</si>
  <si>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</si>
  <si>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</si>
  <si>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</si>
  <si>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</si>
  <si>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</si>
  <si>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</si>
  <si>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</si>
  <si>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</si>
  <si>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</si>
  <si>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</si>
  <si>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</si>
  <si>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</si>
  <si>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</si>
  <si>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</si>
  <si>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</si>
  <si>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</si>
  <si>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</si>
  <si>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</si>
  <si>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</si>
  <si>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</si>
  <si>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</si>
  <si>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</si>
  <si>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</si>
  <si>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</si>
  <si>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</si>
  <si>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</si>
  <si>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</si>
  <si>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</si>
  <si>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</si>
  <si>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</si>
  <si>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</si>
  <si>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</si>
  <si>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</si>
  <si>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</si>
  <si>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</si>
  <si>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</si>
  <si>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</si>
  <si>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</si>
  <si>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</si>
  <si>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</si>
  <si>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</si>
  <si>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</si>
  <si>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</si>
  <si>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</si>
  <si>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</si>
  <si>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</si>
  <si>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</si>
  <si>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</si>
  <si>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</si>
  <si>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</si>
  <si>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</si>
  <si>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</si>
  <si>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</si>
  <si>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</si>
  <si>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</si>
  <si>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</si>
  <si>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</si>
  <si>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</si>
  <si>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</si>
  <si>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</si>
  <si>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</si>
  <si>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</si>
  <si>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</si>
  <si>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</si>
  <si>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</si>
  <si>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</si>
  <si>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</si>
  <si>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</si>
  <si>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</si>
  <si>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</si>
  <si>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</si>
  <si>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</si>
  <si>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</si>
  <si>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</si>
  <si>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</si>
  <si>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</si>
  <si>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</si>
  <si>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</si>
  <si>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</si>
  <si>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</si>
  <si>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</si>
  <si>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</si>
  <si>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</si>
  <si>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</si>
  <si>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</si>
  <si>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</si>
  <si>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</si>
  <si>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</si>
  <si>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</si>
  <si>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</si>
  <si>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</si>
  <si>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</si>
  <si>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</si>
  <si>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</si>
  <si>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</si>
  <si>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</si>
  <si>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</si>
  <si>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</si>
  <si>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</si>
  <si>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</si>
  <si>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</si>
  <si>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</si>
  <si>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</si>
  <si>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</si>
  <si>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</si>
  <si>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</si>
  <si>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</si>
  <si>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</si>
  <si>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</si>
  <si>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</si>
  <si>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</si>
  <si>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</si>
  <si>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</si>
  <si>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</si>
  <si>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</si>
  <si>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</si>
  <si>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</si>
  <si>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</si>
  <si>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</si>
  <si>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</si>
  <si>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</si>
  <si>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</si>
  <si>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</si>
  <si>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</si>
  <si>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</si>
  <si>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</si>
  <si>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</si>
  <si>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</si>
  <si>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</si>
  <si>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</si>
  <si>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</si>
  <si>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</si>
  <si>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</si>
  <si>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</si>
  <si>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</si>
  <si>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</si>
  <si>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</si>
  <si>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</si>
  <si>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</si>
  <si>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</si>
  <si>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</si>
  <si>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</si>
  <si>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</si>
  <si>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</si>
  <si>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</si>
  <si>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</si>
  <si>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</si>
  <si>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</si>
  <si>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</si>
  <si>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</si>
  <si>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</si>
  <si>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</si>
  <si>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</si>
  <si>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</si>
  <si>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</si>
  <si>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</si>
  <si>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</si>
  <si>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</si>
  <si>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</si>
  <si>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</si>
  <si>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</si>
  <si>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</si>
  <si>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</si>
  <si>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</si>
  <si>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</si>
  <si>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</si>
  <si>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</si>
  <si>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</si>
  <si>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</si>
  <si>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</si>
  <si>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</si>
  <si>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</si>
  <si>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</si>
  <si>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</si>
  <si>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</si>
  <si>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</si>
  <si>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</si>
  <si>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</si>
  <si>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</si>
  <si>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</si>
  <si>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</si>
  <si>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</si>
  <si>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</si>
  <si>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</si>
  <si>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</si>
  <si>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</si>
  <si>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</si>
  <si>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</si>
  <si>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</si>
  <si>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</si>
  <si>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</si>
  <si>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</si>
  <si>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</si>
  <si>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</si>
  <si>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</si>
  <si>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</si>
  <si>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</si>
  <si>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</si>
  <si>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</si>
  <si>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</si>
  <si>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</si>
  <si>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</si>
  <si>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</si>
  <si>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</si>
  <si>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</si>
  <si>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</si>
  <si>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</si>
  <si>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</si>
  <si>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</si>
  <si>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</si>
  <si>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</si>
  <si>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</si>
  <si>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</si>
  <si>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</si>
  <si>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</si>
  <si>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</si>
  <si>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</si>
  <si>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</si>
  <si>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</si>
  <si>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</si>
  <si>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</si>
  <si>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</si>
  <si>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</si>
  <si>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</si>
  <si>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</si>
  <si>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</si>
  <si>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</si>
  <si>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</si>
  <si>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</si>
  <si>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</si>
  <si>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</si>
  <si>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</si>
  <si>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</si>
  <si>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</si>
  <si>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</si>
  <si>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</si>
  <si>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</si>
  <si>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</si>
  <si>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</si>
  <si>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</si>
  <si>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</si>
  <si>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</si>
  <si>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</si>
  <si>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</si>
  <si>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</si>
  <si>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</si>
  <si>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</si>
  <si>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</si>
  <si>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</si>
  <si>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</si>
  <si>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</si>
  <si>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</si>
  <si>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</si>
  <si>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</si>
  <si>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</si>
  <si>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</si>
  <si>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</si>
  <si>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</si>
  <si>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</si>
  <si>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</si>
  <si>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</si>
  <si>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</si>
  <si>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</si>
  <si>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</si>
  <si>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</si>
  <si>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</si>
  <si>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</si>
  <si>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</si>
  <si>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</si>
  <si>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</si>
  <si>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</si>
  <si>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</si>
  <si>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</si>
  <si>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</si>
  <si>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</si>
  <si>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</si>
  <si>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</si>
  <si>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</si>
  <si>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</si>
  <si>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</si>
  <si>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</si>
  <si>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</si>
  <si>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</si>
  <si>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</si>
  <si>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</si>
  <si>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</si>
  <si>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</si>
  <si>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</si>
  <si>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</si>
  <si>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</si>
  <si>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</si>
  <si>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</si>
  <si>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</si>
  <si>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</si>
  <si>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</si>
  <si>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</si>
  <si>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</si>
  <si>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</si>
  <si>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</si>
  <si>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</si>
  <si>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</si>
  <si>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</si>
  <si>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</si>
  <si>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</si>
  <si>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</si>
  <si>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</si>
  <si>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</si>
  <si>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</si>
  <si>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</si>
  <si>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</si>
  <si>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</si>
  <si>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</si>
  <si>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</si>
  <si>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</si>
  <si>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</si>
  <si>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</si>
  <si>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</si>
  <si>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</si>
  <si>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</si>
  <si>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</si>
  <si>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</si>
  <si>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</si>
  <si>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</si>
  <si>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</si>
  <si>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</si>
  <si>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</si>
  <si>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</si>
  <si>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</si>
  <si>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</si>
  <si>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</si>
  <si>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</si>
  <si>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</si>
  <si>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</si>
  <si>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</si>
  <si>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</si>
  <si>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</si>
  <si>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</si>
  <si>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</si>
  <si>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</si>
  <si>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</si>
  <si>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</si>
  <si>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</si>
  <si>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</si>
  <si>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</si>
  <si>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</si>
  <si>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</si>
  <si>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</si>
  <si>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</si>
  <si>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</si>
  <si>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</si>
  <si>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</si>
  <si>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</si>
  <si>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</si>
  <si>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</si>
  <si>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</si>
  <si>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</si>
  <si>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</si>
  <si>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</si>
  <si>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</si>
  <si>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</si>
  <si>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</si>
  <si>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</si>
  <si>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</si>
  <si>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</si>
  <si>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</si>
  <si>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</si>
  <si>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</si>
  <si>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</si>
  <si>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</si>
  <si>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</si>
  <si>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</si>
  <si>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</si>
  <si>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</si>
  <si>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</si>
  <si>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</si>
  <si>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</si>
  <si>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</si>
  <si>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</si>
  <si>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</si>
  <si>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</si>
  <si>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</si>
  <si>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</si>
  <si>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</si>
  <si>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</si>
  <si>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</si>
  <si>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</si>
  <si>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</si>
  <si>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</si>
  <si>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</si>
  <si>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</si>
  <si>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</si>
  <si>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</si>
  <si>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</si>
  <si>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</si>
  <si>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</si>
  <si>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</si>
  <si>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</si>
  <si>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</si>
  <si>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</si>
  <si>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</si>
  <si>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</si>
  <si>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</si>
  <si>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</si>
  <si>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</si>
  <si>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</si>
  <si>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</si>
  <si>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</si>
  <si>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</si>
  <si>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</si>
  <si>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</si>
  <si>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</si>
  <si>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</si>
  <si>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</si>
  <si>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</si>
  <si>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</si>
  <si>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</si>
  <si>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</si>
  <si>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</si>
  <si>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</si>
  <si>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</si>
  <si>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</si>
  <si>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</si>
  <si>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</si>
  <si>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</si>
  <si>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</si>
  <si>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</si>
  <si>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</si>
  <si>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</si>
  <si>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</si>
  <si>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</si>
  <si>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</si>
  <si>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</si>
  <si>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</si>
  <si>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</si>
  <si>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</si>
  <si>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</si>
  <si>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</si>
  <si>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</si>
  <si>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</si>
  <si>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</si>
  <si>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</si>
  <si>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</si>
  <si>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</si>
  <si>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</si>
  <si>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</si>
  <si>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</si>
  <si>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</si>
  <si>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</si>
  <si>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</si>
  <si>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</si>
  <si>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</si>
  <si>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</si>
  <si>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</si>
  <si>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</si>
  <si>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</si>
  <si>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</si>
  <si>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</si>
  <si>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</si>
  <si>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</si>
  <si>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</si>
  <si>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</si>
  <si>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</si>
  <si>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</si>
  <si>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</si>
  <si>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</si>
  <si>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</si>
  <si>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</si>
  <si>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</si>
  <si>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</si>
  <si>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14 dossiers</t>
  </si>
  <si>
    <t>14 à 699$ et 38 à 200$ = 52</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</si>
  <si>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</si>
  <si>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</si>
  <si>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</si>
  <si>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</si>
  <si>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</si>
  <si>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</si>
  <si>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</si>
  <si>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</si>
  <si>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</si>
  <si>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</si>
  <si>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</si>
  <si>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</si>
  <si>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</si>
  <si>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</si>
  <si>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</si>
  <si>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</si>
  <si>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Loyer 71050$, ajustement loyer début année 320 route 132</t>
  </si>
  <si>
    <t>Facture 3400$ avocat dossier David</t>
  </si>
  <si>
    <t>G33108</t>
  </si>
  <si>
    <t>RESERVE COURT BODY</t>
  </si>
  <si>
    <t>RESERVE COURTOISIE CARROSSERIE</t>
  </si>
  <si>
    <t>OUI</t>
  </si>
  <si>
    <t>Année à date Aout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</si>
</sst>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6">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6" xfId="0" applyFont="1" applyBorder="1" applyAlignment="1">
      <alignment horizontal="center"/>
    </xf>
    <xf numFmtId="0" fontId="127" fillId="0" borderId="17"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31" fillId="0" borderId="17" xfId="0" applyFont="1" applyBorder="1"/>
    <xf numFmtId="0" fontId="131" fillId="0" borderId="4" xfId="0" applyFont="1" applyBorder="1"/>
    <xf numFmtId="0" fontId="127" fillId="0" borderId="3" xfId="0" applyFont="1" applyBorder="1" applyAlignment="1">
      <alignment horizontal="center"/>
    </xf>
    <xf numFmtId="0" fontId="131" fillId="0" borderId="18"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xf numFmtId="37" fontId="134" fillId="0" borderId="9"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1809898.9300000002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779504.96</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506847.22</v>
      </c>
      <c r="C11" s="14"/>
      <c r="D11" s="18" t="s">
        <v>31</v>
      </c>
      <c r="E11" s="19">
        <f>-SUMIFS(BV_Data_An_Cour!$AN:$AN,BV_Data_An_Cour!$AP:$AP,$A$1,BV_Data_An_Cour!$AQ:$AQ,$D11)</f>
        <v>174826.94000000009</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1211869.79</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c r="A16" s="15" t="s">
        <v>40</v>
      </c>
      <c r="B16" s="16">
        <f>+SUM(B8:B15)</f>
        <v>16818741.120000001</v>
      </c>
      <c r="C16" s="17"/>
      <c r="D16" s="15" t="s">
        <v>41</v>
      </c>
      <c r="E16" s="16">
        <f>+SUM(E10:E15)</f>
        <v>7899763.6400000006</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16234768.73</v>
      </c>
      <c r="C18" s="14"/>
      <c r="D18" s="18" t="s">
        <v>43</v>
      </c>
      <c r="E18" s="19">
        <f>-SUMIFS(BV_Data_An_Cour!$AN:$AN,BV_Data_An_Cour!$AP:$AP,$A$1,BV_Data_An_Cour!$AQ:$AQ,$D18)</f>
        <v>18945265.620000001</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23762626.420000002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23297744.140000001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-3633284.05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-32767.830000000005</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667845.58000000007</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776619.21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-2998206.3</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826795.41999999993</v>
      </c>
      <c r="C30" s="17"/>
      <c r="D30" s="21" t="s">
        <v>59</v>
      </c>
      <c r="E30" s="22">
        <f>+E5+E7+E16+E20+E28</f>
        <v>28664183.760000002</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43424518.329999998</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618898.94999999995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33526436.760000002</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10531718.530000001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633872.94999999995</v>
      </c>
      <c r="C53" s="17"/>
      <c r="D53" s="21" t="s">
        <v>85</v>
      </c>
      <c r="E53" s="22">
        <f>SUM(E48:E51)</f>
        <v>10531954.530000001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44058391.280000001</v>
      </c>
      <c r="C56" s="17"/>
      <c r="D56" s="21" t="s">
        <v>87</v>
      </c>
      <c r="E56" s="22">
        <f>+E53+E45</f>
        <v>44058391.290000007</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71" t="str">
        <f>Parametres!$B$1&amp;" "&amp;"2 pager"&amp;" "&amp;Parametres!$B$3&amp;" "&amp;Parametres!$B$4</f>
        <v>Ste-Marie Auto 2 pager Aout 2026</v>
      </c>
      <c r="C1" s="1272"/>
      <c r="D1" s="1272"/>
      <c r="E1" s="1272"/>
      <c r="F1" s="1272"/>
      <c r="G1" s="1272"/>
      <c r="H1" s="1272"/>
      <c r="I1" s="1272"/>
      <c r="J1" s="1272"/>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8"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9"/>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9"/>
      <c r="K6" s="3"/>
      <c r="L6" s="3"/>
      <c r="M6" s="3"/>
      <c r="N6" s="3"/>
      <c r="O6" s="3"/>
      <c r="P6" s="3"/>
      <c r="Q6" s="3"/>
      <c r="R6" s="3"/>
      <c r="S6" s="3"/>
      <c r="T6" s="3"/>
      <c r="U6" s="3"/>
      <c r="V6" s="3"/>
      <c r="W6" s="3"/>
    </row>
    <row r="7" spans="1:23">
      <c r="A7" s="3"/>
      <c r="B7" s="160" t="s">
        <v>289</v>
      </c>
      <c r="C7" s="161">
        <f>+Print_Mois!$L$31</f>
        <v>42743.949999999953</v>
      </c>
      <c r="D7" s="161" t="e">
        <f>+Print_Mois!$F$31</f>
        <v>#N/A</v>
      </c>
      <c r="E7" s="161">
        <f>+Print_Mois!$Q$31</f>
        <v>52303.010000000009</v>
      </c>
      <c r="F7" s="162" t="str">
        <f t="shared" si="0"/>
        <v/>
      </c>
      <c r="G7" s="163">
        <f t="shared" si="1"/>
        <v>-9559.0600000000559</v>
      </c>
      <c r="H7" s="165" t="str">
        <f t="shared" si="2"/>
        <v/>
      </c>
      <c r="I7" s="166">
        <f t="shared" si="3"/>
        <v>-0.18276309527883872</v>
      </c>
      <c r="J7" s="1269"/>
      <c r="K7" s="3"/>
      <c r="L7" s="3"/>
      <c r="M7" s="3"/>
      <c r="N7" s="3"/>
      <c r="O7" s="3"/>
      <c r="P7" s="3"/>
      <c r="Q7" s="3"/>
      <c r="R7" s="3"/>
      <c r="S7" s="3"/>
      <c r="T7" s="3"/>
      <c r="U7" s="3"/>
      <c r="V7" s="3"/>
      <c r="W7" s="3"/>
    </row>
    <row r="8" spans="1:23">
      <c r="A8" s="3"/>
      <c r="B8" s="160" t="s">
        <v>290</v>
      </c>
      <c r="C8" s="164">
        <f t="shared" ref="C8:E8" si="5">+C7/C5</f>
        <v>0.43553385310659815</v>
      </c>
      <c r="D8" s="164" t="e">
        <f t="shared" si="5"/>
        <v>#N/A</v>
      </c>
      <c r="E8" s="164">
        <f t="shared" si="5"/>
        <v>0.26395267938942885</v>
      </c>
      <c r="F8" s="167" t="str">
        <f t="shared" si="0"/>
        <v/>
      </c>
      <c r="G8" s="168">
        <f t="shared" si="1"/>
        <v>0.1715811737171693</v>
      </c>
      <c r="H8" s="165" t="str">
        <f t="shared" si="2"/>
        <v/>
      </c>
      <c r="I8" s="166">
        <f t="shared" si="3"/>
        <v>0.6500452055045175</v>
      </c>
      <c r="J8" s="1269"/>
      <c r="K8" s="3"/>
      <c r="L8" s="3"/>
      <c r="M8" s="3"/>
      <c r="N8" s="3"/>
      <c r="O8" s="3"/>
      <c r="P8" s="3"/>
      <c r="Q8" s="3"/>
      <c r="R8" s="3"/>
      <c r="S8" s="3"/>
      <c r="T8" s="3"/>
      <c r="U8" s="3"/>
      <c r="V8" s="3"/>
      <c r="W8" s="3"/>
    </row>
    <row r="9" spans="1:23">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9"/>
      <c r="K9" s="3"/>
      <c r="L9" s="3"/>
      <c r="M9" s="3"/>
      <c r="N9" s="3"/>
      <c r="O9" s="3"/>
      <c r="P9" s="3"/>
      <c r="Q9" s="3"/>
      <c r="R9" s="3"/>
      <c r="S9" s="3"/>
      <c r="T9" s="3"/>
      <c r="U9" s="3"/>
      <c r="V9" s="3"/>
      <c r="W9" s="3"/>
    </row>
    <row r="10" spans="1:23">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9"/>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9"/>
      <c r="K11" s="3"/>
      <c r="L11" s="3"/>
      <c r="M11" s="3"/>
      <c r="N11" s="3"/>
      <c r="O11" s="3"/>
      <c r="P11" s="3"/>
      <c r="Q11" s="3"/>
      <c r="R11" s="3"/>
      <c r="S11" s="3"/>
      <c r="T11" s="3"/>
      <c r="U11" s="3"/>
      <c r="V11" s="3"/>
      <c r="W11" s="3"/>
    </row>
    <row r="12" spans="1:23">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9"/>
      <c r="K12" s="3"/>
      <c r="L12" s="3"/>
      <c r="M12" s="3"/>
      <c r="N12" s="3"/>
      <c r="O12" s="3"/>
      <c r="P12" s="3"/>
      <c r="Q12" s="3"/>
      <c r="R12" s="3"/>
      <c r="S12" s="3"/>
      <c r="T12" s="3"/>
      <c r="U12" s="3"/>
      <c r="V12" s="3"/>
      <c r="W12" s="3"/>
    </row>
    <row r="13" spans="1:23">
      <c r="A13" s="3"/>
      <c r="B13" s="160" t="s">
        <v>295</v>
      </c>
      <c r="C13" s="161">
        <f>+Print_Mois!$L$41-C7-C11</f>
        <v>-37640.79999999993</v>
      </c>
      <c r="D13" s="161" t="e">
        <f>+Print_Mois!$F$41-D7-D11</f>
        <v>#N/A</v>
      </c>
      <c r="E13" s="161">
        <f>+Print_Mois!$Q$41-E7-E11</f>
        <v>-25794.989999999845</v>
      </c>
      <c r="F13" s="162" t="str">
        <f t="shared" si="0"/>
        <v/>
      </c>
      <c r="G13" s="163">
        <f t="shared" si="1"/>
        <v>-11845.810000000085</v>
      </c>
      <c r="H13" s="165" t="str">
        <f t="shared" si="2"/>
        <v/>
      </c>
      <c r="I13" s="166">
        <f t="shared" si="3"/>
        <v>-0.45922909836368053</v>
      </c>
      <c r="J13" s="1269"/>
      <c r="K13" s="3"/>
      <c r="L13" s="3"/>
      <c r="M13" s="3"/>
      <c r="N13" s="3"/>
      <c r="O13" s="3"/>
      <c r="P13" s="3"/>
      <c r="Q13" s="3"/>
      <c r="R13" s="3"/>
      <c r="S13" s="3"/>
      <c r="T13" s="3"/>
      <c r="U13" s="3"/>
      <c r="V13" s="3"/>
      <c r="W13" s="3"/>
    </row>
    <row r="14" spans="1:23">
      <c r="A14" s="3"/>
      <c r="B14" s="160" t="s">
        <v>296</v>
      </c>
      <c r="C14" s="161">
        <f t="shared" ref="C14:E14" si="8">+C13/C4</f>
        <v>-710.2037735849043</v>
      </c>
      <c r="D14" s="161" t="e">
        <f t="shared" si="8"/>
        <v>#N/A</v>
      </c>
      <c r="E14" s="161">
        <f t="shared" si="8"/>
        <v>-322.43737499999804</v>
      </c>
      <c r="F14" s="162" t="str">
        <f t="shared" si="0"/>
        <v/>
      </c>
      <c r="G14" s="163">
        <f t="shared" si="1"/>
        <v>-387.76639858490626</v>
      </c>
      <c r="H14" s="165" t="str">
        <f t="shared" si="2"/>
        <v/>
      </c>
      <c r="I14" s="166">
        <f t="shared" si="3"/>
        <v>-1.2026099597942348</v>
      </c>
      <c r="J14" s="1269"/>
      <c r="K14" s="3"/>
      <c r="L14" s="3"/>
      <c r="M14" s="3"/>
      <c r="N14" s="3"/>
      <c r="O14" s="3"/>
      <c r="P14" s="3"/>
      <c r="Q14" s="3"/>
      <c r="R14" s="3"/>
      <c r="S14" s="3"/>
      <c r="T14" s="3"/>
      <c r="U14" s="3"/>
      <c r="V14" s="3"/>
      <c r="W14" s="3"/>
    </row>
    <row r="15" spans="1:23">
      <c r="A15" s="3"/>
      <c r="B15" s="160" t="s">
        <v>297</v>
      </c>
      <c r="C15" s="161">
        <f>+Print_Mois!$L$83</f>
        <v>52627.44</v>
      </c>
      <c r="D15" s="161" t="e">
        <f>+Print_Mois!$F$83</f>
        <v>#N/A</v>
      </c>
      <c r="E15" s="161">
        <f>+Print_Mois!$Q$83</f>
        <v>25446.580000000016</v>
      </c>
      <c r="F15" s="162" t="str">
        <f t="shared" si="0"/>
        <v/>
      </c>
      <c r="G15" s="163">
        <f t="shared" si="1"/>
        <v>27180.859999999986</v>
      </c>
      <c r="H15" s="165" t="str">
        <f t="shared" si="2"/>
        <v/>
      </c>
      <c r="I15" s="166">
        <f t="shared" si="3"/>
        <v>1.0681537558288763</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8"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9"/>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9"/>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9"/>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9"/>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9"/>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9"/>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9"/>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9"/>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9"/>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9"/>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8"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9"/>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9"/>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9"/>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9"/>
      <c r="K42" s="3"/>
      <c r="L42" s="3"/>
      <c r="M42" s="3"/>
      <c r="N42" s="3"/>
      <c r="O42" s="3"/>
      <c r="P42" s="3"/>
      <c r="Q42" s="3"/>
      <c r="R42" s="3"/>
      <c r="S42" s="3"/>
      <c r="T42" s="3"/>
      <c r="U42" s="3"/>
      <c r="V42" s="3"/>
      <c r="W42" s="3"/>
    </row>
    <row r="43" spans="1:23" ht="15.75" customHeight="1">
      <c r="A43" s="3"/>
      <c r="B43" s="160" t="s">
        <v>306</v>
      </c>
      <c r="C43" s="161">
        <f>+Print_Mois!$L$284</f>
        <v>66904.489999999991</v>
      </c>
      <c r="D43" s="161" t="e">
        <f>+Print_Mois!$F$284</f>
        <v>#N/A</v>
      </c>
      <c r="E43" s="161">
        <f>+Print_Mois!$Q$284</f>
        <v>100507.83999999998</v>
      </c>
      <c r="F43" s="162" t="str">
        <f t="shared" si="22"/>
        <v/>
      </c>
      <c r="G43" s="163">
        <f t="shared" si="23"/>
        <v>-33603.349999999991</v>
      </c>
      <c r="H43" s="165" t="str">
        <f t="shared" si="24"/>
        <v/>
      </c>
      <c r="I43" s="166">
        <f t="shared" si="25"/>
        <v>-0.33433561003798307</v>
      </c>
      <c r="J43" s="1269"/>
      <c r="K43" s="3"/>
      <c r="L43" s="3"/>
      <c r="M43" s="3"/>
      <c r="N43" s="3"/>
      <c r="O43" s="3"/>
      <c r="P43" s="3"/>
      <c r="Q43" s="3"/>
      <c r="R43" s="3"/>
      <c r="S43" s="3"/>
      <c r="T43" s="3"/>
      <c r="U43" s="3"/>
      <c r="V43" s="3"/>
      <c r="W43" s="3"/>
    </row>
    <row r="44" spans="1:23" ht="15.75" customHeight="1">
      <c r="A44" s="3"/>
      <c r="B44" s="176" t="s">
        <v>307</v>
      </c>
      <c r="C44" s="161">
        <f>+SUM(Print_Mois!$L$272:$L$278)</f>
        <v>33782.119999999995</v>
      </c>
      <c r="D44" s="161" t="e">
        <f>+SUM(Print_Mois!$F$272:$F$278)</f>
        <v>#N/A</v>
      </c>
      <c r="E44" s="161">
        <f>+SUM(Print_Mois!$Q$272:$Q$278)</f>
        <v>67019.72</v>
      </c>
      <c r="F44" s="162" t="str">
        <f t="shared" si="22"/>
        <v/>
      </c>
      <c r="G44" s="163">
        <f t="shared" si="23"/>
        <v>-33237.600000000006</v>
      </c>
      <c r="H44" s="165" t="str">
        <f t="shared" si="24"/>
        <v/>
      </c>
      <c r="I44" s="166">
        <f t="shared" si="25"/>
        <v>-0.49593761358597149</v>
      </c>
      <c r="J44" s="1269"/>
      <c r="K44" s="3"/>
      <c r="L44" s="3"/>
      <c r="M44" s="3"/>
      <c r="N44" s="3"/>
      <c r="O44" s="3"/>
      <c r="P44" s="3"/>
      <c r="Q44" s="3"/>
      <c r="R44" s="3"/>
      <c r="S44" s="3"/>
      <c r="T44" s="3"/>
      <c r="U44" s="3"/>
      <c r="V44" s="3"/>
      <c r="W44" s="3"/>
    </row>
    <row r="45" spans="1:23">
      <c r="A45" s="3"/>
      <c r="B45" s="176" t="s">
        <v>308</v>
      </c>
      <c r="C45" s="161">
        <f>+SUM(Print_Mois!$L$279:$L$283)</f>
        <v>33122.369999999995</v>
      </c>
      <c r="D45" s="161" t="e">
        <f>+SUM(Print_Mois!$F$279:$F$283)</f>
        <v>#N/A</v>
      </c>
      <c r="E45" s="161">
        <f>+SUM(Print_Mois!$Q$279:$Q$283)</f>
        <v>33488.119999999981</v>
      </c>
      <c r="F45" s="162" t="str">
        <f t="shared" si="22"/>
        <v/>
      </c>
      <c r="G45" s="163">
        <f t="shared" si="23"/>
        <v>-365.74999999998545</v>
      </c>
      <c r="H45" s="165" t="str">
        <f t="shared" si="24"/>
        <v/>
      </c>
      <c r="I45" s="166">
        <f t="shared" si="25"/>
        <v>-1.0921783605648381E-2</v>
      </c>
      <c r="J45" s="1269"/>
      <c r="K45" s="3"/>
      <c r="L45" s="3"/>
      <c r="M45" s="3"/>
      <c r="N45" s="3"/>
      <c r="O45" s="3"/>
      <c r="P45" s="3"/>
      <c r="Q45" s="3"/>
      <c r="R45" s="3"/>
      <c r="S45" s="3"/>
      <c r="T45" s="3"/>
      <c r="U45" s="3"/>
      <c r="V45" s="3"/>
      <c r="W45" s="3"/>
    </row>
    <row r="46" spans="1:23">
      <c r="A46" s="3"/>
      <c r="B46" s="160" t="s">
        <v>309</v>
      </c>
      <c r="C46" s="164">
        <f t="shared" ref="C46:E46" si="26">+C43/C38</f>
        <v>0.35796515868402656</v>
      </c>
      <c r="D46" s="164" t="e">
        <f t="shared" si="26"/>
        <v>#N/A</v>
      </c>
      <c r="E46" s="164">
        <f t="shared" si="26"/>
        <v>0.46715055971194164</v>
      </c>
      <c r="F46" s="167" t="str">
        <f t="shared" si="22"/>
        <v/>
      </c>
      <c r="G46" s="168">
        <f t="shared" si="23"/>
        <v>-0.10918540102791507</v>
      </c>
      <c r="H46" s="165" t="str">
        <f t="shared" si="24"/>
        <v/>
      </c>
      <c r="I46" s="166">
        <f t="shared" si="25"/>
        <v>-0.23372636242851108</v>
      </c>
      <c r="J46" s="1269"/>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8"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9"/>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9"/>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9"/>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9"/>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9"/>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9"/>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9"/>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9"/>
      <c r="K58" s="3"/>
      <c r="L58" s="3"/>
      <c r="M58" s="3"/>
      <c r="N58" s="3"/>
      <c r="O58" s="3"/>
      <c r="P58" s="3"/>
      <c r="Q58" s="3"/>
      <c r="R58" s="3"/>
      <c r="S58" s="3"/>
      <c r="T58" s="3"/>
      <c r="U58" s="3"/>
      <c r="V58" s="3"/>
      <c r="W58" s="3"/>
    </row>
    <row r="59" spans="1:23" ht="15.75" customHeight="1">
      <c r="A59" s="3"/>
      <c r="B59" s="200" t="s">
        <v>118</v>
      </c>
      <c r="C59" s="179">
        <f>+Print_Mois!$L$396</f>
        <v>14321.329999999987</v>
      </c>
      <c r="D59" s="179" t="e">
        <f>+Print_Mois!$F$396</f>
        <v>#N/A</v>
      </c>
      <c r="E59" s="179">
        <f>+Print_Mois!$Q$396</f>
        <v>17580.00999999998</v>
      </c>
      <c r="F59" s="180" t="str">
        <f t="shared" si="27"/>
        <v/>
      </c>
      <c r="G59" s="181">
        <f t="shared" si="28"/>
        <v>-3258.679999999993</v>
      </c>
      <c r="H59" s="182" t="str">
        <f t="shared" si="29"/>
        <v/>
      </c>
      <c r="I59" s="183">
        <f t="shared" si="30"/>
        <v>-0.18536280696086047</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0.44587614095053318</v>
      </c>
      <c r="D62" s="164" t="e">
        <f>+Print_Mois!$Z$520/Print_Mois!$Z$494</f>
        <v>#N/A</v>
      </c>
      <c r="E62" s="164">
        <f>+Print_Mois!$AL$520/Print_Mois!$AL$494</f>
        <v>0.41600824761487926</v>
      </c>
      <c r="F62" s="167" t="str">
        <f t="shared" ref="F62:G67" si="32">+IFERROR($C62-D62,"")</f>
        <v/>
      </c>
      <c r="G62" s="168">
        <f t="shared" si="32"/>
        <v>2.9867893335653928E-2</v>
      </c>
      <c r="H62" s="165" t="str">
        <f t="shared" ref="H62:H67" si="33">+IFERROR(F62/ABS($D62),"")</f>
        <v/>
      </c>
      <c r="I62" s="166">
        <f t="shared" ref="I62:I67" si="34">+IFERROR(G62/ABS($E62),"")</f>
        <v>7.1796397083223717E-2</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20962.740000000005</v>
      </c>
      <c r="D64" s="161" t="e">
        <f>+Print_Mois!$Z$501+Print_Mois!$Z$521</f>
        <v>#N/A</v>
      </c>
      <c r="E64" s="161">
        <f>+Print_Mois!$AL$501+Print_Mois!$AL$521</f>
        <v>21157.120000000006</v>
      </c>
      <c r="F64" s="162" t="str">
        <f t="shared" si="32"/>
        <v/>
      </c>
      <c r="G64" s="163">
        <f t="shared" si="32"/>
        <v>-194.38000000000102</v>
      </c>
      <c r="H64" s="165" t="str">
        <f t="shared" si="33"/>
        <v/>
      </c>
      <c r="I64" s="166">
        <f t="shared" si="34"/>
        <v>-9.1874508439712468E-3</v>
      </c>
      <c r="J64" s="1269"/>
      <c r="K64" s="3"/>
      <c r="L64" s="3"/>
      <c r="M64" s="3"/>
      <c r="N64" s="3"/>
      <c r="O64" s="3"/>
      <c r="P64" s="3"/>
      <c r="Q64" s="3"/>
      <c r="R64" s="3"/>
      <c r="S64" s="3"/>
      <c r="T64" s="3"/>
      <c r="U64" s="3"/>
      <c r="V64" s="3"/>
      <c r="W64" s="3"/>
    </row>
    <row r="65" spans="1:23" ht="15.75" customHeight="1">
      <c r="A65" s="3"/>
      <c r="B65" s="176" t="s">
        <v>320</v>
      </c>
      <c r="C65" s="161">
        <f>+Print_Mois!$AF$539-Print_Mois!$AF$521</f>
        <v>105943.38</v>
      </c>
      <c r="D65" s="161" t="e">
        <f>+Print_Mois!$Z$539-Print_Mois!$Z$521</f>
        <v>#N/A</v>
      </c>
      <c r="E65" s="161">
        <f>+Print_Mois!$AL$539-Print_Mois!$AL$521</f>
        <v>79903.709999999992</v>
      </c>
      <c r="F65" s="162" t="str">
        <f t="shared" si="32"/>
        <v/>
      </c>
      <c r="G65" s="163">
        <f t="shared" si="32"/>
        <v>26039.670000000013</v>
      </c>
      <c r="H65" s="165" t="str">
        <f t="shared" si="33"/>
        <v/>
      </c>
      <c r="I65" s="166">
        <f t="shared" si="34"/>
        <v>0.32588812209095191</v>
      </c>
      <c r="J65" s="1269"/>
      <c r="K65" s="3"/>
      <c r="L65" s="3"/>
      <c r="M65" s="3"/>
      <c r="N65" s="3"/>
      <c r="O65" s="3"/>
      <c r="P65" s="3"/>
      <c r="Q65" s="3"/>
      <c r="R65" s="3"/>
      <c r="S65" s="3"/>
      <c r="T65" s="3"/>
      <c r="U65" s="3"/>
      <c r="V65" s="3"/>
      <c r="W65" s="3"/>
    </row>
    <row r="66" spans="1:23" ht="15.75" customHeight="1">
      <c r="A66" s="3"/>
      <c r="B66" s="176" t="s">
        <v>321</v>
      </c>
      <c r="C66" s="161">
        <f>+Print_Mois!$AF$502</f>
        <v>43853.650000000052</v>
      </c>
      <c r="D66" s="161" t="e">
        <f>+Print_Mois!$Z$502</f>
        <v>#N/A</v>
      </c>
      <c r="E66" s="161">
        <f>+Print_Mois!$AL$502</f>
        <v>97213.13</v>
      </c>
      <c r="F66" s="162" t="str">
        <f t="shared" si="32"/>
        <v/>
      </c>
      <c r="G66" s="163">
        <f t="shared" si="32"/>
        <v>-53359.479999999952</v>
      </c>
      <c r="H66" s="165" t="str">
        <f t="shared" si="33"/>
        <v/>
      </c>
      <c r="I66" s="166">
        <f t="shared" si="34"/>
        <v>-0.54889169806588833</v>
      </c>
      <c r="J66" s="1269"/>
      <c r="K66" s="3"/>
      <c r="L66" s="3"/>
      <c r="M66" s="3"/>
      <c r="N66" s="3"/>
      <c r="O66" s="3"/>
      <c r="P66" s="3"/>
      <c r="Q66" s="3"/>
      <c r="R66" s="3"/>
      <c r="S66" s="3"/>
      <c r="T66" s="3"/>
      <c r="U66" s="3"/>
      <c r="V66" s="3"/>
      <c r="W66" s="3"/>
    </row>
    <row r="67" spans="1:23">
      <c r="A67" s="3"/>
      <c r="B67" s="178" t="s">
        <v>322</v>
      </c>
      <c r="C67" s="179">
        <f>+Print_Mois!$AF$568-C32-C15</f>
        <v>3910.669999999991</v>
      </c>
      <c r="D67" s="179" t="e">
        <f>+Print_Mois!$Z$568-D32-D15</f>
        <v>#N/A</v>
      </c>
      <c r="E67" s="179">
        <f>+Print_Mois!$AL$568-E32-E15</f>
        <v>-19182.250000000036</v>
      </c>
      <c r="F67" s="180" t="str">
        <f t="shared" si="32"/>
        <v/>
      </c>
      <c r="G67" s="181">
        <f t="shared" si="32"/>
        <v>23092.920000000027</v>
      </c>
      <c r="H67" s="182" t="str">
        <f t="shared" si="33"/>
        <v/>
      </c>
      <c r="I67" s="183">
        <f t="shared" si="34"/>
        <v>1.2038692019966366</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42245.070000000029</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21005.519999999859</v>
      </c>
      <c r="H70" s="165" t="str">
        <f t="shared" ref="H70:H77" si="36">+IFERROR(F70/ABS($D70),"")</f>
        <v/>
      </c>
      <c r="I70" s="166">
        <f t="shared" ref="I70:I77" si="37">+IFERROR(G70/ABS($E70),"")</f>
        <v>0.9889814049732546</v>
      </c>
      <c r="J70" s="1268" t="s">
        <v>1092</v>
      </c>
      <c r="K70" s="3"/>
      <c r="L70" s="3"/>
      <c r="M70" s="3"/>
      <c r="N70" s="3"/>
      <c r="O70" s="3"/>
      <c r="P70" s="3"/>
      <c r="Q70" s="3"/>
      <c r="R70" s="3"/>
      <c r="S70" s="3"/>
      <c r="T70" s="3"/>
      <c r="U70" s="3"/>
      <c r="V70" s="3"/>
      <c r="W70" s="3"/>
    </row>
    <row r="71" spans="1:23" ht="15.75" customHeight="1">
      <c r="A71" s="3"/>
      <c r="B71" s="176" t="s">
        <v>325</v>
      </c>
      <c r="C71" s="164">
        <f>+C70/Print_Mois!$AF$494</f>
        <v>8.9737413193615292E-2</v>
      </c>
      <c r="D71" s="164" t="e">
        <f>+D70/Print_Mois!$Z$494</f>
        <v>#N/A</v>
      </c>
      <c r="E71" s="164">
        <f>+E70/Print_Mois!$AL$494</f>
        <v>2.6914321346648406E-2</v>
      </c>
      <c r="F71" s="167" t="str">
        <f t="shared" si="35"/>
        <v/>
      </c>
      <c r="G71" s="168">
        <f t="shared" si="35"/>
        <v>6.2823091846966883E-2</v>
      </c>
      <c r="H71" s="165" t="str">
        <f t="shared" si="36"/>
        <v/>
      </c>
      <c r="I71" s="166">
        <f t="shared" si="37"/>
        <v>2.3341882203836484</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407811.04999999987</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-200669.52000000008</v>
      </c>
      <c r="H72" s="165" t="str">
        <f t="shared" si="36"/>
        <v/>
      </c>
      <c r="I72" s="166">
        <f t="shared" si="37"/>
        <v>-0.3297878845991748</v>
      </c>
      <c r="J72" s="1269"/>
      <c r="K72" s="3"/>
      <c r="L72" s="3"/>
      <c r="M72" s="3"/>
      <c r="N72" s="3"/>
      <c r="O72" s="3"/>
      <c r="P72" s="3"/>
      <c r="Q72" s="3"/>
      <c r="R72" s="3"/>
      <c r="S72" s="3"/>
      <c r="T72" s="3"/>
      <c r="U72" s="3"/>
      <c r="V72" s="3"/>
      <c r="W72" s="3"/>
    </row>
    <row r="73" spans="1:23" ht="15.75" customHeight="1">
      <c r="A73" s="3"/>
      <c r="B73" s="176" t="s">
        <v>327</v>
      </c>
      <c r="C73" s="164">
        <f>+C72/Print_Mois!$AF$494</f>
        <v>0.8662764364876675</v>
      </c>
      <c r="D73" s="164" t="e">
        <f>+D72/Print_Mois!$Z$494</f>
        <v>#N/A</v>
      </c>
      <c r="E73" s="164">
        <f>+E72/Print_Mois!$AL$494</f>
        <v>0.77105407573002527</v>
      </c>
      <c r="F73" s="167" t="str">
        <f t="shared" si="35"/>
        <v/>
      </c>
      <c r="G73" s="168">
        <f t="shared" si="35"/>
        <v>9.5222360757642233E-2</v>
      </c>
      <c r="H73" s="165" t="str">
        <f t="shared" si="36"/>
        <v/>
      </c>
      <c r="I73" s="166">
        <f t="shared" si="37"/>
        <v>0.12349634578805226</v>
      </c>
      <c r="J73" s="1269"/>
      <c r="K73" s="3"/>
      <c r="L73" s="3"/>
      <c r="M73" s="3"/>
      <c r="N73" s="3"/>
      <c r="O73" s="3"/>
      <c r="P73" s="3"/>
      <c r="Q73" s="3"/>
      <c r="R73" s="3"/>
      <c r="S73" s="3"/>
      <c r="T73" s="3"/>
      <c r="U73" s="3"/>
      <c r="V73" s="3"/>
      <c r="W73" s="3"/>
    </row>
    <row r="74" spans="1:23" ht="15.75" customHeight="1">
      <c r="A74" s="1"/>
      <c r="B74" s="206" t="s">
        <v>328</v>
      </c>
      <c r="C74" s="195">
        <f>+Print_Mois!$AF$570+Print_Mois!$AF$502</f>
        <v>81013.319999997155</v>
      </c>
      <c r="D74" s="195" t="e">
        <f>+Print_Mois!$Z$570+Print_Mois!$Z$502</f>
        <v>#N/A</v>
      </c>
      <c r="E74" s="195">
        <f>+Print_Mois!$AL$570+Print_Mois!$AL$502</f>
        <v>165698.41999998913</v>
      </c>
      <c r="F74" s="196" t="str">
        <f t="shared" si="35"/>
        <v/>
      </c>
      <c r="G74" s="197">
        <f t="shared" si="35"/>
        <v>-84685.099999991973</v>
      </c>
      <c r="H74" s="198" t="str">
        <f t="shared" si="36"/>
        <v/>
      </c>
      <c r="I74" s="199">
        <f t="shared" si="37"/>
        <v>-0.5110797073381721</v>
      </c>
      <c r="J74" s="1269"/>
      <c r="K74" s="1"/>
      <c r="L74" s="1"/>
      <c r="M74" s="1"/>
      <c r="N74" s="1"/>
      <c r="O74" s="1"/>
      <c r="P74" s="1"/>
      <c r="Q74" s="1"/>
      <c r="R74" s="1"/>
      <c r="S74" s="1"/>
      <c r="T74" s="1"/>
      <c r="U74" s="1"/>
      <c r="V74" s="1"/>
      <c r="W74" s="1"/>
    </row>
    <row r="75" spans="1:23" ht="15.75" customHeight="1">
      <c r="A75" s="3"/>
      <c r="B75" s="160" t="s">
        <v>329</v>
      </c>
      <c r="C75" s="222">
        <f>+C74/Print_Mois!$AF$493</f>
        <v>5.8079088253176533E-3</v>
      </c>
      <c r="D75" s="222" t="e">
        <f>+D74/Print_Mois!$Z$493</f>
        <v>#N/A</v>
      </c>
      <c r="E75" s="222">
        <f>+E74/Print_Mois!$AL$493</f>
        <v>8.8212394626782011E-3</v>
      </c>
      <c r="F75" s="167" t="str">
        <f t="shared" si="35"/>
        <v/>
      </c>
      <c r="G75" s="168">
        <f t="shared" si="35"/>
        <v>-3.0133306373605478E-3</v>
      </c>
      <c r="H75" s="165" t="str">
        <f t="shared" si="36"/>
        <v/>
      </c>
      <c r="I75" s="166">
        <f t="shared" si="37"/>
        <v>-0.34159946004296271</v>
      </c>
      <c r="J75" s="1269"/>
      <c r="K75" s="3"/>
      <c r="L75" s="3"/>
      <c r="M75" s="3"/>
      <c r="N75" s="3"/>
      <c r="O75" s="3"/>
      <c r="P75" s="3"/>
      <c r="Q75" s="3"/>
      <c r="R75" s="3"/>
      <c r="S75" s="3"/>
      <c r="T75" s="3"/>
      <c r="U75" s="3"/>
      <c r="V75" s="3"/>
      <c r="W75" s="3"/>
    </row>
    <row r="76" spans="1:23" ht="15.75" customHeight="1">
      <c r="A76" s="1"/>
      <c r="B76" s="206" t="s">
        <v>330</v>
      </c>
      <c r="C76" s="195">
        <f>N9+Print_Mois!$AF$585</f>
        <v>18408.449999997109</v>
      </c>
      <c r="D76" s="195" t="e">
        <f>+Print_Mois!$Z$585</f>
        <v>#N/A</v>
      </c>
      <c r="E76" s="195">
        <f>+Print_Mois!$AL$585</f>
        <v>57695.159999989126</v>
      </c>
      <c r="F76" s="196" t="str">
        <f t="shared" si="35"/>
        <v/>
      </c>
      <c r="G76" s="197">
        <f t="shared" si="35"/>
        <v>-39286.709999992017</v>
      </c>
      <c r="H76" s="198" t="str">
        <f t="shared" si="36"/>
        <v/>
      </c>
      <c r="I76" s="199">
        <f t="shared" si="37"/>
        <v>-0.68093597452540944</v>
      </c>
      <c r="J76" s="1269"/>
      <c r="K76" s="1"/>
      <c r="L76" s="1"/>
      <c r="M76" s="1"/>
      <c r="N76" s="1"/>
      <c r="O76" s="1"/>
      <c r="P76" s="1"/>
      <c r="Q76" s="1"/>
      <c r="R76" s="1"/>
      <c r="S76" s="1"/>
      <c r="T76" s="1"/>
      <c r="U76" s="1"/>
      <c r="V76" s="1"/>
      <c r="W76" s="1"/>
    </row>
    <row r="77" spans="1:23" ht="15.75" customHeight="1">
      <c r="A77" s="3"/>
      <c r="B77" s="178" t="s">
        <v>331</v>
      </c>
      <c r="C77" s="223">
        <f>+C76/Print_Mois!$AF$493</f>
        <v>1.3197163036326089E-3</v>
      </c>
      <c r="D77" s="223" t="e">
        <f>+D76/Print_Mois!$Z$493</f>
        <v>#N/A</v>
      </c>
      <c r="E77" s="223">
        <f>+E76/Print_Mois!$AL$493</f>
        <v>3.0715007553932636E-3</v>
      </c>
      <c r="F77" s="224" t="str">
        <f t="shared" si="35"/>
        <v/>
      </c>
      <c r="G77" s="225">
        <f t="shared" si="35"/>
        <v>-1.7517844517606546E-3</v>
      </c>
      <c r="H77" s="182" t="str">
        <f t="shared" si="36"/>
        <v/>
      </c>
      <c r="I77" s="183">
        <f t="shared" si="37"/>
        <v>-0.57033502228013055</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21488.319999997155</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41930.449999997109</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18408.449999997109</v>
      </c>
      <c r="D87" s="662">
        <f>+Print_AAD!AF585</f>
        <v>1879770.5300000012</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Q535" zoomScale="80" zoomScaleNormal="80" workbookViewId="0">
      <selection activeCell="V591" sqref="V591"/>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5549753.3899999959</v>
      </c>
      <c r="M5" s="242"/>
      <c r="N5" s="950"/>
      <c r="O5" s="238"/>
      <c r="P5" s="949"/>
      <c r="Q5" s="286">
        <f>-SUMIFS(BV_Data_An_Prec!$AM:$AM,BV_Data_An_Prec!$AS:$AS,"Oui",BV_Data_An_Prec!$AP:$AP,$B5)</f>
        <v>8048046.4199999925</v>
      </c>
      <c r="R5" s="242"/>
      <c r="S5" s="962"/>
      <c r="T5" s="35"/>
      <c r="U5" s="35">
        <f>L5/AF493</f>
        <v>0.39786619894257724</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67">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67">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67">
        <f>J9-O9</f>
        <v>16</v>
      </c>
      <c r="S9" s="266">
        <f t="shared" ref="S9:S12" si="5">L9-Q9</f>
        <v>23301.199999999488</v>
      </c>
      <c r="T9" s="35"/>
      <c r="U9" s="35" t="s">
        <v>3416</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252">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357">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587.26382352937674</v>
      </c>
      <c r="L17" s="266">
        <f>-SUMIFS(BV_Data_An_Cour!$AM:$AM,BV_Data_An_Cour!$AP:$AP,$B17,BV_Data_An_Cour!$AQ:$AQ,$C17,BV_Data_An_Cour!$AR:$AR,L$2)</f>
        <v>19966.969999998808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67">
        <f>J17-O17</f>
        <v>-20</v>
      </c>
      <c r="S17" s="266">
        <f>L17-Q17</f>
        <v>-13399.429999992251</v>
      </c>
      <c r="T17" s="35">
        <v>34</v>
      </c>
      <c r="U17" s="1238">
        <v>18817</v>
      </c>
      <c r="V17" s="1239">
        <f>L17-U17</f>
        <v>1149.9699999988079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3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1672.2545977011416</v>
      </c>
      <c r="L27" s="271">
        <f>L13+L17+L24+L19+L15</f>
        <v>145486.14999999932</v>
      </c>
      <c r="M27" s="272" t="e">
        <f>J27-D27</f>
        <v>#N/A</v>
      </c>
      <c r="N27" s="271" t="e">
        <f>L27-F27</f>
        <v>#N/A</v>
      </c>
      <c r="O27" s="272">
        <f>+O13+O15+O17</f>
        <v>134</v>
      </c>
      <c r="P27" s="269">
        <f>IF(O27&lt;=0,0,Q27/O27)</f>
        <v>2285.4920149253098</v>
      </c>
      <c r="Q27" s="271">
        <f>Q13+Q17+Q24+Q19+Q15</f>
        <v>306255.92999999149</v>
      </c>
      <c r="R27" s="272">
        <f>J27-O27</f>
        <v>-47</v>
      </c>
      <c r="S27" s="271">
        <f>L27-Q27</f>
        <v>-160769.77999999217</v>
      </c>
      <c r="T27" s="35"/>
      <c r="U27" s="1238">
        <f>SUM(U13:U26)</f>
        <v>144337</v>
      </c>
      <c r="V27" s="1239">
        <f>L27-U27</f>
        <v>1149.1499999993248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-0.52495238214651596</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0.36190415794022751</v>
      </c>
      <c r="K31" s="281">
        <f>IF(L31=0,0,L31/J$24)</f>
        <v>806.4896226415085</v>
      </c>
      <c r="L31" s="266">
        <f>SUMIFS(BV_Data_An_Cour!$AM:$AM,BV_Data_An_Cour!$AP:$AP,$B31,BV_Data_An_Cour!$AQ:$AQ,$C31,BV_Data_An_Cour!$AR:$AR,L$2)</f>
        <v>42743.949999999953</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-9559.0600000000559</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-63.6369811320751</v>
      </c>
      <c r="L33" s="952">
        <f>SUMIFS(BV_Data_An_Cour!$AM:$AM,BV_Data_An_Cour!$AP:$AP,$B33,BV_Data_An_Cour!$AQ:$AQ,$C33,BV_Data_An_Cour!$AR:$AR,L$2)</f>
        <v>-3372.7599999999802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5755.9800000000214</v>
      </c>
      <c r="T33" s="35">
        <f>-3973+600</f>
        <v>-3373</v>
      </c>
      <c r="U33" s="1052" t="s">
        <v>3454</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241.13075471698116</v>
      </c>
      <c r="L36" s="952">
        <f>SUMIFS(BV_Data_An_Cour!$AM:$AM,BV_Data_An_Cour!$AP:$AP,$B36,BV_Data_An_Cour!$AQ:$AQ,$C36,BV_Data_An_Cour!$AR:$AR,L$2)</f>
        <v>12779.930000000002</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-1952.8600000000024</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500.46660377358563</v>
      </c>
      <c r="L37" s="266">
        <f>SUMIFS(BV_Data_An_Cour!$AM:$AM,BV_Data_An_Cour!$AP:$AP,$B37,BV_Data_An_Cour!$AQ:$AQ,$C37,BV_Data_An_Cour!$AR:$AR,L$2)</f>
        <v>26524.73000000004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-49024.76999999996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9.7354559179688827E-2</v>
      </c>
      <c r="L41" s="294">
        <f>SUM(L31:L40)</f>
        <v>14163.74000000002</v>
      </c>
      <c r="M41" s="296"/>
      <c r="N41" s="294" t="e">
        <f t="shared" si="10"/>
        <v>#N/A</v>
      </c>
      <c r="O41" s="295" t="s">
        <v>115</v>
      </c>
      <c r="P41" s="293">
        <f>Q41/Q$27</f>
        <v>0.14542895544912843</v>
      </c>
      <c r="Q41" s="294">
        <f>SUM(Q31:Q40)</f>
        <v>44538.480000000156</v>
      </c>
      <c r="R41" s="297"/>
      <c r="S41" s="294">
        <f t="shared" si="16"/>
        <v>-30374.740000000136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5167.5800000000017</v>
      </c>
      <c r="M44" s="233"/>
      <c r="N44" s="303" t="e">
        <f t="shared" si="10"/>
        <v>#N/A</v>
      </c>
      <c r="O44" s="233"/>
      <c r="P44" s="301"/>
      <c r="Q44" s="281">
        <f>SUMIFS(BV_Data_An_Prec!$AM:$AM,BV_Data_An_Prec!$AP:$AP,$B44,BV_Data_An_Prec!$AQ:$AQ,$C44,BV_Data_An_Prec!$AR:$AR,Q$2)</f>
        <v>5112.2000000000007</v>
      </c>
      <c r="R44" s="233"/>
      <c r="S44" s="303">
        <f t="shared" si="16"/>
        <v>55.380000000001019</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4857.2099999999991</v>
      </c>
      <c r="M49" s="243"/>
      <c r="N49" s="266" t="e">
        <f t="shared" si="10"/>
        <v>#N/A</v>
      </c>
      <c r="O49" s="243"/>
      <c r="P49" s="38"/>
      <c r="Q49" s="286">
        <f>SUMIFS(BV_Data_An_Prec!$AM:$AM,BV_Data_An_Prec!$AP:$AP,$B49,BV_Data_An_Prec!$AQ:$AQ,$C49,BV_Data_An_Prec!$AR:$AR,Q$2)</f>
        <v>6372</v>
      </c>
      <c r="R49" s="243"/>
      <c r="S49" s="266">
        <f t="shared" si="16"/>
        <v>-1514.7900000000009</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9070.929999999993</v>
      </c>
      <c r="M50" s="233"/>
      <c r="N50" s="303" t="e">
        <f t="shared" si="10"/>
        <v>#N/A</v>
      </c>
      <c r="O50" s="233"/>
      <c r="P50" s="301"/>
      <c r="Q50" s="281">
        <f>SUMIFS(BV_Data_An_Prec!$AM:$AM,BV_Data_An_Prec!$AP:$AP,$B50,BV_Data_An_Prec!$AQ:$AQ,$C50,BV_Data_An_Prec!$AR:$AR,Q$2)</f>
        <v>14274.209999999992</v>
      </c>
      <c r="R50" s="233"/>
      <c r="S50" s="303">
        <f t="shared" si="16"/>
        <v>-5203.2799999999988</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0.26822814405357598</v>
      </c>
      <c r="L54" s="294">
        <f>+SUM(L42:L53)</f>
        <v>39023.479999999981</v>
      </c>
      <c r="M54" s="296"/>
      <c r="N54" s="294" t="e">
        <f>+SUM(N42:N53)</f>
        <v>#N/A</v>
      </c>
      <c r="O54" s="295" t="s">
        <v>115</v>
      </c>
      <c r="P54" s="293">
        <f>Q54/Q$27</f>
        <v>0.23029683049729666</v>
      </c>
      <c r="Q54" s="294">
        <f>+SUM(Q42:Q53)</f>
        <v>70529.76999999999</v>
      </c>
      <c r="R54" s="297"/>
      <c r="S54" s="294">
        <f>+SUM(S42:S53)</f>
        <v>-31506.290000000015</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5493.0900000000111</v>
      </c>
      <c r="M57" s="238"/>
      <c r="N57" s="286" t="e">
        <f t="shared" si="17"/>
        <v>#N/A</v>
      </c>
      <c r="O57" s="238"/>
      <c r="P57" s="304"/>
      <c r="Q57" s="286">
        <f>SUMIFS(BV_Data_An_Prec!$AM:$AM,BV_Data_An_Prec!$AP:$AP,$B57,BV_Data_An_Prec!$AQ:$AQ,$C57,BV_Data_An_Prec!$AR:$AR,Q$2)</f>
        <v>8310.1300000000047</v>
      </c>
      <c r="R57" s="238"/>
      <c r="S57" s="286">
        <f t="shared" si="18"/>
        <v>-2817.0399999999936</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4814.8299999999981</v>
      </c>
      <c r="M58" s="243"/>
      <c r="N58" s="266" t="e">
        <f t="shared" si="17"/>
        <v>#N/A</v>
      </c>
      <c r="O58" s="243"/>
      <c r="P58" s="38"/>
      <c r="Q58" s="266">
        <f>SUMIFS(BV_Data_An_Prec!$AM:$AM,BV_Data_An_Prec!$AP:$AP,$B58,BV_Data_An_Prec!$AQ:$AQ,$C58,BV_Data_An_Prec!$AR:$AR,Q$2)</f>
        <v>5512.4599999999991</v>
      </c>
      <c r="R58" s="243"/>
      <c r="S58" s="266">
        <f t="shared" si="18"/>
        <v>-697.63000000000102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1084.0399999999977</v>
      </c>
      <c r="M59" s="243"/>
      <c r="N59" s="266" t="e">
        <f t="shared" si="17"/>
        <v>#N/A</v>
      </c>
      <c r="O59" s="243"/>
      <c r="P59" s="38"/>
      <c r="Q59" s="266">
        <f>SUMIFS(BV_Data_An_Prec!$AM:$AM,BV_Data_An_Prec!$AP:$AP,$B59,BV_Data_An_Prec!$AQ:$AQ,$C59,BV_Data_An_Prec!$AR:$AR,Q$2)</f>
        <v>1258.0199999999995</v>
      </c>
      <c r="R59" s="243"/>
      <c r="S59" s="266">
        <f t="shared" si="18"/>
        <v>-173.98000000000184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672.34999999999945</v>
      </c>
      <c r="M64" s="243"/>
      <c r="N64" s="266" t="e">
        <f t="shared" si="17"/>
        <v>#N/A</v>
      </c>
      <c r="O64" s="243"/>
      <c r="P64" s="38"/>
      <c r="Q64" s="266">
        <f>SUMIFS(BV_Data_An_Prec!$AM:$AM,BV_Data_An_Prec!$AP:$AP,$B64,BV_Data_An_Prec!$AQ:$AQ,$C64,BV_Data_An_Prec!$AR:$AR,Q$2)</f>
        <v>969.77999999999975</v>
      </c>
      <c r="R64" s="243"/>
      <c r="S64" s="266">
        <f t="shared" si="18"/>
        <v>-297.43000000000029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1424.7100000000009</v>
      </c>
      <c r="M68" s="243"/>
      <c r="N68" s="658" t="e">
        <f t="shared" si="17"/>
        <v>#N/A</v>
      </c>
      <c r="O68" s="243"/>
      <c r="P68" s="38"/>
      <c r="Q68" s="266">
        <f>SUMIFS(BV_Data_An_Prec!$AM:$AM,BV_Data_An_Prec!$AP:$AP,$B68,BV_Data_An_Prec!$AQ:$AQ,$C68,BV_Data_An_Prec!$AR:$AR,Q$2)</f>
        <v>299.37999999999965</v>
      </c>
      <c r="R68" s="243"/>
      <c r="S68" s="266">
        <f t="shared" si="18"/>
        <v>1125.3300000000013</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0.15983899498337206</v>
      </c>
      <c r="L72" s="294">
        <f>+SUM(L55:L71)</f>
        <v>23254.360000000008</v>
      </c>
      <c r="M72" s="296"/>
      <c r="N72" s="294" t="e">
        <f>+SUM(N55:N71)</f>
        <v>#N/A</v>
      </c>
      <c r="O72" s="295" t="s">
        <v>115</v>
      </c>
      <c r="P72" s="293">
        <f>Q72/Q$27</f>
        <v>0.10252761473059761</v>
      </c>
      <c r="Q72" s="294">
        <f>+SUM(Q55:Q71)</f>
        <v>31399.69</v>
      </c>
      <c r="R72" s="297"/>
      <c r="S72" s="294">
        <f>+SUM(S55:S71)</f>
        <v>-8145.329999999989</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0.52542169821663687</v>
      </c>
      <c r="L74" s="294">
        <f>L41+L54+L72</f>
        <v>76441.580000000016</v>
      </c>
      <c r="M74" s="296"/>
      <c r="N74" s="294" t="e">
        <f t="shared" ref="N74:N82" si="19">L74-F74</f>
        <v>#N/A</v>
      </c>
      <c r="O74" s="295" t="s">
        <v>115</v>
      </c>
      <c r="P74" s="293">
        <f>Q74/Q$27</f>
        <v>0.47825340067702271</v>
      </c>
      <c r="Q74" s="294">
        <f>Q41+Q54+Q72</f>
        <v>146467.94000000015</v>
      </c>
      <c r="R74" s="297"/>
      <c r="S74" s="294">
        <f>L74-Q74</f>
        <v>-70026.360000000132</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0.46929575944071045</v>
      </c>
      <c r="K82" s="307">
        <f>+L82/J24</f>
        <v>328.03773584905662</v>
      </c>
      <c r="L82" s="266">
        <f>-SUMIFS(BV_Data_An_Cour!$AM:$AM,BV_Data_An_Cour!$AP:$AP,$B82,BV_Data_An_Cour!$AQ:$AQ,$C82,BV_Data_An_Cour!$AR:$AR,L$2)</f>
        <v>17386</v>
      </c>
      <c r="M82" s="243"/>
      <c r="N82" s="266" t="e">
        <f t="shared" si="19"/>
        <v>#N/A</v>
      </c>
      <c r="O82" s="744">
        <f>P82/699</f>
        <v>0</v>
      </c>
      <c r="P82" s="307">
        <f>+Q82/O24</f>
        <v>0</v>
      </c>
      <c r="Q82" s="266">
        <f>-SUMIFS(BV_Data_An_Prec!$AM:$AM,BV_Data_An_Prec!$AP:$AP,$B82,BV_Data_An_Prec!$AQ:$AQ,$C82,BV_Data_An_Prec!$AR:$AR,Q$2)</f>
        <v>0</v>
      </c>
      <c r="R82" s="243"/>
      <c r="S82" s="266">
        <f t="shared" si="20"/>
        <v>17386</v>
      </c>
      <c r="T82" s="35">
        <f>16786+600</f>
        <v>17386</v>
      </c>
      <c r="U82" s="35" t="s">
        <v>3438</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52627.44</v>
      </c>
      <c r="M83" s="296"/>
      <c r="N83" s="294" t="e">
        <f>+SUM(N75:N82)</f>
        <v>#N/A</v>
      </c>
      <c r="O83" s="295"/>
      <c r="P83" s="293"/>
      <c r="Q83" s="294">
        <f>+SUM(Q75:Q82)</f>
        <v>25446.580000000016</v>
      </c>
      <c r="R83" s="297"/>
      <c r="S83" s="294">
        <f>+SUM(S75:S82)</f>
        <v>27180.859999999986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121672.00999999931</v>
      </c>
      <c r="M85" s="958"/>
      <c r="N85" s="956" t="e">
        <f>N27-N41-N54-N72+N83</f>
        <v>#N/A</v>
      </c>
      <c r="O85" s="957"/>
      <c r="P85" s="955"/>
      <c r="Q85" s="956">
        <f>Q27-Q74+Q83</f>
        <v>185234.56999999136</v>
      </c>
      <c r="R85" s="959"/>
      <c r="S85" s="956">
        <f>S27-S41-S54-S72+S83</f>
        <v>-63562.559999992052</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2038487.7499999991</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252">
        <f>+J94+J95+J96</f>
        <v>24</v>
      </c>
      <c r="K97" s="305">
        <f>IF(J97&lt;=0,0,L97/J97)</f>
        <v>575.65166666666244</v>
      </c>
      <c r="L97" s="35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-476.81885714287802</v>
      </c>
      <c r="L101" s="266">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67">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3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224.73000000000005</v>
      </c>
      <c r="L118" s="266">
        <f>SUMIFS(BV_Data_An_Cour!$AM:$AM,BV_Data_An_Cour!$AP:$AP,$B118,BV_Data_An_Cour!$AQ:$AQ,$C118,BV_Data_An_Cour!$AR:$AR,$L$2)</f>
        <v>5393.5200000000013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2010.369999999999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252.85499999999956</v>
      </c>
      <c r="L119" s="658">
        <f>SUMIFS(BV_Data_An_Cour!$AM:$AM,BV_Data_An_Cour!$AP:$AP,$B119,BV_Data_An_Cour!$AQ:$AQ,$C119,BV_Data_An_Cour!$AR:$AR,$L$2)</f>
        <v>6068.5199999999895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-9431.8600000000151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2317.4499999999971</v>
      </c>
      <c r="M131" s="243"/>
      <c r="N131" s="266" t="e">
        <f t="shared" si="32"/>
        <v>#N/A</v>
      </c>
      <c r="O131" s="243"/>
      <c r="P131" s="38"/>
      <c r="Q131" s="266">
        <f>SUMIFS(BV_Data_An_Prec!$AM:$AM,BV_Data_An_Prec!$AP:$AP,$B131,BV_Data_An_Prec!$AQ:$AQ,$C131,BV_Data_An_Prec!$AR:$AR,$L$2)</f>
        <v>259.63000000000102</v>
      </c>
      <c r="R131" s="243"/>
      <c r="S131" s="266">
        <f t="shared" si="33"/>
        <v>2057.8199999999961</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6141.32</v>
      </c>
      <c r="M132" s="233"/>
      <c r="N132" s="303" t="e">
        <f t="shared" si="32"/>
        <v>#N/A</v>
      </c>
      <c r="O132" s="233"/>
      <c r="P132" s="301"/>
      <c r="Q132" s="303">
        <f>SUMIFS(BV_Data_An_Prec!$AM:$AM,BV_Data_An_Prec!$AP:$AP,$B132,BV_Data_An_Prec!$AQ:$AQ,$C132,BV_Data_An_Prec!$AR:$AR,$L$2)</f>
        <v>3143.0699999999997</v>
      </c>
      <c r="R132" s="233"/>
      <c r="S132" s="303">
        <f t="shared" si="33"/>
        <v>2998.25</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0.98487713057720183</v>
      </c>
      <c r="L136" s="294">
        <f>SUM(L124:L135)</f>
        <v>23728.3</v>
      </c>
      <c r="M136" s="296"/>
      <c r="N136" s="294" t="e">
        <f t="shared" si="32"/>
        <v>#N/A</v>
      </c>
      <c r="O136" s="295" t="s">
        <v>115</v>
      </c>
      <c r="P136" s="293">
        <f>Q136/Q$109</f>
        <v>0.98951740281926137</v>
      </c>
      <c r="Q136" s="294">
        <f>SUM(Q124:Q135)</f>
        <v>33140.619999999995</v>
      </c>
      <c r="R136" s="297"/>
      <c r="S136" s="294">
        <f t="shared" si="33"/>
        <v>-9412.3199999999961</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2309.1100000000006</v>
      </c>
      <c r="M140" s="243"/>
      <c r="N140" s="266" t="e">
        <f t="shared" si="32"/>
        <v>#N/A</v>
      </c>
      <c r="O140" s="243"/>
      <c r="P140" s="38"/>
      <c r="Q140" s="266">
        <f>SUMIFS(BV_Data_An_Prec!$AM:$AM,BV_Data_An_Prec!$AP:$AP,$B140,BV_Data_An_Prec!$AQ:$AQ,$C140,BV_Data_An_Prec!$AR:$AR,$L$2)</f>
        <v>2486.8500000000004</v>
      </c>
      <c r="R140" s="243"/>
      <c r="S140" s="266">
        <f t="shared" si="33"/>
        <v>-177.73999999999978</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557.3799999999992</v>
      </c>
      <c r="M141" s="243"/>
      <c r="N141" s="266" t="e">
        <f t="shared" si="32"/>
        <v>#N/A</v>
      </c>
      <c r="O141" s="243"/>
      <c r="P141" s="38"/>
      <c r="Q141" s="266">
        <f>SUMIFS(BV_Data_An_Prec!$AM:$AM,BV_Data_An_Prec!$AP:$AP,$B141,BV_Data_An_Prec!$AQ:$AQ,$C141,BV_Data_An_Prec!$AR:$AR,$L$2)</f>
        <v>300</v>
      </c>
      <c r="R141" s="243"/>
      <c r="S141" s="266">
        <f t="shared" si="33"/>
        <v>257.3799999999992</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448.22999999999956</v>
      </c>
      <c r="M146" s="243"/>
      <c r="N146" s="266" t="e">
        <f t="shared" si="32"/>
        <v>#N/A</v>
      </c>
      <c r="O146" s="243"/>
      <c r="P146" s="38"/>
      <c r="Q146" s="266">
        <f>SUMIFS(BV_Data_An_Prec!$AM:$AM,BV_Data_An_Prec!$AP:$AP,$B146,BV_Data_An_Prec!$AQ:$AQ,$C146,BV_Data_An_Prec!$AR:$AR,$L$2)</f>
        <v>646.51999999999953</v>
      </c>
      <c r="R146" s="243"/>
      <c r="S146" s="266">
        <f t="shared" si="33"/>
        <v>-198.28999999999996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1025.6300000000001</v>
      </c>
      <c r="M150" s="243"/>
      <c r="N150" s="658" t="e">
        <f t="shared" si="32"/>
        <v>#N/A</v>
      </c>
      <c r="O150" s="243"/>
      <c r="P150" s="38"/>
      <c r="Q150" s="658">
        <f>SUMIFS(BV_Data_An_Prec!$AM:$AM,BV_Data_An_Prec!$AP:$AP,$B150,BV_Data_An_Prec!$AQ:$AQ,$C150,BV_Data_An_Prec!$AR:$AR,$L$2)</f>
        <v>191.58999999999992</v>
      </c>
      <c r="R150" s="243"/>
      <c r="S150" s="266">
        <f t="shared" si="33"/>
        <v>834.04000000000019</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0.46704783409049616</v>
      </c>
      <c r="L154" s="294">
        <f>+SUM(L137:L153)</f>
        <v>11252.420000000002</v>
      </c>
      <c r="M154" s="296"/>
      <c r="N154" s="294" t="e">
        <f t="shared" si="32"/>
        <v>#N/A</v>
      </c>
      <c r="O154" s="295" t="s">
        <v>115</v>
      </c>
      <c r="P154" s="293">
        <f>Q154/Q$109</f>
        <v>0.4206567597345251</v>
      </c>
      <c r="Q154" s="294">
        <f>+SUM(Q137:Q153)</f>
        <v>14088.510000000004</v>
      </c>
      <c r="R154" s="297"/>
      <c r="S154" s="294">
        <f t="shared" si="33"/>
        <v>-2836.090000000002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2.2528136174311202</v>
      </c>
      <c r="L156" s="294">
        <f>L123+L136+L154</f>
        <v>54276.25</v>
      </c>
      <c r="M156" s="296"/>
      <c r="N156" s="294" t="e">
        <f t="shared" ref="N156:N163" si="34">L156-F156</f>
        <v>#N/A</v>
      </c>
      <c r="O156" s="295" t="s">
        <v>115</v>
      </c>
      <c r="P156" s="293">
        <f>Q156/Q$109</f>
        <v>3.464627952597406</v>
      </c>
      <c r="Q156" s="294">
        <f>Q123+Q136+Q154</f>
        <v>116036.28000000003</v>
      </c>
      <c r="R156" s="297"/>
      <c r="S156" s="294">
        <f t="shared" si="33"/>
        <v>-61760.030000000028</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3">
        <f>14*500</f>
        <v>7000</v>
      </c>
      <c r="U160" s="35" t="s">
        <v>3437</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-23059.260000000839</v>
      </c>
      <c r="M166" s="958"/>
      <c r="N166" s="956" t="e">
        <f>L166-F166</f>
        <v>#N/A</v>
      </c>
      <c r="O166" s="957"/>
      <c r="P166" s="955"/>
      <c r="Q166" s="956">
        <f>Q109-Q156+Q164</f>
        <v>-82544.580000001908</v>
      </c>
      <c r="R166" s="959"/>
      <c r="S166" s="956">
        <f t="shared" si="33"/>
        <v>59485.320000001069</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-6991.5299999999988</v>
      </c>
      <c r="M197" s="243"/>
      <c r="N197" s="266" t="e">
        <f t="shared" si="40"/>
        <v>#N/A</v>
      </c>
      <c r="O197" s="243"/>
      <c r="P197" s="38"/>
      <c r="Q197" s="266">
        <f>SUMIFS(BV_Data_An_Prec!$AM:$AM,BV_Data_An_Prec!$AP:$AP,$B197,BV_Data_An_Prec!$AQ:$AQ,$C197,BV_Data_An_Prec!$AR:$AR,$L$2)</f>
        <v>1288.1200000000536</v>
      </c>
      <c r="R197" s="243"/>
      <c r="S197" s="266">
        <f t="shared" si="41"/>
        <v>-8279.6500000000524</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1968.42</v>
      </c>
      <c r="M204" s="243"/>
      <c r="N204" s="266" t="e">
        <f t="shared" si="40"/>
        <v>#N/A</v>
      </c>
      <c r="O204" s="243"/>
      <c r="P204" s="38"/>
      <c r="Q204" s="266">
        <f>SUMIFS(BV_Data_An_Prec!$AM:$AM,BV_Data_An_Prec!$AP:$AP,$B204,BV_Data_An_Prec!$AQ:$AQ,$C204,BV_Data_An_Prec!$AR:$AR,$L$2)</f>
        <v>2656.8000000000029</v>
      </c>
      <c r="R204" s="243"/>
      <c r="S204" s="266">
        <f t="shared" si="41"/>
        <v>-688.38000000000284</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-1357.4499999999971</v>
      </c>
      <c r="M205" s="233"/>
      <c r="N205" s="303" t="e">
        <f t="shared" si="40"/>
        <v>#N/A</v>
      </c>
      <c r="O205" s="233"/>
      <c r="P205" s="301"/>
      <c r="Q205" s="303">
        <f>SUMIFS(BV_Data_An_Prec!$AM:$AM,BV_Data_An_Prec!$AP:$AP,$B205,BV_Data_An_Prec!$AQ:$AQ,$C205,BV_Data_An_Prec!$AR:$AR,$L$2)</f>
        <v>3644.630000000001</v>
      </c>
      <c r="R205" s="233"/>
      <c r="S205" s="303">
        <f t="shared" si="41"/>
        <v>-5002.0799999999981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-0.57861131921978182</v>
      </c>
      <c r="L209" s="294">
        <f>SUM(L197:L208)</f>
        <v>-13940.279999999993</v>
      </c>
      <c r="M209" s="296"/>
      <c r="N209" s="294" t="e">
        <f t="shared" si="40"/>
        <v>#N/A</v>
      </c>
      <c r="O209" s="295" t="s">
        <v>115</v>
      </c>
      <c r="P209" s="293">
        <f>Q209/Q$109</f>
        <v>1.7298527694922419</v>
      </c>
      <c r="Q209" s="294">
        <f>SUM(Q197:Q208)</f>
        <v>57935.710000000065</v>
      </c>
      <c r="R209" s="297"/>
      <c r="S209" s="294">
        <f t="shared" si="41"/>
        <v>-71875.990000000063</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0.27719532720561102</v>
      </c>
      <c r="L229" s="294">
        <f>L196+L209+L227</f>
        <v>6678.3700000000326</v>
      </c>
      <c r="M229" s="296"/>
      <c r="N229" s="294" t="e">
        <f t="shared" ref="N229:N236" si="42">L229-F229</f>
        <v>#N/A</v>
      </c>
      <c r="O229" s="295" t="s">
        <v>115</v>
      </c>
      <c r="P229" s="293">
        <f>Q229/Q$109</f>
        <v>1.778395244194932</v>
      </c>
      <c r="Q229" s="294">
        <f>Q196+Q209+Q227</f>
        <v>59561.480000000061</v>
      </c>
      <c r="R229" s="297"/>
      <c r="S229" s="294">
        <f t="shared" ref="S229:S236" si="43">L229-Q229</f>
        <v>-52883.11000000003</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-22580.300000001596</v>
      </c>
      <c r="M239" s="958"/>
      <c r="N239" s="956" t="e">
        <f>L239-F239</f>
        <v>#REF!</v>
      </c>
      <c r="O239" s="957"/>
      <c r="P239" s="955"/>
      <c r="Q239" s="956">
        <f>Q182-Q229+Q237</f>
        <v>10748.989999999678</v>
      </c>
      <c r="R239" s="959"/>
      <c r="S239" s="956">
        <f>L239-Q239</f>
        <v>-33329.290000001274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6514.1000000000058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-9611.1499999999869</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11770.770000000004</v>
      </c>
      <c r="M274" s="233"/>
      <c r="N274" s="303" t="e">
        <f t="shared" si="49"/>
        <v>#N/A</v>
      </c>
      <c r="O274" s="233"/>
      <c r="P274" s="301"/>
      <c r="Q274" s="303">
        <f>SUMIFS(BV_Data_An_Prec!$AM:$AM,BV_Data_An_Prec!$AP:$AP,$B274,BV_Data_An_Prec!$AQ:$AQ,$C274,BV_Data_An_Prec!$AR:$AR,$L$2)</f>
        <v>27417.919999999984</v>
      </c>
      <c r="R274" s="233"/>
      <c r="S274" s="303">
        <f t="shared" si="50"/>
        <v>-15647.14999999998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7931.0699999999924</v>
      </c>
      <c r="M279" s="243"/>
      <c r="N279" s="266" t="e">
        <f t="shared" si="49"/>
        <v>#N/A</v>
      </c>
      <c r="O279" s="243"/>
      <c r="P279" s="38"/>
      <c r="Q279" s="266">
        <f>SUMIFS(BV_Data_An_Prec!$AM:$AM,BV_Data_An_Prec!$AP:$AP,$B279,BV_Data_An_Prec!$AQ:$AQ,$C279,BV_Data_An_Prec!$AR:$AR,$L$2)</f>
        <v>6063.6399999999994</v>
      </c>
      <c r="R279" s="243"/>
      <c r="S279" s="266">
        <f t="shared" si="50"/>
        <v>1867.429999999993</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18011.47</v>
      </c>
      <c r="M280" s="233"/>
      <c r="N280" s="303" t="e">
        <f t="shared" si="49"/>
        <v>#N/A</v>
      </c>
      <c r="O280" s="233"/>
      <c r="P280" s="301"/>
      <c r="Q280" s="303">
        <f>SUMIFS(BV_Data_An_Prec!$AM:$AM,BV_Data_An_Prec!$AP:$AP,$B280,BV_Data_An_Prec!$AQ:$AQ,$C280,BV_Data_An_Prec!$AR:$AR,$L$2)</f>
        <v>16394.299999999988</v>
      </c>
      <c r="R280" s="233"/>
      <c r="S280" s="303">
        <f t="shared" si="50"/>
        <v>1617.1700000000128</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2533.0500000000029</v>
      </c>
      <c r="M281" s="243"/>
      <c r="N281" s="266" t="e">
        <f t="shared" si="49"/>
        <v>#N/A</v>
      </c>
      <c r="O281" s="243"/>
      <c r="P281" s="38"/>
      <c r="Q281" s="266">
        <f>SUMIFS(BV_Data_An_Prec!$AM:$AM,BV_Data_An_Prec!$AP:$AP,$B281,BV_Data_An_Prec!$AQ:$AQ,$C281,BV_Data_An_Prec!$AR:$AR,$L$2)</f>
        <v>10201.849999999991</v>
      </c>
      <c r="R281" s="243"/>
      <c r="S281" s="266">
        <f t="shared" si="50"/>
        <v>-7668.7999999999884</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0.59577696391062784</v>
      </c>
      <c r="L284" s="294">
        <f>+SUM(L272:L283)</f>
        <v>66904.489999999991</v>
      </c>
      <c r="M284" s="296"/>
      <c r="N284" s="294" t="e">
        <f t="shared" si="49"/>
        <v>#N/A</v>
      </c>
      <c r="O284" s="295" t="s">
        <v>171</v>
      </c>
      <c r="P284" s="293">
        <f>Q284/Q$268</f>
        <v>0.6962947814248307</v>
      </c>
      <c r="Q284" s="294">
        <f>+SUM(Q272:Q283)</f>
        <v>100507.83999999998</v>
      </c>
      <c r="R284" s="297"/>
      <c r="S284" s="294">
        <f t="shared" si="50"/>
        <v>-33603.349999999991</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3118.8300000000017</v>
      </c>
      <c r="M288" s="243"/>
      <c r="N288" s="266" t="e">
        <f t="shared" si="49"/>
        <v>#N/A</v>
      </c>
      <c r="O288" s="243"/>
      <c r="P288" s="38"/>
      <c r="Q288" s="303">
        <f>SUMIFS(BV_Data_An_Prec!$AM:$AM,BV_Data_An_Prec!$AP:$AP,$B288,BV_Data_An_Prec!$AQ:$AQ,$C288,BV_Data_An_Prec!$AR:$AR,$L$2)</f>
        <v>2846.3300000000017</v>
      </c>
      <c r="R288" s="243"/>
      <c r="S288" s="266">
        <f t="shared" si="50"/>
        <v>272.5</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836.06999999999971</v>
      </c>
      <c r="M289" s="243"/>
      <c r="N289" s="266" t="e">
        <f t="shared" si="49"/>
        <v>#N/A</v>
      </c>
      <c r="O289" s="243"/>
      <c r="P289" s="38"/>
      <c r="Q289" s="266">
        <f>SUMIFS(BV_Data_An_Prec!$AM:$AM,BV_Data_An_Prec!$AP:$AP,$B289,BV_Data_An_Prec!$AQ:$AQ,$C289,BV_Data_An_Prec!$AR:$AR,$L$2)</f>
        <v>480.54</v>
      </c>
      <c r="R289" s="243"/>
      <c r="S289" s="266">
        <f t="shared" si="50"/>
        <v>355.52999999999969</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1307.99</v>
      </c>
      <c r="M293" s="243"/>
      <c r="N293" s="266" t="e">
        <f t="shared" si="49"/>
        <v>#N/A</v>
      </c>
      <c r="O293" s="243"/>
      <c r="P293" s="38"/>
      <c r="Q293" s="266">
        <f>SUMIFS(BV_Data_An_Prec!$AM:$AM,BV_Data_An_Prec!$AP:$AP,$B293,BV_Data_An_Prec!$AQ:$AQ,$C293,BV_Data_An_Prec!$AR:$AR,$L$2)</f>
        <v>0</v>
      </c>
      <c r="R293" s="243"/>
      <c r="S293" s="266">
        <f t="shared" si="50"/>
        <v>1307.99</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727.34999999999991</v>
      </c>
      <c r="M295" s="243"/>
      <c r="N295" s="266" t="e">
        <f t="shared" si="49"/>
        <v>#N/A</v>
      </c>
      <c r="O295" s="243"/>
      <c r="P295" s="38"/>
      <c r="Q295" s="266">
        <f>SUMIFS(BV_Data_An_Prec!$AM:$AM,BV_Data_An_Prec!$AP:$AP,$B295,BV_Data_An_Prec!$AQ:$AQ,$C295,BV_Data_An_Prec!$AR:$AR,$L$2)</f>
        <v>1024.7799999999997</v>
      </c>
      <c r="R295" s="243"/>
      <c r="S295" s="266">
        <f t="shared" si="50"/>
        <v>-297.42999999999984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1425.5100000000002</v>
      </c>
      <c r="M299" s="243"/>
      <c r="N299" s="266" t="e">
        <f t="shared" si="49"/>
        <v>#N/A</v>
      </c>
      <c r="O299" s="243"/>
      <c r="P299" s="38"/>
      <c r="Q299" s="266">
        <f>SUMIFS(BV_Data_An_Prec!$AM:$AM,BV_Data_An_Prec!$AP:$AP,$B299,BV_Data_An_Prec!$AQ:$AQ,$C299,BV_Data_An_Prec!$AR:$AR,$L$2)</f>
        <v>312.42999999999984</v>
      </c>
      <c r="R299" s="243"/>
      <c r="S299" s="266">
        <f t="shared" si="50"/>
        <v>1113.0800000000004</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0.34443312732172698</v>
      </c>
      <c r="L303" s="294">
        <f>+SUM(L285:L302)</f>
        <v>38679.110000000008</v>
      </c>
      <c r="M303" s="296"/>
      <c r="N303" s="294" t="e">
        <f t="shared" si="49"/>
        <v>#N/A</v>
      </c>
      <c r="O303" s="295" t="s">
        <v>171</v>
      </c>
      <c r="P303" s="293">
        <f>Q303/Q$268</f>
        <v>9.5839405520099202E-2</v>
      </c>
      <c r="Q303" s="294">
        <f>+SUM(Q285:Q302)</f>
        <v>13834.099999999993</v>
      </c>
      <c r="R303" s="297"/>
      <c r="S303" s="294">
        <f t="shared" si="50"/>
        <v>24845.010000000017</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0.94021009123235488</v>
      </c>
      <c r="L305" s="294">
        <f>L284+L303</f>
        <v>105583.6</v>
      </c>
      <c r="M305" s="296"/>
      <c r="N305" s="294" t="e">
        <f>L305-F305</f>
        <v>#N/A</v>
      </c>
      <c r="O305" s="295" t="s">
        <v>115</v>
      </c>
      <c r="P305" s="293">
        <f>Q305/Q$268</f>
        <v>0.79213418694492999</v>
      </c>
      <c r="Q305" s="294">
        <f>Q284+Q303</f>
        <v>114341.93999999997</v>
      </c>
      <c r="R305" s="297"/>
      <c r="S305" s="294">
        <f>L305-Q305</f>
        <v>-8758.3399999999674</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6714.2799999999552</v>
      </c>
      <c r="M307" s="958"/>
      <c r="N307" s="956" t="e">
        <f>L307-F307</f>
        <v>#N/A</v>
      </c>
      <c r="O307" s="957"/>
      <c r="P307" s="955"/>
      <c r="Q307" s="956">
        <f>Q268-Q305</f>
        <v>30004.74000000002</v>
      </c>
      <c r="R307" s="959"/>
      <c r="S307" s="956">
        <f>L307-Q307</f>
        <v>-23290.460000000065</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3892.1799999999967</v>
      </c>
      <c r="M337" s="243"/>
      <c r="N337" s="266" t="e">
        <f t="shared" si="53"/>
        <v>#N/A</v>
      </c>
      <c r="O337" s="243"/>
      <c r="P337" s="38"/>
      <c r="Q337" s="266">
        <f>SUMIFS(BV_Data_An_Prec!$AM:$AM,BV_Data_An_Prec!$AP:$AP,$B337,BV_Data_An_Prec!$AQ:$AQ,$C337,BV_Data_An_Prec!$AR:$AR,$L$2)</f>
        <v>1160.2599999999984</v>
      </c>
      <c r="R337" s="243"/>
      <c r="S337" s="266">
        <f t="shared" si="54"/>
        <v>2731.9199999999983</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5736.760000000002</v>
      </c>
      <c r="M338" s="233"/>
      <c r="N338" s="303" t="e">
        <f t="shared" si="53"/>
        <v>#N/A</v>
      </c>
      <c r="O338" s="233"/>
      <c r="P338" s="301"/>
      <c r="Q338" s="303">
        <f>SUMIFS(BV_Data_An_Prec!$AM:$AM,BV_Data_An_Prec!$AP:$AP,$B338,BV_Data_An_Prec!$AQ:$AQ,$C338,BV_Data_An_Prec!$AR:$AR,$L$2)</f>
        <v>4550.2700000000004</v>
      </c>
      <c r="R338" s="233"/>
      <c r="S338" s="303">
        <f t="shared" si="54"/>
        <v>1186.4900000000016</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663.1299999999992</v>
      </c>
      <c r="M339" s="243"/>
      <c r="N339" s="266" t="e">
        <f t="shared" si="53"/>
        <v>#N/A</v>
      </c>
      <c r="O339" s="243"/>
      <c r="P339" s="38"/>
      <c r="Q339" s="266">
        <f>SUMIFS(BV_Data_An_Prec!$AM:$AM,BV_Data_An_Prec!$AP:$AP,$B339,BV_Data_An_Prec!$AQ:$AQ,$C339,BV_Data_An_Prec!$AR:$AR,$L$2)</f>
        <v>2780.4700000000012</v>
      </c>
      <c r="R339" s="243"/>
      <c r="S339" s="266">
        <f t="shared" si="54"/>
        <v>-2117.340000000002</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0.53034726615087668</v>
      </c>
      <c r="L342" s="294">
        <f>+SUM(L330:L341)</f>
        <v>33351.44999999999</v>
      </c>
      <c r="M342" s="296"/>
      <c r="N342" s="294" t="e">
        <f t="shared" si="53"/>
        <v>#N/A</v>
      </c>
      <c r="O342" s="295" t="s">
        <v>115</v>
      </c>
      <c r="P342" s="293">
        <f>IF(Q326=0,0,Q342/Q$326)</f>
        <v>0.30809381281947879</v>
      </c>
      <c r="Q342" s="294">
        <f>+SUM(Q330:Q341)</f>
        <v>27409.64</v>
      </c>
      <c r="R342" s="297"/>
      <c r="S342" s="294">
        <f t="shared" si="54"/>
        <v>5941.8099999999904</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1295">
        <f>SUMIFS(BV_Data_An_Cour!$AM:$AM,BV_Data_An_Cour!$AP:$AP,$B345,BV_Data_An_Cour!$AQ:$AQ,$C345,BV_Data_An_Cour!$AR:$AR,$L$2)</f>
        <v>7636.6500000000005</v>
      </c>
      <c r="M345" s="238"/>
      <c r="N345" s="286" t="e">
        <f t="shared" si="53"/>
        <v>#N/A</v>
      </c>
      <c r="O345" s="238"/>
      <c r="P345" s="304"/>
      <c r="Q345" s="266">
        <f>SUMIFS(BV_Data_An_Prec!$AM:$AM,BV_Data_An_Prec!$AP:$AP,$B345,BV_Data_An_Prec!$AQ:$AQ,$C345,BV_Data_An_Prec!$AR:$AR,$L$2)</f>
        <v>-3839.2400000000007</v>
      </c>
      <c r="R345" s="238"/>
      <c r="S345" s="286">
        <f t="shared" si="54"/>
        <v>11475.890000000001</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1879.2800000000025</v>
      </c>
      <c r="M346" s="243"/>
      <c r="N346" s="266" t="e">
        <f t="shared" si="53"/>
        <v>#N/A</v>
      </c>
      <c r="O346" s="243"/>
      <c r="P346" s="38"/>
      <c r="Q346" s="303">
        <f>SUMIFS(BV_Data_An_Prec!$AM:$AM,BV_Data_An_Prec!$AP:$AP,$B346,BV_Data_An_Prec!$AQ:$AQ,$C346,BV_Data_An_Prec!$AR:$AR,$L$2)</f>
        <v>1609.2700000000004</v>
      </c>
      <c r="R346" s="243"/>
      <c r="S346" s="266">
        <f t="shared" si="54"/>
        <v>270.01000000000204</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278.69000000000051</v>
      </c>
      <c r="M347" s="243"/>
      <c r="N347" s="266" t="e">
        <f t="shared" si="53"/>
        <v>#N/A</v>
      </c>
      <c r="O347" s="243"/>
      <c r="P347" s="38"/>
      <c r="Q347" s="266">
        <f>SUMIFS(BV_Data_An_Prec!$AM:$AM,BV_Data_An_Prec!$AP:$AP,$B347,BV_Data_An_Prec!$AQ:$AQ,$C347,BV_Data_An_Prec!$AR:$AR,$L$2)</f>
        <v>150</v>
      </c>
      <c r="R347" s="243"/>
      <c r="S347" s="266">
        <f t="shared" si="54"/>
        <v>128.69000000000051</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6492.9900000000052</v>
      </c>
      <c r="M350" s="243"/>
      <c r="N350" s="266" t="e">
        <f t="shared" si="53"/>
        <v>#N/A</v>
      </c>
      <c r="O350" s="243"/>
      <c r="P350" s="38"/>
      <c r="Q350" s="266">
        <f>SUMIFS(BV_Data_An_Prec!$AM:$AM,BV_Data_An_Prec!$AP:$AP,$B350,BV_Data_An_Prec!$AQ:$AQ,$C350,BV_Data_An_Prec!$AR:$AR,$L$2)</f>
        <v>5904.1499999999978</v>
      </c>
      <c r="R350" s="243"/>
      <c r="S350" s="266">
        <f t="shared" si="54"/>
        <v>588.84000000000742</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438.31</v>
      </c>
      <c r="M351" s="243"/>
      <c r="N351" s="266" t="e">
        <f t="shared" si="53"/>
        <v>#N/A</v>
      </c>
      <c r="O351" s="243"/>
      <c r="P351" s="38"/>
      <c r="Q351" s="266">
        <f>SUMIFS(BV_Data_An_Prec!$AM:$AM,BV_Data_An_Prec!$AP:$AP,$B351,BV_Data_An_Prec!$AQ:$AQ,$C351,BV_Data_An_Prec!$AR:$AR,$L$2)</f>
        <v>0</v>
      </c>
      <c r="R351" s="243"/>
      <c r="S351" s="266">
        <f t="shared" si="54"/>
        <v>438.31</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224.12000000000012</v>
      </c>
      <c r="M353" s="243"/>
      <c r="N353" s="266" t="e">
        <f t="shared" si="53"/>
        <v>#N/A</v>
      </c>
      <c r="O353" s="243"/>
      <c r="P353" s="38"/>
      <c r="Q353" s="266">
        <f>SUMIFS(BV_Data_An_Prec!$AM:$AM,BV_Data_An_Prec!$AP:$AP,$B353,BV_Data_An_Prec!$AQ:$AQ,$C353,BV_Data_An_Prec!$AR:$AR,$L$2)</f>
        <v>323.25</v>
      </c>
      <c r="R353" s="243"/>
      <c r="S353" s="266">
        <f t="shared" si="54"/>
        <v>-99.129999999999882</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469.06999999999971</v>
      </c>
      <c r="M357" s="243"/>
      <c r="N357" s="266" t="e">
        <f t="shared" si="53"/>
        <v>#N/A</v>
      </c>
      <c r="O357" s="243"/>
      <c r="P357" s="38"/>
      <c r="Q357" s="266">
        <f>SUMIFS(BV_Data_An_Prec!$AM:$AM,BV_Data_An_Prec!$AP:$AP,$B357,BV_Data_An_Prec!$AQ:$AQ,$C357,BV_Data_An_Prec!$AR:$AR,$L$2)</f>
        <v>95.789999999999964</v>
      </c>
      <c r="R357" s="243"/>
      <c r="S357" s="266">
        <f t="shared" si="54"/>
        <v>373.27999999999975</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3154</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0.39938660491689282</v>
      </c>
      <c r="L361" s="294">
        <f>+SUM(L343:L360)</f>
        <v>25115.850000000009</v>
      </c>
      <c r="M361" s="296"/>
      <c r="N361" s="294" t="e">
        <f>+SUM(N343:N360)</f>
        <v>#N/A</v>
      </c>
      <c r="O361" s="295" t="s">
        <v>115</v>
      </c>
      <c r="P361" s="293">
        <f>Q361/Q$326</f>
        <v>0.123060197443406</v>
      </c>
      <c r="Q361" s="294">
        <f>+SUM(Q343:Q360)</f>
        <v>10948.079999999998</v>
      </c>
      <c r="R361" s="297"/>
      <c r="S361" s="294">
        <f t="shared" si="54"/>
        <v>14167.770000000011</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0.9297338710677695</v>
      </c>
      <c r="L363" s="294">
        <f>L342+L361</f>
        <v>58467.3</v>
      </c>
      <c r="M363" s="296"/>
      <c r="N363" s="294" t="e">
        <f>L363-F363</f>
        <v>#N/A</v>
      </c>
      <c r="O363" s="295" t="s">
        <v>115</v>
      </c>
      <c r="P363" s="293">
        <f>Q363/Q$326</f>
        <v>0.4311540102628848</v>
      </c>
      <c r="Q363" s="294">
        <f>Q342+Q361</f>
        <v>38357.72</v>
      </c>
      <c r="R363" s="297"/>
      <c r="S363" s="294">
        <f>L363-Q363</f>
        <v>20109.580000000002</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4418.7599999999802</v>
      </c>
      <c r="M365" s="958"/>
      <c r="N365" s="956" t="e">
        <f>L365-F365</f>
        <v>#N/A</v>
      </c>
      <c r="O365" s="957"/>
      <c r="P365" s="955"/>
      <c r="Q365" s="956">
        <f>Q326-Q363</f>
        <v>50607.519999999975</v>
      </c>
      <c r="R365" s="959"/>
      <c r="S365" s="956">
        <f>L365-Q365</f>
        <v>-46188.759999999995</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7934.34</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3450.9200000000019</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14321.329999999987</v>
      </c>
      <c r="M396" s="233"/>
      <c r="N396" s="262" t="e">
        <f t="shared" si="71"/>
        <v>#N/A</v>
      </c>
      <c r="O396" s="233"/>
      <c r="P396" s="301"/>
      <c r="Q396" s="303">
        <f>SUMIFS(BV_Data_An_Prec!$AM:$AM,BV_Data_An_Prec!$AP:$AP,$B396,BV_Data_An_Prec!$AQ:$AQ,$C396,BV_Data_An_Prec!$AR:$AR,$L$2)</f>
        <v>17580.00999999998</v>
      </c>
      <c r="R396" s="233"/>
      <c r="S396" s="303">
        <f t="shared" si="72"/>
        <v>-3258.679999999993</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1984.9599999999991</v>
      </c>
      <c r="M401" s="243"/>
      <c r="N401" s="246" t="e">
        <f t="shared" si="71"/>
        <v>#N/A</v>
      </c>
      <c r="O401" s="243"/>
      <c r="P401" s="38"/>
      <c r="Q401" s="266">
        <f>SUMIFS(BV_Data_An_Prec!$AM:$AM,BV_Data_An_Prec!$AP:$AP,$B401,BV_Data_An_Prec!$AQ:$AQ,$C401,BV_Data_An_Prec!$AR:$AR,$L$2)</f>
        <v>1134.9199999999983</v>
      </c>
      <c r="R401" s="243"/>
      <c r="S401" s="266">
        <f t="shared" si="72"/>
        <v>850.04000000000087</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3728.8300000000017</v>
      </c>
      <c r="M402" s="233"/>
      <c r="N402" s="262" t="e">
        <f t="shared" si="71"/>
        <v>#N/A</v>
      </c>
      <c r="O402" s="233"/>
      <c r="P402" s="301"/>
      <c r="Q402" s="303">
        <f>SUMIFS(BV_Data_An_Prec!$AM:$AM,BV_Data_An_Prec!$AP:$AP,$B402,BV_Data_An_Prec!$AQ:$AQ,$C402,BV_Data_An_Prec!$AR:$AR,$L$2)</f>
        <v>3052.8999999999978</v>
      </c>
      <c r="R402" s="233"/>
      <c r="S402" s="303">
        <f t="shared" si="72"/>
        <v>675.93000000000393</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1388.9700000000003</v>
      </c>
      <c r="M404" s="243"/>
      <c r="N404" s="246" t="e">
        <f t="shared" si="71"/>
        <v>#N/A</v>
      </c>
      <c r="O404" s="243"/>
      <c r="P404" s="38"/>
      <c r="Q404" s="266">
        <f>SUMIFS(BV_Data_An_Prec!$AM:$AM,BV_Data_An_Prec!$AP:$AP,$B404,BV_Data_An_Prec!$AQ:$AQ,$C404,BV_Data_An_Prec!$AR:$AR,$L$2)</f>
        <v>183.91000000000008</v>
      </c>
      <c r="R404" s="243"/>
      <c r="S404" s="266">
        <f t="shared" si="72"/>
        <v>1205.0600000000002</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0.34573716729816573</v>
      </c>
      <c r="L406" s="294">
        <f>+SUM(L394:L405)</f>
        <v>31919.329999999987</v>
      </c>
      <c r="M406" s="296"/>
      <c r="N406" s="294" t="e">
        <f t="shared" si="71"/>
        <v>#N/A</v>
      </c>
      <c r="O406" s="295" t="s">
        <v>115</v>
      </c>
      <c r="P406" s="293">
        <f>Q406/Q$390</f>
        <v>0.31030138196214518</v>
      </c>
      <c r="Q406" s="294">
        <f>+SUM(Q394:Q405)</f>
        <v>30298.099999999973</v>
      </c>
      <c r="R406" s="297"/>
      <c r="S406" s="294">
        <f t="shared" si="72"/>
        <v>1621.2300000000141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1981.5600000000013</v>
      </c>
      <c r="M410" s="243"/>
      <c r="N410" s="266" t="e">
        <f t="shared" si="71"/>
        <v>#N/A</v>
      </c>
      <c r="O410" s="243"/>
      <c r="P410" s="38"/>
      <c r="Q410" s="266">
        <f>SUMIFS(BV_Data_An_Prec!$AM:$AM,BV_Data_An_Prec!$AP:$AP,$B410,BV_Data_An_Prec!$AQ:$AQ,$C410,BV_Data_An_Prec!$AR:$AR,$L$2)</f>
        <v>1828.7899999999991</v>
      </c>
      <c r="R410" s="243"/>
      <c r="S410" s="266">
        <f t="shared" si="72"/>
        <v>152.77000000000226</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278.6899999999996</v>
      </c>
      <c r="M411" s="243"/>
      <c r="N411" s="266" t="e">
        <f t="shared" si="71"/>
        <v>#N/A</v>
      </c>
      <c r="O411" s="243"/>
      <c r="P411" s="38"/>
      <c r="Q411" s="266">
        <f>SUMIFS(BV_Data_An_Prec!$AM:$AM,BV_Data_An_Prec!$AP:$AP,$B411,BV_Data_An_Prec!$AQ:$AQ,$C411,BV_Data_An_Prec!$AR:$AR,$L$2)</f>
        <v>150</v>
      </c>
      <c r="R411" s="243"/>
      <c r="S411" s="266">
        <f t="shared" si="72"/>
        <v>128.6899999999996</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224.08999999999992</v>
      </c>
      <c r="M417" s="243"/>
      <c r="N417" s="266" t="e">
        <f t="shared" si="71"/>
        <v>#N/A</v>
      </c>
      <c r="O417" s="243"/>
      <c r="P417" s="38"/>
      <c r="Q417" s="266">
        <f>SUMIFS(BV_Data_An_Prec!$AM:$AM,BV_Data_An_Prec!$AP:$AP,$B417,BV_Data_An_Prec!$AQ:$AQ,$C417,BV_Data_An_Prec!$AR:$AR,$L$2)</f>
        <v>323.27</v>
      </c>
      <c r="R417" s="243"/>
      <c r="S417" s="266">
        <f t="shared" si="72"/>
        <v>-99.180000000000064</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469.05999999999995</v>
      </c>
      <c r="M421" s="243"/>
      <c r="N421" s="266" t="e">
        <f t="shared" si="71"/>
        <v>#N/A</v>
      </c>
      <c r="O421" s="243"/>
      <c r="P421" s="38"/>
      <c r="Q421" s="266">
        <f>SUMIFS(BV_Data_An_Prec!$AM:$AM,BV_Data_An_Prec!$AP:$AP,$B421,BV_Data_An_Prec!$AQ:$AQ,$C421,BV_Data_An_Prec!$AR:$AR,$L$2)</f>
        <v>95.799999999999955</v>
      </c>
      <c r="R421" s="243"/>
      <c r="S421" s="266">
        <f t="shared" si="72"/>
        <v>373.26</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0.10149819334457125</v>
      </c>
      <c r="L425" s="294">
        <f>+SUM(L407:L424)</f>
        <v>9370.5699999999979</v>
      </c>
      <c r="M425" s="296"/>
      <c r="N425" s="294" t="e">
        <f>+SUM(N407:N424)</f>
        <v>#N/A</v>
      </c>
      <c r="O425" s="295" t="s">
        <v>115</v>
      </c>
      <c r="P425" s="293">
        <f>Q425/Q$390</f>
        <v>0.12854738711900182</v>
      </c>
      <c r="Q425" s="294">
        <f>+SUM(Q407:Q424)</f>
        <v>12551.48</v>
      </c>
      <c r="R425" s="297"/>
      <c r="S425" s="294">
        <f>+SUM(S407:S424)</f>
        <v>-3180.9100000000017</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0.44723536064273695</v>
      </c>
      <c r="L427" s="294">
        <f>L406+L425</f>
        <v>41289.899999999987</v>
      </c>
      <c r="M427" s="296"/>
      <c r="N427" s="294" t="e">
        <f>L427-F427</f>
        <v>#N/A</v>
      </c>
      <c r="O427" s="295" t="s">
        <v>115</v>
      </c>
      <c r="P427" s="293">
        <f>Q427/Q$390</f>
        <v>0.43884876908114701</v>
      </c>
      <c r="Q427" s="294">
        <f>Q406+Q425</f>
        <v>42849.579999999973</v>
      </c>
      <c r="R427" s="297"/>
      <c r="S427" s="294">
        <f>L427-Q427</f>
        <v>-1559.6799999999857</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51032.630000000201</v>
      </c>
      <c r="M429" s="958"/>
      <c r="N429" s="956" t="e">
        <f>L429-F429</f>
        <v>#N/A</v>
      </c>
      <c r="O429" s="957"/>
      <c r="P429" s="955"/>
      <c r="Q429" s="956">
        <f>Q390-Q427</f>
        <v>54791.3</v>
      </c>
      <c r="R429" s="959"/>
      <c r="S429" s="956">
        <f>L429-Q429</f>
        <v>-3758.6699999998018</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150</v>
      </c>
      <c r="L445" s="927"/>
      <c r="M445" s="925"/>
      <c r="N445" s="658"/>
      <c r="O445" s="924"/>
      <c r="P445" s="1250">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3742.17</v>
      </c>
      <c r="M459" s="243"/>
      <c r="N459" s="266"/>
      <c r="O459" s="243"/>
      <c r="P459" s="38"/>
      <c r="Q459" s="286">
        <f>SUMIFS(BV_Data_An_Prec!$AM:$AM,BV_Data_An_Prec!$AP:$AP,$B459,BV_Data_An_Prec!$AQ:$AQ,$C459,BV_Data_An_Prec!$AR:$AR,$L$2)</f>
        <v>0</v>
      </c>
      <c r="R459" s="243"/>
      <c r="S459" s="266">
        <f t="shared" si="73"/>
        <v>3742.17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647.62999999999988</v>
      </c>
      <c r="M462" s="243"/>
      <c r="N462" s="266"/>
      <c r="O462" s="243"/>
      <c r="P462" s="38"/>
      <c r="Q462" s="266">
        <f>SUMIFS(BV_Data_An_Prec!$AM:$AM,BV_Data_An_Prec!$AP:$AP,$B462,BV_Data_An_Prec!$AQ:$AQ,$C462,BV_Data_An_Prec!$AR:$AR,$L$2)</f>
        <v>0</v>
      </c>
      <c r="R462" s="243"/>
      <c r="S462" s="266">
        <f t="shared" si="73"/>
        <v>647.62999999999988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0.30975473095516232</v>
      </c>
      <c r="L464" s="294">
        <f>+SUM(L452:L463)</f>
        <v>15357.589999999998</v>
      </c>
      <c r="M464" s="296"/>
      <c r="N464" s="294"/>
      <c r="O464" s="295" t="s">
        <v>115</v>
      </c>
      <c r="P464" s="293">
        <f>IFERROR(Q464/Q$448,0)</f>
        <v>0</v>
      </c>
      <c r="Q464" s="294">
        <f>+SUM(Q452:Q463)</f>
        <v>0</v>
      </c>
      <c r="R464" s="297"/>
      <c r="S464" s="294">
        <f t="shared" si="73"/>
        <v>15357.589999999998</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435.59</v>
      </c>
      <c r="M472" s="243"/>
      <c r="N472" s="266"/>
      <c r="O472" s="243"/>
      <c r="P472" s="38"/>
      <c r="Q472" s="266">
        <f>SUMIFS(BV_Data_An_Prec!$AM:$AM,BV_Data_An_Prec!$AP:$AP,$B472,BV_Data_An_Prec!$AQ:$AQ,$C472,BV_Data_An_Prec!$AR:$AR,$L$2)</f>
        <v>0</v>
      </c>
      <c r="R472" s="243"/>
      <c r="S472" s="266">
        <f t="shared" si="73"/>
        <v>435.59</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8.7856273840335071E-3</v>
      </c>
      <c r="L482" s="294">
        <f>+SUM(L465:L481)</f>
        <v>435.59</v>
      </c>
      <c r="M482" s="296"/>
      <c r="N482" s="294"/>
      <c r="O482" s="295" t="s">
        <v>115</v>
      </c>
      <c r="P482" s="293">
        <f>IFERROR(Q482/Q$448,0)</f>
        <v>0</v>
      </c>
      <c r="Q482" s="294">
        <f>+SUM(Q465:Q481)</f>
        <v>0</v>
      </c>
      <c r="R482" s="297"/>
      <c r="S482" s="294">
        <f>+SUM(S465:S481)</f>
        <v>435.59</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0.31854035833919581</v>
      </c>
      <c r="L484" s="294">
        <f>L464+L482</f>
        <v>15793.179999999998</v>
      </c>
      <c r="M484" s="296"/>
      <c r="N484" s="294"/>
      <c r="O484" s="295" t="s">
        <v>115</v>
      </c>
      <c r="P484" s="293">
        <f>IFERROR(Q484/Q$448,0)</f>
        <v>0</v>
      </c>
      <c r="Q484" s="294">
        <f>Q464+Q482</f>
        <v>0</v>
      </c>
      <c r="R484" s="297"/>
      <c r="S484" s="294">
        <f>L484-Q484</f>
        <v>15793.179999999998</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33786.660000000011</v>
      </c>
      <c r="M486" s="958"/>
      <c r="N486" s="956"/>
      <c r="O486" s="957"/>
      <c r="P486" s="955"/>
      <c r="Q486" s="956">
        <f>Q448-Q484</f>
        <v>48143.309999999983</v>
      </c>
      <c r="R486" s="959"/>
      <c r="S486" s="956">
        <f>L486-Q486</f>
        <v>-14356.649999999972</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13948793.349999994</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3.3749383777342809E-2</v>
      </c>
      <c r="AE494" s="393"/>
      <c r="AF494" s="391">
        <f>L27+L109+L182+L268+L326+L390+L448</f>
        <v>470763.17999999708</v>
      </c>
      <c r="AG494" s="392"/>
      <c r="AH494" s="393" t="e">
        <f>AF494-Z494</f>
        <v>#N/A</v>
      </c>
      <c r="AI494" s="394" t="e">
        <f>AH494/Z494</f>
        <v>#N/A</v>
      </c>
      <c r="AJ494" s="754">
        <f>AL494/AL493</f>
        <v>4.2011977298220475E-2</v>
      </c>
      <c r="AK494" s="393"/>
      <c r="AL494" s="391">
        <f>Q27+Q109+Q182+Q268+Q326+Q390+Q448</f>
        <v>789154.20999998925</v>
      </c>
      <c r="AM494" s="395"/>
      <c r="AN494" s="393">
        <f>AF494-AL494</f>
        <v>-318391.02999999217</v>
      </c>
      <c r="AO494" s="396">
        <f>IF(AL494=0,0,AN494/AL494)</f>
        <v>-0.40345857117076839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716.76233766233702</v>
      </c>
      <c r="AF496" s="399">
        <f t="shared" ref="AF496:AF502" si="76">+SUMIF($C:$C,$V496,L:L)</f>
        <v>55190.699999999953</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-409.69807900432977</v>
      </c>
      <c r="AN496" s="401">
        <f>AF496-AL496</f>
        <v>-52949.500000000058</v>
      </c>
      <c r="AO496" s="408">
        <f>IF(AL496=0,0,AN496/AL496)</f>
        <v>-0.48963752610037758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-33.525194805194552</v>
      </c>
      <c r="AF498" s="399">
        <f t="shared" si="76"/>
        <v>-2581.4399999999805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205.60365936147213</v>
      </c>
      <c r="AN498" s="401">
        <f t="shared" si="83"/>
        <v>20374.930000000022</v>
      </c>
      <c r="AO498" s="408">
        <f t="shared" si="84"/>
        <v>-0.88755016581454382</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236.01883116883121</v>
      </c>
      <c r="AF501" s="399">
        <f t="shared" si="76"/>
        <v>18173.450000000004</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47.311122835497827</v>
      </c>
      <c r="AN501" s="401">
        <f t="shared" si="83"/>
        <v>57.509999999998399</v>
      </c>
      <c r="AO501" s="408">
        <f t="shared" si="84"/>
        <v>3.1745523555497743E-3</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569.52792207792277</v>
      </c>
      <c r="AF502" s="399">
        <f t="shared" si="76"/>
        <v>43853.650000000052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-443.10884875541058</v>
      </c>
      <c r="AN502" s="401">
        <f t="shared" si="83"/>
        <v>-53359.479999999952</v>
      </c>
      <c r="AO502" s="408">
        <f t="shared" si="84"/>
        <v>-0.54889169806588833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0.11354573227243557</v>
      </c>
      <c r="AE506" s="419"/>
      <c r="AF506" s="416">
        <f>SUM(AF496:AF505)</f>
        <v>53453.150000000067</v>
      </c>
      <c r="AG506" s="418"/>
      <c r="AH506" s="419" t="e">
        <f t="shared" ref="AH506:AH538" si="88">AF506-Z506</f>
        <v>#N/A</v>
      </c>
      <c r="AI506" s="415" t="e">
        <f>AH506/Z506</f>
        <v>#N/A</v>
      </c>
      <c r="AJ506" s="417">
        <f>AL506/AL494</f>
        <v>0.14553349465119336</v>
      </c>
      <c r="AK506" s="419"/>
      <c r="AL506" s="416">
        <f>SUM(AL496:AL505)</f>
        <v>114848.37000000017</v>
      </c>
      <c r="AM506" s="423"/>
      <c r="AN506" s="419">
        <f t="shared" si="86"/>
        <v>-61395.220000000103</v>
      </c>
      <c r="AO506" s="396">
        <f t="shared" si="87"/>
        <v>-0.53457632877157957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32819.069999999992</v>
      </c>
      <c r="AG508" s="400"/>
      <c r="AH508" s="401" t="e">
        <f t="shared" si="88"/>
        <v>#N/A</v>
      </c>
      <c r="AI508" s="402" t="e">
        <f t="shared" si="89"/>
        <v>#N/A</v>
      </c>
      <c r="AJ508" s="407"/>
      <c r="AK508" s="406"/>
      <c r="AL508" s="399">
        <f>SUMIFS(BV_Data_An_Prec!$AM:$AM,BV_Data_An_Prec!$AQ:$AQ,$V508)</f>
        <v>69414.170000000042</v>
      </c>
      <c r="AM508" s="403"/>
      <c r="AN508" s="401">
        <f t="shared" si="86"/>
        <v>-36595.100000000049</v>
      </c>
      <c r="AO508" s="408">
        <f t="shared" si="87"/>
        <v>-0.52719927357771512</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33828.989999999991</v>
      </c>
      <c r="AG510" s="400"/>
      <c r="AH510" s="401" t="e">
        <f t="shared" si="88"/>
        <v>#N/A</v>
      </c>
      <c r="AI510" s="402" t="e">
        <f t="shared" si="89"/>
        <v>#N/A</v>
      </c>
      <c r="AJ510" s="407"/>
      <c r="AK510" s="406"/>
      <c r="AL510" s="399">
        <f>SUMIFS(BV_Data_An_Prec!$AM:$AM,BV_Data_An_Prec!$AQ:$AQ,$V510)</f>
        <v>90767.849999999962</v>
      </c>
      <c r="AM510" s="403"/>
      <c r="AN510" s="401">
        <f t="shared" si="86"/>
        <v>-56938.859999999971</v>
      </c>
      <c r="AO510" s="408">
        <f t="shared" si="87"/>
        <v>-0.62730206785772713</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26693.459999999985</v>
      </c>
      <c r="AG515" s="384"/>
      <c r="AH515" s="385" t="e">
        <f t="shared" si="88"/>
        <v>#N/A</v>
      </c>
      <c r="AI515" s="412" t="e">
        <f t="shared" si="89"/>
        <v>#N/A</v>
      </c>
      <c r="AJ515" s="411"/>
      <c r="AK515" s="410"/>
      <c r="AL515" s="383">
        <f>SUMIFS(BV_Data_An_Prec!$AM:$AM,BV_Data_An_Prec!$AQ:$AQ,$V515)</f>
        <v>17647.25</v>
      </c>
      <c r="AM515" s="387"/>
      <c r="AN515" s="385">
        <f t="shared" si="86"/>
        <v>9046.2099999999846</v>
      </c>
      <c r="AO515" s="388">
        <f t="shared" si="87"/>
        <v>0.5126130133590211</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46233.479999999996</v>
      </c>
      <c r="AG516" s="400"/>
      <c r="AH516" s="401" t="e">
        <f t="shared" si="88"/>
        <v>#N/A</v>
      </c>
      <c r="AI516" s="402" t="e">
        <f t="shared" si="89"/>
        <v>#N/A</v>
      </c>
      <c r="AJ516" s="407"/>
      <c r="AK516" s="406"/>
      <c r="AL516" s="399">
        <f>SUMIFS(BV_Data_An_Prec!$AM:$AM,BV_Data_An_Prec!$AQ:$AQ,$V516)</f>
        <v>45059.379999999976</v>
      </c>
      <c r="AM516" s="403"/>
      <c r="AN516" s="401">
        <f t="shared" si="86"/>
        <v>1174.1000000000204</v>
      </c>
      <c r="AO516" s="408">
        <f t="shared" si="87"/>
        <v>2.6056727811168752E-2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7310.7800000000016</v>
      </c>
      <c r="AG517" s="400"/>
      <c r="AH517" s="401" t="e">
        <f t="shared" si="88"/>
        <v>#N/A</v>
      </c>
      <c r="AI517" s="402" t="e">
        <f t="shared" si="89"/>
        <v>#N/A</v>
      </c>
      <c r="AJ517" s="407"/>
      <c r="AK517" s="406"/>
      <c r="AL517" s="399">
        <f>SUMIFS(BV_Data_An_Prec!$AM:$AM,BV_Data_An_Prec!$AQ:$AQ,$V517)</f>
        <v>21241.299999999988</v>
      </c>
      <c r="AM517" s="403"/>
      <c r="AN517" s="401">
        <f t="shared" si="86"/>
        <v>-13930.519999999986</v>
      </c>
      <c r="AO517" s="408">
        <f t="shared" si="87"/>
        <v>-0.65582238375240653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0.44587614095053318</v>
      </c>
      <c r="AE520" s="421"/>
      <c r="AF520" s="416">
        <f>SUM(AF507:AF519)</f>
        <v>209902.06999999992</v>
      </c>
      <c r="AG520" s="418"/>
      <c r="AH520" s="419" t="e">
        <f t="shared" si="88"/>
        <v>#N/A</v>
      </c>
      <c r="AI520" s="415" t="e">
        <f>AH520/Z520</f>
        <v>#N/A</v>
      </c>
      <c r="AJ520" s="417">
        <f>AL520/AL494</f>
        <v>0.41600824761487926</v>
      </c>
      <c r="AK520" s="421"/>
      <c r="AL520" s="416">
        <f>SUM(AL507:AL519)</f>
        <v>328294.65999999997</v>
      </c>
      <c r="AM520" s="423"/>
      <c r="AN520" s="419">
        <f t="shared" si="86"/>
        <v>-118392.59000000005</v>
      </c>
      <c r="AO520" s="396">
        <f t="shared" si="87"/>
        <v>-0.36062904586995131</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25757.210000000014</v>
      </c>
      <c r="AG523" s="384"/>
      <c r="AH523" s="385" t="e">
        <f t="shared" si="88"/>
        <v>#N/A</v>
      </c>
      <c r="AI523" s="412" t="e">
        <f t="shared" si="92"/>
        <v>#N/A</v>
      </c>
      <c r="AJ523" s="411"/>
      <c r="AK523" s="410"/>
      <c r="AL523" s="383">
        <f>SUMIFS(BV_Data_An_Prec!$AM:$AM,BV_Data_An_Prec!$AQ:$AQ,$V523)</f>
        <v>-24.409999999995307</v>
      </c>
      <c r="AM523" s="387"/>
      <c r="AN523" s="385">
        <f t="shared" si="86"/>
        <v>25781.62000000001</v>
      </c>
      <c r="AO523" s="388">
        <f t="shared" si="87"/>
        <v>-1056.1909053668564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14103.610000000004</v>
      </c>
      <c r="AG524" s="400"/>
      <c r="AH524" s="401" t="e">
        <f t="shared" si="88"/>
        <v>#N/A</v>
      </c>
      <c r="AI524" s="402" t="e">
        <f t="shared" si="92"/>
        <v>#N/A</v>
      </c>
      <c r="AJ524" s="407"/>
      <c r="AK524" s="406"/>
      <c r="AL524" s="399">
        <f>SUMIFS(BV_Data_An_Prec!$AM:$AM,BV_Data_An_Prec!$AQ:$AQ,$V524)</f>
        <v>14283.7</v>
      </c>
      <c r="AM524" s="403"/>
      <c r="AN524" s="401">
        <f t="shared" si="86"/>
        <v>-180.08999999999651</v>
      </c>
      <c r="AO524" s="408">
        <f t="shared" si="87"/>
        <v>-1.2608077738960949E-2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3034.8699999999967</v>
      </c>
      <c r="AG525" s="400"/>
      <c r="AH525" s="401" t="e">
        <f t="shared" si="88"/>
        <v>#N/A</v>
      </c>
      <c r="AI525" s="402" t="e">
        <f t="shared" si="92"/>
        <v>#N/A</v>
      </c>
      <c r="AJ525" s="407"/>
      <c r="AK525" s="406"/>
      <c r="AL525" s="399">
        <f>SUMIFS(BV_Data_An_Prec!$AM:$AM,BV_Data_An_Prec!$AQ:$AQ,$V525)</f>
        <v>2338.5599999999995</v>
      </c>
      <c r="AM525" s="403"/>
      <c r="AN525" s="401">
        <f t="shared" si="86"/>
        <v>696.30999999999722</v>
      </c>
      <c r="AO525" s="408">
        <f t="shared" si="87"/>
        <v>0.29775160782703775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9028.5200000000077</v>
      </c>
      <c r="AG528" s="400"/>
      <c r="AH528" s="401" t="e">
        <f t="shared" si="88"/>
        <v>#N/A</v>
      </c>
      <c r="AI528" s="402" t="e">
        <f t="shared" si="92"/>
        <v>#N/A</v>
      </c>
      <c r="AJ528" s="407"/>
      <c r="AK528" s="406"/>
      <c r="AL528" s="399">
        <f>SUMIFS(BV_Data_An_Prec!$AM:$AM,BV_Data_An_Prec!$AQ:$AQ,$V528)</f>
        <v>7515.7199999999984</v>
      </c>
      <c r="AM528" s="403"/>
      <c r="AN528" s="401">
        <f t="shared" si="86"/>
        <v>1512.8000000000093</v>
      </c>
      <c r="AO528" s="408">
        <f t="shared" si="87"/>
        <v>0.20128477378082335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2181.89</v>
      </c>
      <c r="AG529" s="400"/>
      <c r="AH529" s="401" t="e">
        <f t="shared" si="88"/>
        <v>#N/A</v>
      </c>
      <c r="AI529" s="420" t="e">
        <f t="shared" si="92"/>
        <v>#N/A</v>
      </c>
      <c r="AJ529" s="407"/>
      <c r="AK529" s="406"/>
      <c r="AL529" s="399">
        <f>SUMIFS(BV_Data_An_Prec!$AM:$AM,BV_Data_An_Prec!$AQ:$AQ,$V529)</f>
        <v>0</v>
      </c>
      <c r="AM529" s="403"/>
      <c r="AN529" s="401">
        <f t="shared" si="86"/>
        <v>2181.89</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2296.1399999999994</v>
      </c>
      <c r="AG531" s="400"/>
      <c r="AH531" s="401" t="e">
        <f t="shared" si="88"/>
        <v>#N/A</v>
      </c>
      <c r="AI531" s="420" t="e">
        <f t="shared" si="92"/>
        <v>#N/A</v>
      </c>
      <c r="AJ531" s="407"/>
      <c r="AK531" s="406"/>
      <c r="AL531" s="399">
        <f>SUMIFS(BV_Data_An_Prec!$AM:$AM,BV_Data_An_Prec!$AQ:$AQ,$V531)</f>
        <v>3287.599999999999</v>
      </c>
      <c r="AM531" s="403"/>
      <c r="AN531" s="401">
        <f t="shared" si="86"/>
        <v>-991.45999999999958</v>
      </c>
      <c r="AO531" s="408">
        <f t="shared" si="87"/>
        <v>-0.30157561747171185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4831.4800000000014</v>
      </c>
      <c r="AG535" s="400"/>
      <c r="AH535" s="659" t="e">
        <f t="shared" si="88"/>
        <v>#N/A</v>
      </c>
      <c r="AI535" s="402" t="e">
        <f t="shared" si="92"/>
        <v>#N/A</v>
      </c>
      <c r="AJ535" s="407"/>
      <c r="AK535" s="406"/>
      <c r="AL535" s="399">
        <f>SUMIFS(BV_Data_An_Prec!$AM:$AM,BV_Data_An_Prec!$AQ:$AQ,$V535)</f>
        <v>994.98999999999933</v>
      </c>
      <c r="AM535" s="403"/>
      <c r="AN535" s="401">
        <f t="shared" si="86"/>
        <v>3836.4900000000021</v>
      </c>
      <c r="AO535" s="408">
        <f t="shared" si="87"/>
        <v>3.8558075960562466</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0.23097105852671118</v>
      </c>
      <c r="AE539" s="414"/>
      <c r="AF539" s="416">
        <f>+SUM(AF521:AF538)</f>
        <v>108732.67</v>
      </c>
      <c r="AG539" s="422"/>
      <c r="AH539" s="435" t="e">
        <f>+SUM(AH521:AH538)</f>
        <v>#N/A</v>
      </c>
      <c r="AI539" s="415" t="e">
        <f>AH539/Z539</f>
        <v>#N/A</v>
      </c>
      <c r="AJ539" s="417">
        <f>AL539/AL494</f>
        <v>0.10510606032248264</v>
      </c>
      <c r="AK539" s="414"/>
      <c r="AL539" s="416">
        <f>+SUM(AL521:AL538)</f>
        <v>82944.89</v>
      </c>
      <c r="AM539" s="423"/>
      <c r="AN539" s="419">
        <f t="shared" si="86"/>
        <v>25787.78</v>
      </c>
      <c r="AO539" s="436">
        <f t="shared" si="87"/>
        <v>0.31090257639741276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3455</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t="s">
        <v>3456</v>
      </c>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896.03000000000077</v>
      </c>
      <c r="AG548" s="400"/>
      <c r="AH548" s="401" t="e">
        <f t="shared" si="94"/>
        <v>#N/A</v>
      </c>
      <c r="AI548" s="439" t="e">
        <f t="shared" si="95"/>
        <v>#N/A</v>
      </c>
      <c r="AJ548" s="407"/>
      <c r="AK548" s="406"/>
      <c r="AL548" s="399">
        <f>SUMIFS(BV_Data_An_Prec!$AM:$AM,BV_Data_An_Prec!$AQ:$AQ,$V548)</f>
        <v>158.19999999999973</v>
      </c>
      <c r="AM548" s="403"/>
      <c r="AN548" s="401">
        <f t="shared" si="86"/>
        <v>737.83000000000106</v>
      </c>
      <c r="AO548" s="408">
        <f t="shared" si="87"/>
        <v>4.6639064475347807</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0.26590454674046676</v>
      </c>
      <c r="AE553" s="414"/>
      <c r="AF553" s="416">
        <f>SUM(AF540:AF552)</f>
        <v>125178.06999999999</v>
      </c>
      <c r="AG553" s="422"/>
      <c r="AH553" s="435" t="e">
        <f>SUM(AH540:AH552)</f>
        <v>#N/A</v>
      </c>
      <c r="AI553" s="415" t="e">
        <f>IF(Z553=0,0,AH553/Z553)</f>
        <v>#N/A</v>
      </c>
      <c r="AJ553" s="417">
        <f>AL553/AL494</f>
        <v>0.25450707536617301</v>
      </c>
      <c r="AK553" s="414"/>
      <c r="AL553" s="416">
        <f>SUM(AL540:AL552)</f>
        <v>200845.33</v>
      </c>
      <c r="AM553" s="423"/>
      <c r="AN553" s="419">
        <f t="shared" si="86"/>
        <v>-75667.259999999995</v>
      </c>
      <c r="AO553" s="436">
        <f t="shared" si="87"/>
        <v>-0.37674393524609212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1.0562974784901467</v>
      </c>
      <c r="AE555" s="414"/>
      <c r="AF555" s="416">
        <f>AF506+AF520+AF539+AF553</f>
        <v>497265.95999999996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-229667.29000000015</v>
      </c>
      <c r="AO555" s="396">
        <f t="shared" ref="AO555:AO568" si="98">IF(AL555=0,0,AN555/AL555)</f>
        <v>-0.31593999861747984</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3910.6699999999942</v>
      </c>
      <c r="AG556" s="446"/>
      <c r="AH556" s="401" t="e">
        <f t="shared" si="96"/>
        <v>#N/A</v>
      </c>
      <c r="AI556" s="439" t="e">
        <f>IF(AH556=0,0,AH556/Z556)</f>
        <v>#N/A</v>
      </c>
      <c r="AJ556" s="445"/>
      <c r="AK556" s="444"/>
      <c r="AL556" s="426">
        <f>-SUMIFS(BV_Data_An_Prec!$AM:$AM,BV_Data_An_Prec!$AQ:$AQ,$V556)</f>
        <v>-19182.250000000036</v>
      </c>
      <c r="AM556" s="447"/>
      <c r="AN556" s="401">
        <f t="shared" si="97"/>
        <v>23092.920000000031</v>
      </c>
      <c r="AO556" s="408">
        <f t="shared" si="98"/>
        <v>-1.2038692019966368</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49.118917835671333</v>
      </c>
      <c r="AE567" s="437">
        <f>(AF567/399)/(J13+J15+J97)</f>
        <v>0.79778472154411995</v>
      </c>
      <c r="AF567" s="399">
        <f>+SUMIF($C:$C,$V567,L:L)</f>
        <v>24510.339999999997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24510.339999999997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0.13523243257894635</v>
      </c>
      <c r="AE568" s="434"/>
      <c r="AF568" s="416">
        <f>SUM(AF556:AF567)</f>
        <v>63662.44999999999</v>
      </c>
      <c r="AG568" s="422"/>
      <c r="AH568" s="419" t="e">
        <f t="shared" si="96"/>
        <v>#N/A</v>
      </c>
      <c r="AI568" s="415" t="e">
        <f>AH568/Z568</f>
        <v>#N/A</v>
      </c>
      <c r="AJ568" s="415">
        <f>AL568/+AL494</f>
        <v>7.9380302615379393E-3</v>
      </c>
      <c r="AK568" s="434"/>
      <c r="AL568" s="416">
        <f>SUM(AL556:AL567)</f>
        <v>6264.3299999999799</v>
      </c>
      <c r="AM568" s="453"/>
      <c r="AN568" s="419">
        <f t="shared" si="97"/>
        <v>57398.12000000001</v>
      </c>
      <c r="AO568" s="436">
        <f t="shared" si="98"/>
        <v>9.162690982116235</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2.6640060589898356E-3</v>
      </c>
      <c r="AF570" s="468">
        <f>AF494-AF555+AF568</f>
        <v>37159.66999999711</v>
      </c>
      <c r="AG570" s="470"/>
      <c r="AH570" s="470" t="e">
        <f>AF570-Z570</f>
        <v>#N/A</v>
      </c>
      <c r="AI570" s="471" t="e">
        <f>AH570/Z570</f>
        <v>#N/A</v>
      </c>
      <c r="AJ570" s="466" t="s">
        <v>215</v>
      </c>
      <c r="AK570" s="467">
        <f>AL570/AL493</f>
        <v>3.6459318245816975E-3</v>
      </c>
      <c r="AL570" s="468">
        <f>AL494-AL555+AL568</f>
        <v>68485.289999989123</v>
      </c>
      <c r="AM570" s="472"/>
      <c r="AN570" s="469">
        <f>AF570-AL570</f>
        <v>-31325.619999992014</v>
      </c>
      <c r="AO570" s="473">
        <f>IF(AL570=0,0,AN570/AL570)</f>
        <v>-0.45740654671969688</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5.8079088253176533E-3</v>
      </c>
      <c r="AF575" s="752">
        <f>AF576+AF502</f>
        <v>81013.319999997155</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-84685.099999991973</v>
      </c>
      <c r="AO575" s="753">
        <f t="shared" ref="AO575:AO585" si="104">IF(AL575=0,0,AN575/AL575)</f>
        <v>-0.5110797073381721</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2.6640060589898356E-3</v>
      </c>
      <c r="AF576" s="468">
        <f>AF570</f>
        <v>37159.66999999711</v>
      </c>
      <c r="AG576" s="469"/>
      <c r="AH576" s="470" t="e">
        <f>AF576-Z576</f>
        <v>#N/A</v>
      </c>
      <c r="AI576" s="471" t="e">
        <f>AH576/Z576</f>
        <v>#N/A</v>
      </c>
      <c r="AJ576" s="466" t="s">
        <v>215</v>
      </c>
      <c r="AK576" s="467">
        <f>IF($AL$493=0,0,AL576/$AL$493)</f>
        <v>3.6459318245816975E-3</v>
      </c>
      <c r="AL576" s="468">
        <f>AL570</f>
        <v>68485.289999989123</v>
      </c>
      <c r="AM576" s="474"/>
      <c r="AN576" s="475">
        <f t="shared" si="103"/>
        <v>-31325.619999992014</v>
      </c>
      <c r="AO576" s="476">
        <f t="shared" si="104"/>
        <v>-0.45740654671969688</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7941.2200000000012</v>
      </c>
      <c r="AG580" s="35"/>
      <c r="AH580" s="401" t="e">
        <f t="shared" si="105"/>
        <v>#N/A</v>
      </c>
      <c r="AI580" s="420" t="e">
        <f t="shared" si="106"/>
        <v>#N/A</v>
      </c>
      <c r="AJ580" s="35"/>
      <c r="AK580" s="38"/>
      <c r="AL580" s="399">
        <f>SUMIFS(BV_Data_An_Prec!$AM:$AM,BV_Data_An_Prec!$AQ:$AQ,$V580)</f>
        <v>0</v>
      </c>
      <c r="AM580" s="480"/>
      <c r="AN580" s="401">
        <f t="shared" si="103"/>
        <v>7941.2200000000012</v>
      </c>
      <c r="AO580" s="408">
        <f t="shared" si="104"/>
        <v>0</v>
      </c>
      <c r="AP580" s="35"/>
      <c r="AQ580" s="35">
        <v>7941</v>
      </c>
      <c r="AR580" s="91">
        <f>AQ580-AF580</f>
        <v>-0.22000000000116415</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1.3197163036326089E-3</v>
      </c>
      <c r="AF585" s="468">
        <f>AF576-AF578-AF579-AF580-AF584-AF583</f>
        <v>18408.449999997109</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-39286.709999992017</v>
      </c>
      <c r="AO585" s="482">
        <f t="shared" si="104"/>
        <v>-0.68093597452540944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18408.45</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2.8921931516379118E-9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3453</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18408.449999997109</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36" zoomScale="80" zoomScaleNormal="80" workbookViewId="0">
      <selection activeCell="AU567" sqref="AU567"/>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85851260.560000002</v>
      </c>
      <c r="M5" s="242"/>
      <c r="N5" s="950"/>
      <c r="O5" s="238"/>
      <c r="P5" s="949"/>
      <c r="Q5" s="286">
        <f>-SUMIFS(BV_Data_An_Prec!$AN:$AN,BV_Data_An_Prec!$AS:$AS,"Oui",BV_Data_An_Prec!$AP:$AP,$B5)</f>
        <v>104105852.95999998</v>
      </c>
      <c r="R5" s="242"/>
      <c r="S5" s="962"/>
      <c r="T5" s="38"/>
      <c r="U5" s="35">
        <f>L5/AF493</f>
        <v>0.51850456978609294</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544.1644989338987</v>
      </c>
      <c r="L17" s="266">
        <f>-SUMIFS(BV_Data_An_Cour!$AN:$AN,BV_Data_An_Cour!$AP:$AP,$B17,BV_Data_An_Cour!$AQ:$AQ,$C17,BV_Data_An_Cour!$AR:$AR,L$2)</f>
        <v>510426.29999999702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-211589.3599999994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1254.7740880989172</v>
      </c>
      <c r="L27" s="271">
        <f>L13+L17+L24+L19+L15</f>
        <v>1623677.669999999</v>
      </c>
      <c r="M27" s="272" t="e">
        <f>J27-D27</f>
        <v>#N/A</v>
      </c>
      <c r="N27" s="271" t="e">
        <f>L27-F27</f>
        <v>#N/A</v>
      </c>
      <c r="O27" s="272">
        <f>+O13+O15+O17</f>
        <v>1697</v>
      </c>
      <c r="P27" s="269">
        <f>IF(O27&lt;=0,0,Q27/O27)</f>
        <v>1477.6017855038278</v>
      </c>
      <c r="Q27" s="271">
        <f>Q13+Q17+Q24+Q19+Q15</f>
        <v>2507490.2299999958</v>
      </c>
      <c r="R27" s="272">
        <f>J27-O27</f>
        <v>-403</v>
      </c>
      <c r="S27" s="271">
        <f>L27-Q27</f>
        <v>-883812.5599999968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1998.359907000505</v>
      </c>
      <c r="R28" s="276">
        <f>R27/O27</f>
        <v>-0.2374779021803182</v>
      </c>
      <c r="S28" s="326">
        <f>IF(Q27=0,0,S27/Q27)</f>
        <v>-0.35246899446543339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0.24316554536965435</v>
      </c>
      <c r="K31" s="281">
        <f>IF(L31=0,0,L31/J$24)</f>
        <v>886.17550561797748</v>
      </c>
      <c r="L31" s="266">
        <f>SUMIFS(BV_Data_An_Cour!$AN:$AN,BV_Data_An_Cour!$AP:$AP,$B31,BV_Data_An_Cour!$AQ:$AQ,$C31,BV_Data_An_Cour!$AR:$AR,L$2)</f>
        <v>315478.48</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-130784.28000000003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673.54365168539323</v>
      </c>
      <c r="L33" s="952">
        <f>SUMIFS(BV_Data_An_Cour!$AN:$AN,BV_Data_An_Cour!$AP:$AP,$B33,BV_Data_An_Cour!$AQ:$AQ,$C33,BV_Data_An_Cour!$AR:$AR,L$2)</f>
        <v>239781.54</v>
      </c>
      <c r="M33" s="243"/>
      <c r="N33" s="266" t="e">
        <f t="shared" si="15"/>
        <v>#N/A</v>
      </c>
      <c r="O33" s="243"/>
      <c r="P33" s="281">
        <f t="shared" si="16"/>
        <v>-62.653225806451616</v>
      </c>
      <c r="Q33" s="266">
        <f>SUMIFS(BV_Data_An_Prec!$AN:$AN,BV_Data_An_Prec!$AP:$AP,$B33,BV_Data_An_Prec!$AQ:$AQ,$C33,BV_Data_An_Prec!$AR:$AR,Q$2)</f>
        <v>-33018.25</v>
      </c>
      <c r="R33" s="243"/>
      <c r="S33" s="266">
        <f t="shared" si="18"/>
        <v>272799.79000000004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-204.27320224719105</v>
      </c>
      <c r="L36" s="952">
        <f>SUMIFS(BV_Data_An_Cour!$AN:$AN,BV_Data_An_Cour!$AP:$AP,$B36,BV_Data_An_Cour!$AQ:$AQ,$C36,BV_Data_An_Cour!$AR:$AR,L$2)</f>
        <v>-72721.260000000009</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75518.77999999997</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1261.7102247191012</v>
      </c>
      <c r="L37" s="266">
        <f>SUMIFS(BV_Data_An_Cour!$AN:$AN,BV_Data_An_Cour!$AP:$AP,$B37,BV_Data_An_Cour!$AQ:$AQ,$C37,BV_Data_An_Cour!$AR:$AR,L$2)</f>
        <v>449168.84</v>
      </c>
      <c r="M37" s="243"/>
      <c r="N37" s="658" t="e">
        <f t="shared" si="15"/>
        <v>#N/A</v>
      </c>
      <c r="O37" s="243"/>
      <c r="P37" s="281">
        <f t="shared" si="16"/>
        <v>1452.3985009487667</v>
      </c>
      <c r="Q37" s="266">
        <f>SUMIFS(BV_Data_An_Prec!$AN:$AN,BV_Data_An_Prec!$AP:$AP,$B37,BV_Data_An_Prec!$AQ:$AQ,$C37,BV_Data_An_Prec!$AR:$AR,Q$2)</f>
        <v>765414.01</v>
      </c>
      <c r="R37" s="243"/>
      <c r="S37" s="266">
        <f t="shared" si="18"/>
        <v>-316245.17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-0.30841203845588416</v>
      </c>
      <c r="L41" s="294">
        <f>SUM(L31:L40)</f>
        <v>-500761.74000000011</v>
      </c>
      <c r="M41" s="296"/>
      <c r="N41" s="294" t="e">
        <f t="shared" si="15"/>
        <v>#N/A</v>
      </c>
      <c r="O41" s="295" t="s">
        <v>115</v>
      </c>
      <c r="P41" s="293">
        <f>Q41/Q$27</f>
        <v>-0.35012653269640109</v>
      </c>
      <c r="Q41" s="294">
        <f>SUM(Q31:Q40)</f>
        <v>-877938.85999999987</v>
      </c>
      <c r="R41" s="297"/>
      <c r="S41" s="294">
        <f t="shared" si="20"/>
        <v>377177.11999999976</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40137.29</v>
      </c>
      <c r="M44" s="233"/>
      <c r="N44" s="303" t="e">
        <f t="shared" si="15"/>
        <v>#N/A</v>
      </c>
      <c r="O44" s="233"/>
      <c r="P44" s="301"/>
      <c r="Q44" s="281">
        <f>SUMIFS(BV_Data_An_Prec!$AN:$AN,BV_Data_An_Prec!$AP:$AP,$B44,BV_Data_An_Prec!$AQ:$AQ,$C44,BV_Data_An_Prec!$AR:$AR,Q$2)</f>
        <v>26446.33</v>
      </c>
      <c r="R44" s="233"/>
      <c r="S44" s="303">
        <f t="shared" si="21"/>
        <v>13690.96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59170.239999999998</v>
      </c>
      <c r="M49" s="243"/>
      <c r="N49" s="266" t="e">
        <f t="shared" si="15"/>
        <v>#N/A</v>
      </c>
      <c r="O49" s="243"/>
      <c r="P49" s="38"/>
      <c r="Q49" s="286">
        <f>SUMIFS(BV_Data_An_Prec!$AN:$AN,BV_Data_An_Prec!$AP:$AP,$B49,BV_Data_An_Prec!$AQ:$AQ,$C49,BV_Data_An_Prec!$AR:$AR,Q$2)</f>
        <v>96954.97</v>
      </c>
      <c r="R49" s="243"/>
      <c r="S49" s="266">
        <f t="shared" si="21"/>
        <v>-37784.730000000003</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117114.98</v>
      </c>
      <c r="M50" s="233"/>
      <c r="N50" s="303" t="e">
        <f t="shared" si="15"/>
        <v>#N/A</v>
      </c>
      <c r="O50" s="233"/>
      <c r="P50" s="301"/>
      <c r="Q50" s="281">
        <f>SUMIFS(BV_Data_An_Prec!$AN:$AN,BV_Data_An_Prec!$AP:$AP,$B50,BV_Data_An_Prec!$AQ:$AQ,$C50,BV_Data_An_Prec!$AR:$AR,Q$2)</f>
        <v>152045.29999999999</v>
      </c>
      <c r="R50" s="233"/>
      <c r="S50" s="303">
        <f t="shared" si="21"/>
        <v>-34930.319999999992</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0.30984719399386718</v>
      </c>
      <c r="L54" s="294">
        <f>+SUM(L42:L53)</f>
        <v>503091.97</v>
      </c>
      <c r="M54" s="296"/>
      <c r="N54" s="294" t="e">
        <f>+SUM(N42:N53)</f>
        <v>#N/A</v>
      </c>
      <c r="O54" s="295" t="s">
        <v>115</v>
      </c>
      <c r="P54" s="293">
        <f>Q54/Q$27</f>
        <v>0.2549221816908141</v>
      </c>
      <c r="Q54" s="294">
        <f>+SUM(Q42:Q53)</f>
        <v>639214.88000000012</v>
      </c>
      <c r="R54" s="297"/>
      <c r="S54" s="294">
        <f>+SUM(S42:S53)</f>
        <v>-94636.610000000015</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83024.460000000006</v>
      </c>
      <c r="M57" s="238"/>
      <c r="N57" s="286" t="e">
        <f t="shared" si="22"/>
        <v>#N/A</v>
      </c>
      <c r="O57" s="238"/>
      <c r="P57" s="304"/>
      <c r="Q57" s="286">
        <f>SUMIFS(BV_Data_An_Prec!$AN:$AN,BV_Data_An_Prec!$AP:$AP,$B57,BV_Data_An_Prec!$AQ:$AQ,$C57,BV_Data_An_Prec!$AR:$AR,Q$2)</f>
        <v>99842.55</v>
      </c>
      <c r="R57" s="238"/>
      <c r="S57" s="286">
        <f t="shared" si="23"/>
        <v>-16818.089999999997</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27257.03</v>
      </c>
      <c r="M58" s="243"/>
      <c r="N58" s="266" t="e">
        <f t="shared" si="22"/>
        <v>#N/A</v>
      </c>
      <c r="O58" s="243"/>
      <c r="P58" s="38"/>
      <c r="Q58" s="266">
        <f>SUMIFS(BV_Data_An_Prec!$AN:$AN,BV_Data_An_Prec!$AP:$AP,$B58,BV_Data_An_Prec!$AQ:$AQ,$C58,BV_Data_An_Prec!$AR:$AR,Q$2)</f>
        <v>34850.93</v>
      </c>
      <c r="R58" s="243"/>
      <c r="S58" s="266">
        <f t="shared" si="23"/>
        <v>-7593.9000000000015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24005.919999999998</v>
      </c>
      <c r="M59" s="243"/>
      <c r="N59" s="266" t="e">
        <f t="shared" si="22"/>
        <v>#N/A</v>
      </c>
      <c r="O59" s="243"/>
      <c r="P59" s="38"/>
      <c r="Q59" s="266">
        <f>SUMIFS(BV_Data_An_Prec!$AN:$AN,BV_Data_An_Prec!$AP:$AP,$B59,BV_Data_An_Prec!$AQ:$AQ,$C59,BV_Data_An_Prec!$AR:$AR,Q$2)</f>
        <v>31104.739999999998</v>
      </c>
      <c r="R59" s="243"/>
      <c r="S59" s="266">
        <f t="shared" si="23"/>
        <v>-7098.82</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4789.62</v>
      </c>
      <c r="M64" s="243"/>
      <c r="N64" s="266" t="e">
        <f t="shared" si="22"/>
        <v>#N/A</v>
      </c>
      <c r="O64" s="243"/>
      <c r="P64" s="38"/>
      <c r="Q64" s="266">
        <f>SUMIFS(BV_Data_An_Prec!$AN:$AN,BV_Data_An_Prec!$AP:$AP,$B64,BV_Data_An_Prec!$AQ:$AQ,$C64,BV_Data_An_Prec!$AR:$AR,Q$2)</f>
        <v>8583.16</v>
      </c>
      <c r="R64" s="243"/>
      <c r="S64" s="266">
        <f t="shared" si="23"/>
        <v>-3793.54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11390.54</v>
      </c>
      <c r="M68" s="243"/>
      <c r="N68" s="658" t="e">
        <f t="shared" si="22"/>
        <v>#N/A</v>
      </c>
      <c r="O68" s="243"/>
      <c r="P68" s="38"/>
      <c r="Q68" s="266">
        <f>SUMIFS(BV_Data_An_Prec!$AN:$AN,BV_Data_An_Prec!$AP:$AP,$B68,BV_Data_An_Prec!$AQ:$AQ,$C68,BV_Data_An_Prec!$AR:$AR,Q$2)</f>
        <v>2841.99</v>
      </c>
      <c r="R68" s="243"/>
      <c r="S68" s="266">
        <f t="shared" si="23"/>
        <v>8548.5500000000011</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0.16967946599893818</v>
      </c>
      <c r="L72" s="294">
        <f>+SUM(L55:L71)</f>
        <v>275504.76</v>
      </c>
      <c r="M72" s="296"/>
      <c r="N72" s="294" t="e">
        <f>+SUM(N55:N71)</f>
        <v>#N/A</v>
      </c>
      <c r="O72" s="295" t="s">
        <v>115</v>
      </c>
      <c r="P72" s="293">
        <f>Q72/Q$27</f>
        <v>0.11583948624198648</v>
      </c>
      <c r="Q72" s="294">
        <f>+SUM(Q55:Q71)</f>
        <v>290466.38</v>
      </c>
      <c r="R72" s="297"/>
      <c r="S72" s="294">
        <f>+SUM(S55:S71)</f>
        <v>-14961.619999999986</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0.1711146215369212</v>
      </c>
      <c r="L74" s="294">
        <f>L41+L54+L72</f>
        <v>277834.98999999987</v>
      </c>
      <c r="M74" s="296"/>
      <c r="N74" s="294" t="e">
        <f t="shared" ref="N74:N82" si="24">L74-F74</f>
        <v>#N/A</v>
      </c>
      <c r="O74" s="295" t="s">
        <v>115</v>
      </c>
      <c r="P74" s="293">
        <f>Q74/Q$27</f>
        <v>2.0635135236399444E-2</v>
      </c>
      <c r="Q74" s="294">
        <f>Q41+Q54+Q72</f>
        <v>51742.400000000256</v>
      </c>
      <c r="R74" s="297"/>
      <c r="S74" s="294">
        <f>L74-Q74</f>
        <v>226092.58999999962</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0.86242384787256265</v>
      </c>
      <c r="K82" s="307">
        <f>+L82/J24</f>
        <v>602.83426966292132</v>
      </c>
      <c r="L82" s="266">
        <f>-SUMIFS(BV_Data_An_Cour!$AN:$AN,BV_Data_An_Cour!$AP:$AP,$B82,BV_Data_An_Cour!$AQ:$AQ,$C82,BV_Data_An_Cour!$AR:$AR,L$2)</f>
        <v>214609</v>
      </c>
      <c r="M82" s="243"/>
      <c r="N82" s="266" t="e">
        <f t="shared" si="24"/>
        <v>#N/A</v>
      </c>
      <c r="O82" s="744"/>
      <c r="P82" s="307"/>
      <c r="Q82" s="266">
        <f>-SUMIFS(BV_Data_An_Prec!$AN:$AN,BV_Data_An_Prec!$AP:$AP,$B82,BV_Data_An_Prec!$AQ:$AQ,$C82,BV_Data_An_Prec!$AR:$AR,Q$2)</f>
        <v>0</v>
      </c>
      <c r="R82" s="243"/>
      <c r="S82" s="266">
        <f t="shared" si="25"/>
        <v>214609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346117.06</v>
      </c>
      <c r="M83" s="296"/>
      <c r="N83" s="294" t="e">
        <f>+SUM(N75:N82)</f>
        <v>#N/A</v>
      </c>
      <c r="O83" s="295"/>
      <c r="P83" s="293"/>
      <c r="Q83" s="294">
        <f>+SUM(Q75:Q82)</f>
        <v>203730.07</v>
      </c>
      <c r="R83" s="297"/>
      <c r="S83" s="294">
        <f>+SUM(S75:S82)</f>
        <v>214609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1691959.7399999993</v>
      </c>
      <c r="M85" s="958"/>
      <c r="N85" s="956" t="e">
        <f>N27-N41-N54-N72+N83</f>
        <v>#N/A</v>
      </c>
      <c r="O85" s="957"/>
      <c r="P85" s="955"/>
      <c r="Q85" s="956">
        <f>Q27-Q74+Q83</f>
        <v>2659477.8999999953</v>
      </c>
      <c r="R85" s="959"/>
      <c r="S85" s="956">
        <f>L85-Q85</f>
        <v>-967518.15999999596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13996982.859999999</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414.4140350877193</v>
      </c>
      <c r="L118" s="266">
        <f>SUMIFS(BV_Data_An_Cour!$AN:$AN,BV_Data_An_Cour!$AP:$AP,$B118,BV_Data_An_Cour!$AQ:$AQ,$C118,BV_Data_An_Cour!$AR:$AR,$L$2)</f>
        <v>70864.800000000003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41253.43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1257.9766081871346</v>
      </c>
      <c r="L119" s="658">
        <f>SUMIFS(BV_Data_An_Cour!$AN:$AN,BV_Data_An_Cour!$AP:$AP,$B119,BV_Data_An_Cour!$AQ:$AQ,$C119,BV_Data_An_Cour!$AR:$AR,$L$2)</f>
        <v>215114</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32796.660000000003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23492.53</v>
      </c>
      <c r="M131" s="243"/>
      <c r="N131" s="266" t="e">
        <f t="shared" si="44"/>
        <v>#N/A</v>
      </c>
      <c r="O131" s="243"/>
      <c r="P131" s="38"/>
      <c r="Q131" s="266">
        <f>SUMIFS(BV_Data_An_Prec!$AN:$AN,BV_Data_An_Prec!$AP:$AP,$B131,BV_Data_An_Prec!$AQ:$AQ,$C131,BV_Data_An_Prec!$AR:$AR,$L$2)</f>
        <v>8749.76</v>
      </c>
      <c r="R131" s="243"/>
      <c r="S131" s="266">
        <f t="shared" si="45"/>
        <v>14742.769999999999</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31086.5</v>
      </c>
      <c r="M132" s="233"/>
      <c r="N132" s="303" t="e">
        <f t="shared" si="44"/>
        <v>#N/A</v>
      </c>
      <c r="O132" s="233"/>
      <c r="P132" s="301"/>
      <c r="Q132" s="303">
        <f>SUMIFS(BV_Data_An_Prec!$AN:$AN,BV_Data_An_Prec!$AP:$AP,$B132,BV_Data_An_Prec!$AQ:$AQ,$C132,BV_Data_An_Prec!$AR:$AR,$L$2)</f>
        <v>19814.14</v>
      </c>
      <c r="R132" s="233"/>
      <c r="S132" s="303">
        <f t="shared" si="45"/>
        <v>11272.36</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0.42159201326030799</v>
      </c>
      <c r="L136" s="294">
        <f>SUM(L124:L135)</f>
        <v>203435.36000000002</v>
      </c>
      <c r="M136" s="296"/>
      <c r="N136" s="294" t="e">
        <f t="shared" si="44"/>
        <v>#N/A</v>
      </c>
      <c r="O136" s="295" t="s">
        <v>115</v>
      </c>
      <c r="P136" s="293">
        <f>Q136/Q$109</f>
        <v>0.44185234882683061</v>
      </c>
      <c r="Q136" s="294">
        <f>SUM(Q124:Q135)</f>
        <v>205226.85999999996</v>
      </c>
      <c r="R136" s="297"/>
      <c r="S136" s="294">
        <f t="shared" si="45"/>
        <v>-1791.4999999999418</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12223.18</v>
      </c>
      <c r="M140" s="243"/>
      <c r="N140" s="266" t="e">
        <f t="shared" si="44"/>
        <v>#N/A</v>
      </c>
      <c r="O140" s="243"/>
      <c r="P140" s="38"/>
      <c r="Q140" s="266">
        <f>SUMIFS(BV_Data_An_Prec!$AN:$AN,BV_Data_An_Prec!$AP:$AP,$B140,BV_Data_An_Prec!$AQ:$AQ,$C140,BV_Data_An_Prec!$AR:$AR,$L$2)</f>
        <v>15686.1</v>
      </c>
      <c r="R140" s="243"/>
      <c r="S140" s="266">
        <f t="shared" si="45"/>
        <v>-3462.92</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13623.83</v>
      </c>
      <c r="M141" s="243"/>
      <c r="N141" s="266" t="e">
        <f t="shared" si="44"/>
        <v>#N/A</v>
      </c>
      <c r="O141" s="243"/>
      <c r="P141" s="38"/>
      <c r="Q141" s="266">
        <f>SUMIFS(BV_Data_An_Prec!$AN:$AN,BV_Data_An_Prec!$AP:$AP,$B141,BV_Data_An_Prec!$AQ:$AQ,$C141,BV_Data_An_Prec!$AR:$AR,$L$2)</f>
        <v>14868.01</v>
      </c>
      <c r="R141" s="243"/>
      <c r="S141" s="266">
        <f t="shared" si="45"/>
        <v>-1244.1800000000003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2770.74</v>
      </c>
      <c r="M146" s="243"/>
      <c r="N146" s="266" t="e">
        <f t="shared" si="44"/>
        <v>#N/A</v>
      </c>
      <c r="O146" s="243"/>
      <c r="P146" s="38"/>
      <c r="Q146" s="266">
        <f>SUMIFS(BV_Data_An_Prec!$AN:$AN,BV_Data_An_Prec!$AP:$AP,$B146,BV_Data_An_Prec!$AQ:$AQ,$C146,BV_Data_An_Prec!$AR:$AR,$L$2)</f>
        <v>5450.45</v>
      </c>
      <c r="R146" s="243"/>
      <c r="S146" s="266">
        <f t="shared" si="45"/>
        <v>-2679.71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8028.81</v>
      </c>
      <c r="M150" s="243"/>
      <c r="N150" s="658" t="e">
        <f t="shared" si="44"/>
        <v>#N/A</v>
      </c>
      <c r="O150" s="243"/>
      <c r="P150" s="38"/>
      <c r="Q150" s="658">
        <f>SUMIFS(BV_Data_An_Prec!$AN:$AN,BV_Data_An_Prec!$AP:$AP,$B150,BV_Data_An_Prec!$AQ:$AQ,$C150,BV_Data_An_Prec!$AR:$AR,Q$2)</f>
        <v>1921.5</v>
      </c>
      <c r="R150" s="243"/>
      <c r="S150" s="266">
        <f t="shared" si="45"/>
        <v>6107.31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0.28726796030918256</v>
      </c>
      <c r="L154" s="294">
        <f>+SUM(L137:L153)</f>
        <v>138618.52000000002</v>
      </c>
      <c r="M154" s="296"/>
      <c r="N154" s="294" t="e">
        <f t="shared" si="44"/>
        <v>#N/A</v>
      </c>
      <c r="O154" s="295" t="s">
        <v>115</v>
      </c>
      <c r="P154" s="293">
        <f>Q154/Q$109</f>
        <v>0.26439944407953686</v>
      </c>
      <c r="Q154" s="294">
        <f>+SUM(Q137:Q153)</f>
        <v>122805.43000000001</v>
      </c>
      <c r="R154" s="297"/>
      <c r="S154" s="294">
        <f t="shared" si="45"/>
        <v>15813.090000000011</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1.488267241551352</v>
      </c>
      <c r="L156" s="294">
        <f>L123+L136+L154</f>
        <v>718149.71</v>
      </c>
      <c r="M156" s="296"/>
      <c r="N156" s="294" t="e">
        <f t="shared" ref="N156:N163" si="48">L156-F156</f>
        <v>#N/A</v>
      </c>
      <c r="O156" s="295" t="s">
        <v>115</v>
      </c>
      <c r="P156" s="293">
        <f>Q156/Q$109</f>
        <v>1.3843443954489882</v>
      </c>
      <c r="Q156" s="294">
        <f>Q123+Q136+Q154</f>
        <v>642985.5</v>
      </c>
      <c r="R156" s="297"/>
      <c r="S156" s="294">
        <f t="shared" si="45"/>
        <v>75164.209999999963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-174984.53999999995</v>
      </c>
      <c r="M166" s="958"/>
      <c r="N166" s="956" t="e">
        <f>L166-F166</f>
        <v>#N/A</v>
      </c>
      <c r="O166" s="957"/>
      <c r="P166" s="955"/>
      <c r="Q166" s="956">
        <f>Q109-Q156+Q164</f>
        <v>-178516.18000000191</v>
      </c>
      <c r="R166" s="959"/>
      <c r="S166" s="956">
        <f t="shared" si="45"/>
        <v>3531.6400000019639</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70395.070000000007</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15699.05</v>
      </c>
      <c r="M204" s="243"/>
      <c r="N204" s="266" t="e">
        <f t="shared" si="56"/>
        <v>#N/A</v>
      </c>
      <c r="O204" s="243"/>
      <c r="P204" s="38"/>
      <c r="Q204" s="266">
        <f>SUMIFS(BV_Data_An_Prec!$AN:$AN,BV_Data_An_Prec!$AP:$AP,$B204,BV_Data_An_Prec!$AQ:$AQ,$C204,BV_Data_An_Prec!$AR:$AR,$L$2)</f>
        <v>20648.810000000001</v>
      </c>
      <c r="R204" s="243"/>
      <c r="S204" s="266">
        <f t="shared" si="61"/>
        <v>-4949.760000000002</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46412.12</v>
      </c>
      <c r="M205" s="233"/>
      <c r="N205" s="303" t="e">
        <f t="shared" si="56"/>
        <v>#N/A</v>
      </c>
      <c r="O205" s="233"/>
      <c r="P205" s="301"/>
      <c r="Q205" s="303">
        <f>SUMIFS(BV_Data_An_Prec!$AN:$AN,BV_Data_An_Prec!$AP:$AP,$B205,BV_Data_An_Prec!$AQ:$AQ,$C205,BV_Data_An_Prec!$AR:$AR,$L$2)</f>
        <v>30879.29</v>
      </c>
      <c r="R205" s="233"/>
      <c r="S205" s="303">
        <f t="shared" si="61"/>
        <v>15532.830000000002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0.36419274613507846</v>
      </c>
      <c r="L209" s="294">
        <f>SUM(L197:L208)</f>
        <v>175737.87000000005</v>
      </c>
      <c r="M209" s="296"/>
      <c r="N209" s="294" t="e">
        <f t="shared" si="56"/>
        <v>#N/A</v>
      </c>
      <c r="O209" s="295" t="s">
        <v>115</v>
      </c>
      <c r="P209" s="293">
        <f>Q209/Q$109</f>
        <v>1.696815970536016</v>
      </c>
      <c r="Q209" s="294">
        <f>SUM(Q197:Q208)</f>
        <v>788118.96000000008</v>
      </c>
      <c r="R209" s="297"/>
      <c r="S209" s="294">
        <f t="shared" si="61"/>
        <v>-612381.09000000008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1.232584359752521</v>
      </c>
      <c r="L229" s="294">
        <f>L196+L209+L227</f>
        <v>594772.28000000014</v>
      </c>
      <c r="M229" s="296"/>
      <c r="N229" s="294" t="e">
        <f t="shared" ref="N229:N236" si="62">L229-F229</f>
        <v>#N/A</v>
      </c>
      <c r="O229" s="295" t="s">
        <v>115</v>
      </c>
      <c r="P229" s="293">
        <f>Q229/Q$109</f>
        <v>2.0682351850494758</v>
      </c>
      <c r="Q229" s="294">
        <f>Q196+Q209+Q227</f>
        <v>960631.79000000015</v>
      </c>
      <c r="R229" s="297"/>
      <c r="S229" s="294">
        <f t="shared" ref="S229:S236" si="63">L229-Q229</f>
        <v>-365859.51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551799.54000000202</v>
      </c>
      <c r="M239" s="958"/>
      <c r="N239" s="956" t="e">
        <f>L239-F239</f>
        <v>#REF!</v>
      </c>
      <c r="O239" s="957"/>
      <c r="P239" s="955"/>
      <c r="Q239" s="956">
        <f>Q182-Q229+Q237</f>
        <v>187462.42999999865</v>
      </c>
      <c r="R239" s="959"/>
      <c r="S239" s="956">
        <f>L239-Q239</f>
        <v>364337.11000000336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78690.13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4521.2000000000116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94653.08</v>
      </c>
      <c r="M274" s="233"/>
      <c r="N274" s="303" t="e">
        <f t="shared" si="73"/>
        <v>#N/A</v>
      </c>
      <c r="O274" s="233"/>
      <c r="P274" s="301"/>
      <c r="Q274" s="303">
        <f>SUMIFS(BV_Data_An_Prec!$AN:$AN,BV_Data_An_Prec!$AP:$AP,$B274,BV_Data_An_Prec!$AQ:$AQ,$C274,BV_Data_An_Prec!$AR:$AR,$L$2)</f>
        <v>224220.79999999999</v>
      </c>
      <c r="R274" s="233"/>
      <c r="S274" s="303">
        <f t="shared" si="74"/>
        <v>-129567.71999999999</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105940.87</v>
      </c>
      <c r="M279" s="243"/>
      <c r="N279" s="266" t="e">
        <f t="shared" si="73"/>
        <v>#N/A</v>
      </c>
      <c r="O279" s="243"/>
      <c r="P279" s="38"/>
      <c r="Q279" s="266">
        <f>SUMIFS(BV_Data_An_Prec!$AN:$AN,BV_Data_An_Prec!$AP:$AP,$B279,BV_Data_An_Prec!$AQ:$AQ,$C279,BV_Data_An_Prec!$AR:$AR,$L$2)</f>
        <v>128310.71</v>
      </c>
      <c r="R279" s="243"/>
      <c r="S279" s="266">
        <f t="shared" si="74"/>
        <v>-22369.840000000011</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140540.87</v>
      </c>
      <c r="M280" s="233"/>
      <c r="N280" s="303" t="e">
        <f t="shared" si="73"/>
        <v>#N/A</v>
      </c>
      <c r="O280" s="233"/>
      <c r="P280" s="301"/>
      <c r="Q280" s="303">
        <f>SUMIFS(BV_Data_An_Prec!$AN:$AN,BV_Data_An_Prec!$AP:$AP,$B280,BV_Data_An_Prec!$AQ:$AQ,$C280,BV_Data_An_Prec!$AR:$AR,$L$2)</f>
        <v>142421.76999999999</v>
      </c>
      <c r="R280" s="233"/>
      <c r="S280" s="303">
        <f t="shared" si="74"/>
        <v>-1880.8999999999942</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56264.3</v>
      </c>
      <c r="M281" s="243"/>
      <c r="N281" s="266" t="e">
        <f t="shared" si="73"/>
        <v>#N/A</v>
      </c>
      <c r="O281" s="243"/>
      <c r="P281" s="38"/>
      <c r="Q281" s="266">
        <f>SUMIFS(BV_Data_An_Prec!$AN:$AN,BV_Data_An_Prec!$AP:$AP,$B281,BV_Data_An_Prec!$AQ:$AQ,$C281,BV_Data_An_Prec!$AR:$AR,$L$2)</f>
        <v>84659.79</v>
      </c>
      <c r="R281" s="243"/>
      <c r="S281" s="266">
        <f t="shared" si="74"/>
        <v>-28395.489999999991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0.66107293122159949</v>
      </c>
      <c r="L284" s="294">
        <f>+SUM(L272:L283)</f>
        <v>717864.14000000013</v>
      </c>
      <c r="M284" s="296"/>
      <c r="N284" s="294" t="e">
        <f t="shared" si="73"/>
        <v>#N/A</v>
      </c>
      <c r="O284" s="295" t="s">
        <v>171</v>
      </c>
      <c r="P284" s="293">
        <f>Q284/Q$268</f>
        <v>0.6711981287372677</v>
      </c>
      <c r="Q284" s="294">
        <f>+SUM(Q272:Q283)</f>
        <v>864840.93</v>
      </c>
      <c r="R284" s="297"/>
      <c r="S284" s="294">
        <f t="shared" si="74"/>
        <v>-146976.78999999992</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23887.06</v>
      </c>
      <c r="M288" s="243"/>
      <c r="N288" s="266" t="e">
        <f t="shared" si="73"/>
        <v>#N/A</v>
      </c>
      <c r="O288" s="243"/>
      <c r="P288" s="38"/>
      <c r="Q288" s="303">
        <f>SUMIFS(BV_Data_An_Prec!$AN:$AN,BV_Data_An_Prec!$AP:$AP,$B288,BV_Data_An_Prec!$AQ:$AQ,$C288,BV_Data_An_Prec!$AR:$AR,$L$2)</f>
        <v>20761.61</v>
      </c>
      <c r="R288" s="243"/>
      <c r="S288" s="266">
        <f t="shared" si="74"/>
        <v>3125.4500000000007</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20730.259999999998</v>
      </c>
      <c r="M289" s="243"/>
      <c r="N289" s="266" t="e">
        <f t="shared" si="73"/>
        <v>#N/A</v>
      </c>
      <c r="O289" s="243"/>
      <c r="P289" s="38"/>
      <c r="Q289" s="266">
        <f>SUMIFS(BV_Data_An_Prec!$AN:$AN,BV_Data_An_Prec!$AP:$AP,$B289,BV_Data_An_Prec!$AQ:$AQ,$C289,BV_Data_An_Prec!$AR:$AR,$L$2)</f>
        <v>22698.38</v>
      </c>
      <c r="R289" s="243"/>
      <c r="S289" s="266">
        <f t="shared" si="74"/>
        <v>-1968.1200000000026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1307.99</v>
      </c>
      <c r="M293" s="243"/>
      <c r="N293" s="266" t="e">
        <f t="shared" si="73"/>
        <v>#N/A</v>
      </c>
      <c r="O293" s="243"/>
      <c r="P293" s="38"/>
      <c r="Q293" s="266">
        <f>SUMIFS(BV_Data_An_Prec!$AN:$AN,BV_Data_An_Prec!$AP:$AP,$B293,BV_Data_An_Prec!$AQ:$AQ,$C293,BV_Data_An_Prec!$AR:$AR,$L$2)</f>
        <v>0</v>
      </c>
      <c r="R293" s="243"/>
      <c r="S293" s="266">
        <f t="shared" si="74"/>
        <v>1307.99</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4510.99</v>
      </c>
      <c r="M295" s="243"/>
      <c r="N295" s="266" t="e">
        <f t="shared" si="73"/>
        <v>#N/A</v>
      </c>
      <c r="O295" s="243"/>
      <c r="P295" s="38"/>
      <c r="Q295" s="266">
        <f>SUMIFS(BV_Data_An_Prec!$AN:$AN,BV_Data_An_Prec!$AP:$AP,$B295,BV_Data_An_Prec!$AQ:$AQ,$C295,BV_Data_An_Prec!$AR:$AR,$L$2)</f>
        <v>9140.57</v>
      </c>
      <c r="R295" s="243"/>
      <c r="S295" s="266">
        <f t="shared" si="74"/>
        <v>-4629.58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11388.99</v>
      </c>
      <c r="M299" s="243"/>
      <c r="N299" s="266" t="e">
        <f t="shared" si="73"/>
        <v>#N/A</v>
      </c>
      <c r="O299" s="243"/>
      <c r="P299" s="38"/>
      <c r="Q299" s="266">
        <f>SUMIFS(BV_Data_An_Prec!$AN:$AN,BV_Data_An_Prec!$AP:$AP,$B299,BV_Data_An_Prec!$AQ:$AQ,$C299,BV_Data_An_Prec!$AR:$AR,Q$2)</f>
        <v>2810.71</v>
      </c>
      <c r="R299" s="243"/>
      <c r="S299" s="266">
        <f t="shared" si="74"/>
        <v>8578.2799999999988</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0.31029996538471688</v>
      </c>
      <c r="L303" s="294">
        <f>+SUM(L285:L302)</f>
        <v>336957.1</v>
      </c>
      <c r="M303" s="296"/>
      <c r="N303" s="294" t="e">
        <f t="shared" si="73"/>
        <v>#N/A</v>
      </c>
      <c r="O303" s="295" t="s">
        <v>171</v>
      </c>
      <c r="P303" s="293">
        <f>Q303/Q$268</f>
        <v>0.15804712908782168</v>
      </c>
      <c r="Q303" s="294">
        <f>+SUM(Q285:Q302)</f>
        <v>203644.23</v>
      </c>
      <c r="R303" s="297"/>
      <c r="S303" s="294">
        <f t="shared" si="74"/>
        <v>133312.86999999997</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0.97137289660631643</v>
      </c>
      <c r="L305" s="294">
        <f>L284+L303</f>
        <v>1054821.2400000002</v>
      </c>
      <c r="M305" s="296"/>
      <c r="N305" s="294" t="e">
        <f>L305-F305</f>
        <v>#N/A</v>
      </c>
      <c r="O305" s="295" t="s">
        <v>115</v>
      </c>
      <c r="P305" s="293">
        <f>Q305/Q$268</f>
        <v>0.8292452578250894</v>
      </c>
      <c r="Q305" s="294">
        <f>Q284+Q303</f>
        <v>1068485.1600000001</v>
      </c>
      <c r="R305" s="297"/>
      <c r="S305" s="294">
        <f>L305-Q305</f>
        <v>-13663.919999999925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31086.389999999898</v>
      </c>
      <c r="M307" s="958"/>
      <c r="N307" s="956" t="e">
        <f>L307-F307</f>
        <v>#N/A</v>
      </c>
      <c r="O307" s="957"/>
      <c r="P307" s="955"/>
      <c r="Q307" s="956">
        <f>Q268-Q305</f>
        <v>220018.0299999998</v>
      </c>
      <c r="R307" s="959"/>
      <c r="S307" s="956">
        <f>L307-Q307</f>
        <v>-188931.6399999999</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f>SUMIFS(BV_Data_An_Prec!$AN:$AN,BV_Data_An_Prec!$AP:$AP,$B330,BV_Data_An_Prec!$AQ:$AQ,$C330,BV_Data_An_Prec!$AR:$AR,$L$2)</f>
        <v>73347.56</v>
      </c>
      <c r="R330" s="243"/>
      <c r="S330" s="266">
        <f t="shared" ref="S330:S361" si="80">L330-Q330</f>
        <v>2360.6399999999994</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f>SUMIFS(BV_Data_An_Prec!$AN:$AN,BV_Data_An_Prec!$AP:$AP,$B331,BV_Data_An_Prec!$AQ:$AQ,$C331,BV_Data_An_Prec!$AR:$AR,$L$2)</f>
        <v>59037.86</v>
      </c>
      <c r="R331" s="243"/>
      <c r="S331" s="266">
        <f t="shared" si="80"/>
        <v>-6964.2900000000009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f>SUMIFS(BV_Data_An_Prec!$AN:$AN,BV_Data_An_Prec!$AP:$AP,$B332,BV_Data_An_Prec!$AQ:$AQ,$C332,BV_Data_An_Prec!$AR:$AR,$L$2)</f>
        <v>76</v>
      </c>
      <c r="R332" s="233"/>
      <c r="S332" s="303">
        <f t="shared" si="80"/>
        <v>3683.42</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34377.56</v>
      </c>
      <c r="M337" s="243"/>
      <c r="N337" s="266" t="e">
        <f t="shared" si="79"/>
        <v>#N/A</v>
      </c>
      <c r="O337" s="243"/>
      <c r="P337" s="38"/>
      <c r="Q337" s="266">
        <f>SUMIFS(BV_Data_An_Prec!$AN:$AN,BV_Data_An_Prec!$AP:$AP,$B337,BV_Data_An_Prec!$AQ:$AQ,$C337,BV_Data_An_Prec!$AR:$AR,$L$2)</f>
        <v>26397.119999999999</v>
      </c>
      <c r="R337" s="243"/>
      <c r="S337" s="266">
        <f t="shared" si="80"/>
        <v>7980.4399999999987</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45409.32</v>
      </c>
      <c r="M338" s="233"/>
      <c r="N338" s="303" t="e">
        <f t="shared" si="79"/>
        <v>#N/A</v>
      </c>
      <c r="O338" s="233"/>
      <c r="P338" s="301"/>
      <c r="Q338" s="303">
        <f>SUMIFS(BV_Data_An_Prec!$AN:$AN,BV_Data_An_Prec!$AP:$AP,$B338,BV_Data_An_Prec!$AQ:$AQ,$C338,BV_Data_An_Prec!$AR:$AR,$L$2)</f>
        <v>34080.07</v>
      </c>
      <c r="R338" s="233"/>
      <c r="S338" s="303">
        <f t="shared" si="80"/>
        <v>11329.25</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14244.46</v>
      </c>
      <c r="M339" s="243"/>
      <c r="N339" s="266" t="e">
        <f t="shared" si="79"/>
        <v>#N/A</v>
      </c>
      <c r="O339" s="243"/>
      <c r="P339" s="38"/>
      <c r="Q339" s="266">
        <f>SUMIFS(BV_Data_An_Prec!$AN:$AN,BV_Data_An_Prec!$AP:$AP,$B339,BV_Data_An_Prec!$AQ:$AQ,$C339,BV_Data_An_Prec!$AR:$AR,$L$2)</f>
        <v>21136.63</v>
      </c>
      <c r="R339" s="243"/>
      <c r="S339" s="266">
        <f t="shared" si="80"/>
        <v>-6892.1700000000019</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f>SUMIFS(BV_Data_An_Prec!$AN:$AN,BV_Data_An_Prec!$AP:$AP,$B340,BV_Data_An_Prec!$AQ:$AQ,$C340,BV_Data_An_Prec!$AR:$AR,$L$2)</f>
        <v>294.68</v>
      </c>
      <c r="R340" s="243"/>
      <c r="S340" s="266">
        <f t="shared" si="80"/>
        <v>7710.19</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11.345471960955368</v>
      </c>
      <c r="L342" s="294">
        <f>+SUM(L330:L341)</f>
        <v>233577.4</v>
      </c>
      <c r="M342" s="296"/>
      <c r="N342" s="294" t="e">
        <f t="shared" si="79"/>
        <v>#N/A</v>
      </c>
      <c r="O342" s="295" t="s">
        <v>115</v>
      </c>
      <c r="P342" s="293">
        <f>Q342/Q$318</f>
        <v>7.8136503651680993</v>
      </c>
      <c r="Q342" s="294">
        <f>+SUM(Q330:Q341)</f>
        <v>214369.91999999998</v>
      </c>
      <c r="R342" s="297"/>
      <c r="S342" s="294">
        <f t="shared" si="80"/>
        <v>19207.48000000001</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f>SUMIFS(BV_Data_An_Prec!$AN:$AN,BV_Data_An_Prec!$AP:$AP,$B343,BV_Data_An_Prec!$AQ:$AQ,$C343,BV_Data_An_Prec!$AR:$AR,$L$2)</f>
        <v>2619.56</v>
      </c>
      <c r="R343" s="243"/>
      <c r="S343" s="266">
        <f t="shared" si="80"/>
        <v>6301.27</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f>SUMIFS(BV_Data_An_Prec!$AN:$AN,BV_Data_An_Prec!$AP:$AP,$B344,BV_Data_An_Prec!$AQ:$AQ,$C344,BV_Data_An_Prec!$AR:$AR,$L$2)</f>
        <v>12302.69</v>
      </c>
      <c r="R344" s="243"/>
      <c r="S344" s="266">
        <f t="shared" si="80"/>
        <v>-934.34000000000015</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11805.57</v>
      </c>
      <c r="M345" s="238"/>
      <c r="N345" s="286" t="e">
        <f t="shared" si="79"/>
        <v>#N/A</v>
      </c>
      <c r="O345" s="238"/>
      <c r="P345" s="304"/>
      <c r="Q345" s="266">
        <f>SUMIFS(BV_Data_An_Prec!$AN:$AN,BV_Data_An_Prec!$AP:$AP,$B345,BV_Data_An_Prec!$AQ:$AQ,$C345,BV_Data_An_Prec!$AR:$AR,$L$2)</f>
        <v>-3367.880000000001</v>
      </c>
      <c r="R345" s="238"/>
      <c r="S345" s="286">
        <f t="shared" si="80"/>
        <v>15173.45</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16390.080000000002</v>
      </c>
      <c r="M346" s="243"/>
      <c r="N346" s="266" t="e">
        <f t="shared" si="79"/>
        <v>#N/A</v>
      </c>
      <c r="O346" s="243"/>
      <c r="P346" s="38"/>
      <c r="Q346" s="303">
        <f>SUMIFS(BV_Data_An_Prec!$AN:$AN,BV_Data_An_Prec!$AP:$AP,$B346,BV_Data_An_Prec!$AQ:$AQ,$C346,BV_Data_An_Prec!$AR:$AR,$L$2)</f>
        <v>12648.07</v>
      </c>
      <c r="R346" s="243"/>
      <c r="S346" s="266">
        <f t="shared" si="80"/>
        <v>3742.010000000002</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6811.93</v>
      </c>
      <c r="M347" s="243"/>
      <c r="N347" s="266" t="e">
        <f t="shared" si="79"/>
        <v>#N/A</v>
      </c>
      <c r="O347" s="243"/>
      <c r="P347" s="38"/>
      <c r="Q347" s="266">
        <f>SUMIFS(BV_Data_An_Prec!$AN:$AN,BV_Data_An_Prec!$AP:$AP,$B347,BV_Data_An_Prec!$AQ:$AQ,$C347,BV_Data_An_Prec!$AR:$AR,$L$2)</f>
        <v>7238.64</v>
      </c>
      <c r="R347" s="243"/>
      <c r="S347" s="266">
        <f t="shared" si="80"/>
        <v>-426.71000000000004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f>SUMIFS(BV_Data_An_Prec!$AN:$AN,BV_Data_An_Prec!$AP:$AP,$B348,BV_Data_An_Prec!$AQ:$AQ,$C348,BV_Data_An_Prec!$AR:$AR,$L$2)</f>
        <v>38621.85</v>
      </c>
      <c r="R348" s="238"/>
      <c r="S348" s="286">
        <f t="shared" si="80"/>
        <v>-11887.879999999997</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85396.41</v>
      </c>
      <c r="M350" s="243"/>
      <c r="N350" s="266" t="e">
        <f t="shared" si="79"/>
        <v>#N/A</v>
      </c>
      <c r="O350" s="243"/>
      <c r="P350" s="38"/>
      <c r="Q350" s="266">
        <f>SUMIFS(BV_Data_An_Prec!$AN:$AN,BV_Data_An_Prec!$AP:$AP,$B350,BV_Data_An_Prec!$AQ:$AQ,$C350,BV_Data_An_Prec!$AR:$AR,$L$2)</f>
        <v>23481.94</v>
      </c>
      <c r="R350" s="243"/>
      <c r="S350" s="266">
        <f t="shared" si="80"/>
        <v>61914.47</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438.31</v>
      </c>
      <c r="M351" s="243"/>
      <c r="N351" s="266" t="e">
        <f t="shared" si="79"/>
        <v>#N/A</v>
      </c>
      <c r="O351" s="243"/>
      <c r="P351" s="38"/>
      <c r="Q351" s="266">
        <f>SUMIFS(BV_Data_An_Prec!$AN:$AN,BV_Data_An_Prec!$AP:$AP,$B351,BV_Data_An_Prec!$AQ:$AQ,$C351,BV_Data_An_Prec!$AR:$AR,$L$2)</f>
        <v>0</v>
      </c>
      <c r="R351" s="243"/>
      <c r="S351" s="266">
        <f t="shared" si="80"/>
        <v>438.31</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f>SUMIFS(BV_Data_An_Prec!$AN:$AN,BV_Data_An_Prec!$AP:$AP,$B352,BV_Data_An_Prec!$AQ:$AQ,$C352,BV_Data_An_Prec!$AR:$AR,$L$2)</f>
        <v>4220.62</v>
      </c>
      <c r="R352" s="243"/>
      <c r="S352" s="266">
        <f t="shared" si="80"/>
        <v>-919.48999999999978</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1385.39</v>
      </c>
      <c r="M353" s="243"/>
      <c r="N353" s="266" t="e">
        <f t="shared" si="79"/>
        <v>#N/A</v>
      </c>
      <c r="O353" s="243"/>
      <c r="P353" s="38"/>
      <c r="Q353" s="266">
        <f>SUMIFS(BV_Data_An_Prec!$AN:$AN,BV_Data_An_Prec!$AP:$AP,$B353,BV_Data_An_Prec!$AQ:$AQ,$C353,BV_Data_An_Prec!$AR:$AR,$L$2)</f>
        <v>2725.23</v>
      </c>
      <c r="R353" s="243"/>
      <c r="S353" s="266">
        <f t="shared" si="80"/>
        <v>-1339.84</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f>SUMIFS(BV_Data_An_Prec!$AN:$AN,BV_Data_An_Prec!$AP:$AP,$B354,BV_Data_An_Prec!$AQ:$AQ,$C354,BV_Data_An_Prec!$AR:$AR,$L$2)</f>
        <v>2000.08</v>
      </c>
      <c r="R354" s="243"/>
      <c r="S354" s="266">
        <f t="shared" si="80"/>
        <v>1054.3899999999999</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f>SUMIFS(BV_Data_An_Prec!$AN:$AN,BV_Data_An_Prec!$AP:$AP,$B355,BV_Data_An_Prec!$AQ:$AQ,$C355,BV_Data_An_Prec!$AR:$AR,$L$2)</f>
        <v>15074.16</v>
      </c>
      <c r="R355" s="243"/>
      <c r="S355" s="266">
        <f t="shared" si="80"/>
        <v>-907.6299999999992</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1310.4000000000001</v>
      </c>
      <c r="R356" s="243"/>
      <c r="S356" s="266">
        <f t="shared" si="80"/>
        <v>106.80999999999995</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3736.2</v>
      </c>
      <c r="M357" s="243"/>
      <c r="N357" s="266" t="e">
        <f t="shared" si="79"/>
        <v>#N/A</v>
      </c>
      <c r="O357" s="243"/>
      <c r="P357" s="38"/>
      <c r="Q357" s="266">
        <f>SUMIFS(BV_Data_An_Prec!$AN:$AN,BV_Data_An_Prec!$AP:$AP,$B357,BV_Data_An_Prec!$AQ:$AQ,$C357,BV_Data_An_Prec!$AR:$AR,$L$2)</f>
        <v>881.99</v>
      </c>
      <c r="R357" s="243"/>
      <c r="S357" s="266">
        <f t="shared" si="80"/>
        <v>2854.21</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f>SUMIFS(BV_Data_An_Prec!$AN:$AN,BV_Data_An_Prec!$AP:$AP,$B358,BV_Data_An_Prec!$AQ:$AQ,$C358,BV_Data_An_Prec!$AR:$AR,$L$2)</f>
        <v>0</v>
      </c>
      <c r="R358" s="243"/>
      <c r="S358" s="266">
        <f t="shared" si="80"/>
        <v>11870.98</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0.46716320333470246</v>
      </c>
      <c r="L361" s="294">
        <f>+SUM(L343:L360)</f>
        <v>206797.36000000004</v>
      </c>
      <c r="M361" s="296"/>
      <c r="N361" s="294" t="e">
        <f>+SUM(N343:N360)</f>
        <v>#N/A</v>
      </c>
      <c r="O361" s="295" t="s">
        <v>115</v>
      </c>
      <c r="P361" s="293">
        <f>IF(Q326=0,0,Q361/Q$326)</f>
        <v>0.23114917556417344</v>
      </c>
      <c r="Q361" s="294">
        <f>+SUM(Q343:Q360)</f>
        <v>119757.34999999999</v>
      </c>
      <c r="R361" s="297"/>
      <c r="S361" s="294">
        <f t="shared" si="80"/>
        <v>87040.010000000053</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21.390166565311755</v>
      </c>
      <c r="L363" s="294">
        <f>L342+L361</f>
        <v>440374.76</v>
      </c>
      <c r="M363" s="296"/>
      <c r="N363" s="294" t="e">
        <f>L363-F363</f>
        <v>#N/A</v>
      </c>
      <c r="O363" s="295" t="s">
        <v>115</v>
      </c>
      <c r="P363" s="293">
        <f>Q363/Q$326</f>
        <v>0.64491442900171037</v>
      </c>
      <c r="Q363" s="294">
        <f>Q342+Q361</f>
        <v>334127.26999999996</v>
      </c>
      <c r="R363" s="297"/>
      <c r="S363" s="294">
        <f>L363-Q363</f>
        <v>106247.49000000005</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108414.59999999998</v>
      </c>
      <c r="M365" s="958"/>
      <c r="N365" s="956" t="e">
        <f>L365-F365</f>
        <v>#N/A</v>
      </c>
      <c r="O365" s="957"/>
      <c r="P365" s="955"/>
      <c r="Q365" s="956">
        <f>Q326-Q363</f>
        <v>183968.24000000011</v>
      </c>
      <c r="R365" s="959"/>
      <c r="S365" s="956">
        <f>L365-Q365</f>
        <v>-75553.64000000013</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24814.35</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-2496.0200000000004</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146709.35999999999</v>
      </c>
      <c r="M396" s="233"/>
      <c r="N396" s="262" t="e">
        <f t="shared" si="103"/>
        <v>#N/A</v>
      </c>
      <c r="O396" s="233"/>
      <c r="P396" s="301"/>
      <c r="Q396" s="303">
        <f>SUMIFS(BV_Data_An_Prec!$AN:$AN,BV_Data_An_Prec!$AP:$AP,$B396,BV_Data_An_Prec!$AQ:$AQ,$C396,BV_Data_An_Prec!$AR:$AR,$L$2)</f>
        <v>133489.10999999999</v>
      </c>
      <c r="R396" s="233"/>
      <c r="S396" s="303">
        <f t="shared" si="104"/>
        <v>13220.25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20299.79</v>
      </c>
      <c r="M401" s="243"/>
      <c r="N401" s="246" t="e">
        <f t="shared" si="103"/>
        <v>#N/A</v>
      </c>
      <c r="O401" s="243"/>
      <c r="P401" s="38"/>
      <c r="Q401" s="266">
        <f>SUMIFS(BV_Data_An_Prec!$AN:$AN,BV_Data_An_Prec!$AP:$AP,$B401,BV_Data_An_Prec!$AQ:$AQ,$C401,BV_Data_An_Prec!$AR:$AR,$L$2)</f>
        <v>17739.57</v>
      </c>
      <c r="R401" s="243"/>
      <c r="S401" s="266">
        <f t="shared" si="104"/>
        <v>2560.2200000000012</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26548.43</v>
      </c>
      <c r="M402" s="233"/>
      <c r="N402" s="262" t="e">
        <f t="shared" si="103"/>
        <v>#N/A</v>
      </c>
      <c r="O402" s="233"/>
      <c r="P402" s="301"/>
      <c r="Q402" s="303">
        <f>SUMIFS(BV_Data_An_Prec!$AN:$AN,BV_Data_An_Prec!$AP:$AP,$B402,BV_Data_An_Prec!$AQ:$AQ,$C402,BV_Data_An_Prec!$AR:$AR,$L$2)</f>
        <v>24797.1</v>
      </c>
      <c r="R402" s="233"/>
      <c r="S402" s="303">
        <f t="shared" si="104"/>
        <v>1751.3300000000017</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7548.31</v>
      </c>
      <c r="M404" s="243"/>
      <c r="N404" s="246" t="e">
        <f t="shared" si="103"/>
        <v>#N/A</v>
      </c>
      <c r="O404" s="243"/>
      <c r="P404" s="38"/>
      <c r="Q404" s="266">
        <f>SUMIFS(BV_Data_An_Prec!$AN:$AN,BV_Data_An_Prec!$AP:$AP,$B404,BV_Data_An_Prec!$AQ:$AQ,$C404,BV_Data_An_Prec!$AR:$AR,$L$2)</f>
        <v>1666.01</v>
      </c>
      <c r="R404" s="243"/>
      <c r="S404" s="266">
        <f t="shared" si="104"/>
        <v>5882.3</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0.32477286617975787</v>
      </c>
      <c r="L406" s="294">
        <f>+SUM(L394:L405)</f>
        <v>255374.51999999996</v>
      </c>
      <c r="M406" s="296"/>
      <c r="N406" s="294" t="e">
        <f t="shared" si="103"/>
        <v>#N/A</v>
      </c>
      <c r="O406" s="295" t="s">
        <v>115</v>
      </c>
      <c r="P406" s="293">
        <f>Q406/Q$390</f>
        <v>0.30384264449491177</v>
      </c>
      <c r="Q406" s="294">
        <f>+SUM(Q394:Q405)</f>
        <v>235899.54</v>
      </c>
      <c r="R406" s="297"/>
      <c r="S406" s="294">
        <f t="shared" si="104"/>
        <v>19474.979999999952</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16040.27</v>
      </c>
      <c r="M410" s="243"/>
      <c r="N410" s="266" t="e">
        <f t="shared" si="103"/>
        <v>#N/A</v>
      </c>
      <c r="O410" s="243"/>
      <c r="P410" s="38"/>
      <c r="Q410" s="266">
        <f>SUMIFS(BV_Data_An_Prec!$AN:$AN,BV_Data_An_Prec!$AP:$AP,$B410,BV_Data_An_Prec!$AQ:$AQ,$C410,BV_Data_An_Prec!$AR:$AR,$L$2)</f>
        <v>13687.55</v>
      </c>
      <c r="R410" s="243"/>
      <c r="S410" s="266">
        <f t="shared" si="104"/>
        <v>2352.7200000000012</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6936.6699999999992</v>
      </c>
      <c r="M411" s="243"/>
      <c r="N411" s="266" t="e">
        <f t="shared" si="103"/>
        <v>#N/A</v>
      </c>
      <c r="O411" s="243"/>
      <c r="P411" s="38"/>
      <c r="Q411" s="266">
        <f>SUMIFS(BV_Data_An_Prec!$AN:$AN,BV_Data_An_Prec!$AP:$AP,$B411,BV_Data_An_Prec!$AQ:$AQ,$C411,BV_Data_An_Prec!$AR:$AR,$L$2)</f>
        <v>8316.43</v>
      </c>
      <c r="R411" s="243"/>
      <c r="S411" s="266">
        <f t="shared" si="104"/>
        <v>-1379.7600000000011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1385.3</v>
      </c>
      <c r="M417" s="243"/>
      <c r="N417" s="266" t="e">
        <f t="shared" si="103"/>
        <v>#N/A</v>
      </c>
      <c r="O417" s="243"/>
      <c r="P417" s="38"/>
      <c r="Q417" s="266">
        <f>SUMIFS(BV_Data_An_Prec!$AN:$AN,BV_Data_An_Prec!$AP:$AP,$B417,BV_Data_An_Prec!$AQ:$AQ,$C417,BV_Data_An_Prec!$AR:$AR,$L$2)</f>
        <v>2795.17</v>
      </c>
      <c r="R417" s="243"/>
      <c r="S417" s="266">
        <f t="shared" si="104"/>
        <v>-1409.8700000000001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3736.09</v>
      </c>
      <c r="M421" s="243"/>
      <c r="N421" s="266" t="e">
        <f t="shared" si="103"/>
        <v>#N/A</v>
      </c>
      <c r="O421" s="243"/>
      <c r="P421" s="38"/>
      <c r="Q421" s="266">
        <f>SUMIFS(BV_Data_An_Prec!$AN:$AN,BV_Data_An_Prec!$AP:$AP,$B421,BV_Data_An_Prec!$AQ:$AQ,$C421,BV_Data_An_Prec!$AR:$AR,Q$2)</f>
        <v>882</v>
      </c>
      <c r="R421" s="243"/>
      <c r="S421" s="266">
        <f t="shared" si="104"/>
        <v>2854.09</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0.1270347495474759</v>
      </c>
      <c r="L425" s="294">
        <f>+SUM(L407:L424)</f>
        <v>99889.62000000001</v>
      </c>
      <c r="M425" s="296"/>
      <c r="N425" s="294" t="e">
        <f>+SUM(N407:N424)</f>
        <v>#N/A</v>
      </c>
      <c r="O425" s="295" t="s">
        <v>115</v>
      </c>
      <c r="P425" s="293">
        <f>Q425/Q$390</f>
        <v>0.13668085975657507</v>
      </c>
      <c r="Q425" s="294">
        <f>+SUM(Q407:Q424)</f>
        <v>106117.27</v>
      </c>
      <c r="R425" s="297"/>
      <c r="S425" s="294">
        <f>+SUM(S407:S424)</f>
        <v>-6227.6500000000051</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0.45180761572723377</v>
      </c>
      <c r="L427" s="294">
        <f>L406+L425</f>
        <v>355264.13999999996</v>
      </c>
      <c r="M427" s="296"/>
      <c r="N427" s="294" t="e">
        <f>L427-F427</f>
        <v>#N/A</v>
      </c>
      <c r="O427" s="295" t="s">
        <v>115</v>
      </c>
      <c r="P427" s="293">
        <f>Q427/Q$390</f>
        <v>0.44052350425148684</v>
      </c>
      <c r="Q427" s="294">
        <f>Q406+Q425</f>
        <v>342016.81</v>
      </c>
      <c r="R427" s="297"/>
      <c r="S427" s="294">
        <f>L427-Q427</f>
        <v>13247.329999999958</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431053.15000000031</v>
      </c>
      <c r="M429" s="958"/>
      <c r="N429" s="956" t="e">
        <f>L429-F429</f>
        <v>#N/A</v>
      </c>
      <c r="O429" s="957"/>
      <c r="P429" s="955"/>
      <c r="Q429" s="956">
        <f>Q390-Q427</f>
        <v>434370.39000000007</v>
      </c>
      <c r="R429" s="959"/>
      <c r="S429" s="956">
        <f>L429-Q429</f>
        <v>-3317.2399999997579</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f>SUMIFS(BV_Data_An_Prec!$AN:$AN,BV_Data_An_Prec!$AP:$AP,$B453,BV_Data_An_Prec!$AQ:$AQ,$C453,BV_Data_An_Prec!$AR:$AR,$L$2)</f>
        <v>0</v>
      </c>
      <c r="R453" s="243"/>
      <c r="S453" s="266">
        <f t="shared" si="106"/>
        <v>28816.95</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f>SUMIFS(BV_Data_An_Prec!$AN:$AN,BV_Data_An_Prec!$AP:$AP,$B454,BV_Data_An_Prec!$AQ:$AQ,$C454,BV_Data_An_Prec!$AR:$AR,$L$2)</f>
        <v>0</v>
      </c>
      <c r="R454" s="233"/>
      <c r="S454" s="303">
        <f t="shared" si="106"/>
        <v>2021.34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13864.55</v>
      </c>
      <c r="M459" s="243"/>
      <c r="N459" s="266"/>
      <c r="O459" s="243"/>
      <c r="P459" s="38"/>
      <c r="Q459" s="286">
        <f>SUMIFS(BV_Data_An_Prec!$AN:$AN,BV_Data_An_Prec!$AP:$AP,$B459,BV_Data_An_Prec!$AQ:$AQ,$C459,BV_Data_An_Prec!$AR:$AR,$L$2)</f>
        <v>0</v>
      </c>
      <c r="R459" s="243"/>
      <c r="S459" s="266">
        <f t="shared" si="106"/>
        <v>13864.55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f>SUMIFS(BV_Data_An_Prec!$AN:$AN,BV_Data_An_Prec!$AP:$AP,$B460,BV_Data_An_Prec!$AQ:$AQ,$C460,BV_Data_An_Prec!$AR:$AR,$L$2)</f>
        <v>0</v>
      </c>
      <c r="R460" s="233"/>
      <c r="S460" s="303">
        <f t="shared" si="106"/>
        <v>14954.65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f>SUMIFS(BV_Data_An_Prec!$AN:$AN,BV_Data_An_Prec!$AP:$AP,$B461,BV_Data_An_Prec!$AQ:$AQ,$C461,BV_Data_An_Prec!$AR:$AR,$L$2)</f>
        <v>0</v>
      </c>
      <c r="R461" s="243"/>
      <c r="S461" s="266">
        <f t="shared" si="106"/>
        <v>3396.68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1982.07</v>
      </c>
      <c r="M462" s="243"/>
      <c r="N462" s="266"/>
      <c r="O462" s="243"/>
      <c r="P462" s="38"/>
      <c r="Q462" s="266">
        <f>SUMIFS(BV_Data_An_Prec!$AN:$AN,BV_Data_An_Prec!$AP:$AP,$B462,BV_Data_An_Prec!$AQ:$AQ,$C462,BV_Data_An_Prec!$AR:$AR,$L$2)</f>
        <v>0</v>
      </c>
      <c r="R462" s="243"/>
      <c r="S462" s="266">
        <f t="shared" si="106"/>
        <v>1982.07</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0.12236144273787999</v>
      </c>
      <c r="L464" s="294">
        <f>+SUM(L452:L463)</f>
        <v>67136.240000000005</v>
      </c>
      <c r="M464" s="296"/>
      <c r="N464" s="294"/>
      <c r="O464" s="295" t="s">
        <v>115</v>
      </c>
      <c r="P464" s="293">
        <f>IFERROR(Q464/Q$448,0)</f>
        <v>0</v>
      </c>
      <c r="Q464" s="294">
        <f>+SUM(Q452:Q463)</f>
        <v>0</v>
      </c>
      <c r="R464" s="297"/>
      <c r="S464" s="294">
        <f t="shared" si="106"/>
        <v>67136.240000000005</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f>SUMIFS(BV_Data_An_Prec!$AN:$AN,BV_Data_An_Prec!$AP:$AP,$B470,BV_Data_An_Prec!$AQ:$AQ,$C470,BV_Data_An_Prec!$AR:$AR,$L$2)</f>
        <v>0</v>
      </c>
      <c r="R470" s="238"/>
      <c r="S470" s="286">
        <f t="shared" si="106"/>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435.59</v>
      </c>
      <c r="M472" s="243"/>
      <c r="N472" s="266"/>
      <c r="O472" s="243"/>
      <c r="P472" s="38"/>
      <c r="Q472" s="266">
        <f>SUMIFS(BV_Data_An_Prec!$AN:$AN,BV_Data_An_Prec!$AP:$AP,$B472,BV_Data_An_Prec!$AQ:$AQ,$C472,BV_Data_An_Prec!$AR:$AR,$L$2)</f>
        <v>0</v>
      </c>
      <c r="R472" s="243"/>
      <c r="S472" s="266">
        <f t="shared" si="106"/>
        <v>435.59</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f>SUMIFS(BV_Data_An_Prec!$AN:$AN,BV_Data_An_Prec!$AP:$AP,$B476,BV_Data_An_Prec!$AQ:$AQ,$C476,BV_Data_An_Prec!$AR:$AR,$L$2)</f>
        <v>0</v>
      </c>
      <c r="R476" s="243"/>
      <c r="S476" s="266">
        <f t="shared" si="106"/>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f>SUMIFS(BV_Data_An_Prec!$AN:$AN,BV_Data_An_Prec!$AP:$AP,$B477,BV_Data_An_Prec!$AQ:$AQ,$C477,BV_Data_An_Prec!$AR:$AR,$L$2)</f>
        <v>0</v>
      </c>
      <c r="R477" s="243"/>
      <c r="S477" s="266">
        <f t="shared" si="106"/>
        <v>2256.2399999999998</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5.0527680924140521E-3</v>
      </c>
      <c r="L482" s="294">
        <f>+SUM(L465:L481)</f>
        <v>2772.3099999999995</v>
      </c>
      <c r="M482" s="296"/>
      <c r="N482" s="294"/>
      <c r="O482" s="295" t="s">
        <v>115</v>
      </c>
      <c r="P482" s="293">
        <f>IFERROR(Q482/Q$448,0)</f>
        <v>0</v>
      </c>
      <c r="Q482" s="294">
        <f>+SUM(Q465:Q481)</f>
        <v>0</v>
      </c>
      <c r="R482" s="297"/>
      <c r="S482" s="294">
        <f>+SUM(S465:S481)</f>
        <v>2772.3099999999995</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0.12741421083029403</v>
      </c>
      <c r="L484" s="294">
        <f>L464+L482</f>
        <v>69908.55</v>
      </c>
      <c r="M484" s="296"/>
      <c r="N484" s="294"/>
      <c r="O484" s="295" t="s">
        <v>115</v>
      </c>
      <c r="P484" s="293">
        <f>IFERROR(Q484/Q$448,0)</f>
        <v>0</v>
      </c>
      <c r="Q484" s="294">
        <f>Q464+Q482</f>
        <v>0</v>
      </c>
      <c r="R484" s="297"/>
      <c r="S484" s="294">
        <f>L484-Q484</f>
        <v>69908.55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478762.98000000004</v>
      </c>
      <c r="M486" s="958"/>
      <c r="N486" s="956"/>
      <c r="O486" s="957"/>
      <c r="P486" s="955"/>
      <c r="Q486" s="956">
        <f>Q448-Q484</f>
        <v>511346.58999999997</v>
      </c>
      <c r="R486" s="959"/>
      <c r="S486" s="956">
        <f>L486-Q486</f>
        <v>-32583.609999999928</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165574742.36999995</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3.7581070886373524E-2</v>
      </c>
      <c r="AE494" s="393"/>
      <c r="AF494" s="391">
        <f>L27+L109+L182+L268+L326+L390+L448</f>
        <v>6222476.1300000018</v>
      </c>
      <c r="AG494" s="392"/>
      <c r="AH494" s="393" t="e">
        <f>AF494-Z494</f>
        <v>#N/A</v>
      </c>
      <c r="AI494" s="394" t="e">
        <f>AH494/Z494</f>
        <v>#N/A</v>
      </c>
      <c r="AJ494" s="754">
        <f>+AL494/AL493</f>
        <v>4.0689101914544126E-2</v>
      </c>
      <c r="AK494" s="393"/>
      <c r="AL494" s="391">
        <f>Q27+Q109+Q182+Q268+Q326+Q390+Q448</f>
        <v>7214386.2599999923</v>
      </c>
      <c r="AM494" s="395"/>
      <c r="AN494" s="393">
        <f>AF494-AL494</f>
        <v>-991910.12999999058</v>
      </c>
      <c r="AO494" s="396">
        <f>IF(AL494=0,0,AN494/AL494)</f>
        <v>-0.13749057705706924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1192.7811954459203</v>
      </c>
      <c r="AF496" s="399">
        <f t="shared" ref="AF496:AF505" si="110">+SUMIF($C:$C,$V496,L:L)</f>
        <v>628595.68999999994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292.28356121773243</v>
      </c>
      <c r="AN496" s="401">
        <f>AF496-AL496</f>
        <v>91899.099999999977</v>
      </c>
      <c r="AO496" s="408">
        <f>IF(AL496=0,0,AN496/AL496)</f>
        <v>0.17123101154788403</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453.99948766603416</v>
      </c>
      <c r="AF498" s="399">
        <f t="shared" si="110"/>
        <v>239257.73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510.28282659220866</v>
      </c>
      <c r="AN498" s="401">
        <f t="shared" si="117"/>
        <v>272802.60000000003</v>
      </c>
      <c r="AO498" s="408">
        <f t="shared" si="118"/>
        <v>-8.132468541389489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-3.5226944971537124</v>
      </c>
      <c r="AF501" s="399">
        <f t="shared" si="110"/>
        <v>-1856.4600000000064</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195.51869812029597</v>
      </c>
      <c r="AN501" s="401">
        <f t="shared" si="117"/>
        <v>116772.21</v>
      </c>
      <c r="AO501" s="408">
        <f t="shared" si="118"/>
        <v>-0.98435066329244014</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1585.5954269449717</v>
      </c>
      <c r="AF502" s="399">
        <f t="shared" si="110"/>
        <v>835608.79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-267.04438849126996</v>
      </c>
      <c r="AN502" s="401">
        <f t="shared" si="117"/>
        <v>-268564.54000000004</v>
      </c>
      <c r="AO502" s="408">
        <f t="shared" si="118"/>
        <v>-0.24322679483664039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4.5128239005394151E-2</v>
      </c>
      <c r="AE506" s="419"/>
      <c r="AF506" s="416">
        <f>SUM(AF496:AF505)</f>
        <v>280809.39000000013</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681220.6100000001</v>
      </c>
      <c r="AO506" s="396">
        <f t="shared" si="123"/>
        <v>-1.7013025009638845</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400717.86</v>
      </c>
      <c r="AG508" s="400"/>
      <c r="AH508" s="401" t="e">
        <f t="shared" si="124"/>
        <v>#N/A</v>
      </c>
      <c r="AI508" s="402" t="e">
        <f t="shared" si="125"/>
        <v>#N/A</v>
      </c>
      <c r="AJ508" s="407"/>
      <c r="AK508" s="406"/>
      <c r="AL508" s="399">
        <f>SUMIFS(BV_Data_An_Prec!$AN:$AN,BV_Data_An_Prec!$AQ:$AQ,$V508)</f>
        <v>734024.15</v>
      </c>
      <c r="AM508" s="403"/>
      <c r="AN508" s="401">
        <f t="shared" si="122"/>
        <v>-333306.29000000004</v>
      </c>
      <c r="AO508" s="408">
        <f t="shared" si="123"/>
        <v>-0.45408082281761442</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300303.02</v>
      </c>
      <c r="AG510" s="400"/>
      <c r="AH510" s="401" t="e">
        <f t="shared" si="124"/>
        <v>#N/A</v>
      </c>
      <c r="AI510" s="402" t="e">
        <f t="shared" si="125"/>
        <v>#N/A</v>
      </c>
      <c r="AJ510" s="407"/>
      <c r="AK510" s="406"/>
      <c r="AL510" s="399">
        <f>SUMIFS(BV_Data_An_Prec!$AN:$AN,BV_Data_An_Prec!$AQ:$AQ,$V510)</f>
        <v>709053.80999999994</v>
      </c>
      <c r="AM510" s="403"/>
      <c r="AN510" s="401">
        <f t="shared" si="122"/>
        <v>-408750.78999999992</v>
      </c>
      <c r="AO510" s="408">
        <f t="shared" si="123"/>
        <v>-0.57647358244926428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272844.59000000003</v>
      </c>
      <c r="AG515" s="384"/>
      <c r="AH515" s="385" t="e">
        <f t="shared" si="124"/>
        <v>#N/A</v>
      </c>
      <c r="AI515" s="412" t="e">
        <f t="shared" si="125"/>
        <v>#N/A</v>
      </c>
      <c r="AJ515" s="411"/>
      <c r="AK515" s="410"/>
      <c r="AL515" s="383">
        <f>SUMIFS(BV_Data_An_Prec!$AN:$AN,BV_Data_An_Prec!$AQ:$AQ,$V515)</f>
        <v>298800.94</v>
      </c>
      <c r="AM515" s="387"/>
      <c r="AN515" s="385">
        <f t="shared" si="122"/>
        <v>-25956.349999999977</v>
      </c>
      <c r="AO515" s="388">
        <f t="shared" si="123"/>
        <v>-8.6868367950917347E-2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422066.87</v>
      </c>
      <c r="AG516" s="400"/>
      <c r="AH516" s="401" t="e">
        <f t="shared" si="124"/>
        <v>#N/A</v>
      </c>
      <c r="AI516" s="402" t="e">
        <f t="shared" si="125"/>
        <v>#N/A</v>
      </c>
      <c r="AJ516" s="407"/>
      <c r="AK516" s="406"/>
      <c r="AL516" s="399">
        <f>SUMIFS(BV_Data_An_Prec!$AN:$AN,BV_Data_An_Prec!$AQ:$AQ,$V516)</f>
        <v>404037.67</v>
      </c>
      <c r="AM516" s="403"/>
      <c r="AN516" s="401">
        <f t="shared" si="122"/>
        <v>18029.200000000012</v>
      </c>
      <c r="AO516" s="408">
        <f t="shared" si="123"/>
        <v>4.4622571949788775E-2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136300.51999999999</v>
      </c>
      <c r="AG517" s="400"/>
      <c r="AH517" s="401" t="e">
        <f t="shared" si="124"/>
        <v>#N/A</v>
      </c>
      <c r="AI517" s="402" t="e">
        <f t="shared" si="125"/>
        <v>#N/A</v>
      </c>
      <c r="AJ517" s="407"/>
      <c r="AK517" s="406"/>
      <c r="AL517" s="399">
        <f>SUMIFS(BV_Data_An_Prec!$AN:$AN,BV_Data_An_Prec!$AQ:$AQ,$V517)</f>
        <v>192618.09999999998</v>
      </c>
      <c r="AM517" s="403"/>
      <c r="AN517" s="401">
        <f t="shared" si="122"/>
        <v>-56317.579999999987</v>
      </c>
      <c r="AO517" s="408">
        <f t="shared" si="123"/>
        <v>-0.2923794804330434</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0.36320533382263043</v>
      </c>
      <c r="AE520" s="421"/>
      <c r="AF520" s="416">
        <f>SUM(AF507:AF519)</f>
        <v>2260036.52</v>
      </c>
      <c r="AG520" s="418"/>
      <c r="AH520" s="419" t="e">
        <f t="shared" si="124"/>
        <v>#N/A</v>
      </c>
      <c r="AI520" s="415" t="e">
        <f>AH520/Z520</f>
        <v>#N/A</v>
      </c>
      <c r="AJ520" s="417">
        <f>IF($AL$494=0,0,AL520/$AL$494)</f>
        <v>0.44930602038488621</v>
      </c>
      <c r="AK520" s="421"/>
      <c r="AL520" s="416">
        <f>SUM(AL507:AL519)</f>
        <v>3241467.1799999997</v>
      </c>
      <c r="AM520" s="423"/>
      <c r="AN520" s="419">
        <f t="shared" si="122"/>
        <v>-981430.65999999968</v>
      </c>
      <c r="AO520" s="396">
        <f t="shared" si="123"/>
        <v>-0.30277359155615446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194755.31</v>
      </c>
      <c r="AG523" s="384"/>
      <c r="AH523" s="385" t="e">
        <f t="shared" si="124"/>
        <v>#N/A</v>
      </c>
      <c r="AI523" s="412" t="e">
        <f t="shared" si="129"/>
        <v>#N/A</v>
      </c>
      <c r="AJ523" s="411"/>
      <c r="AK523" s="410"/>
      <c r="AL523" s="383">
        <f>SUMIFS(BV_Data_An_Prec!$AN:$AN,BV_Data_An_Prec!$AQ:$AQ,$V523)</f>
        <v>80623.64</v>
      </c>
      <c r="AM523" s="387"/>
      <c r="AN523" s="385">
        <f t="shared" si="122"/>
        <v>114131.67</v>
      </c>
      <c r="AO523" s="388">
        <f t="shared" si="123"/>
        <v>1.4156104834760623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95797.62000000001</v>
      </c>
      <c r="AG524" s="400"/>
      <c r="AH524" s="401" t="e">
        <f t="shared" si="124"/>
        <v>#N/A</v>
      </c>
      <c r="AI524" s="402" t="e">
        <f t="shared" si="129"/>
        <v>#N/A</v>
      </c>
      <c r="AJ524" s="407"/>
      <c r="AK524" s="406"/>
      <c r="AL524" s="399">
        <f>SUMIFS(BV_Data_An_Prec!$AN:$AN,BV_Data_An_Prec!$AQ:$AQ,$V524)</f>
        <v>97634.26</v>
      </c>
      <c r="AM524" s="403"/>
      <c r="AN524" s="401">
        <f t="shared" si="122"/>
        <v>-1836.6399999999849</v>
      </c>
      <c r="AO524" s="408">
        <f t="shared" si="123"/>
        <v>-1.8811429512550052E-2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74622.89</v>
      </c>
      <c r="AG525" s="400"/>
      <c r="AH525" s="401" t="e">
        <f t="shared" si="124"/>
        <v>#N/A</v>
      </c>
      <c r="AI525" s="402" t="e">
        <f t="shared" si="129"/>
        <v>#N/A</v>
      </c>
      <c r="AJ525" s="407"/>
      <c r="AK525" s="406"/>
      <c r="AL525" s="399">
        <f>SUMIFS(BV_Data_An_Prec!$AN:$AN,BV_Data_An_Prec!$AQ:$AQ,$V525)</f>
        <v>84226.2</v>
      </c>
      <c r="AM525" s="403"/>
      <c r="AN525" s="401">
        <f t="shared" si="122"/>
        <v>-9603.3099999999977</v>
      </c>
      <c r="AO525" s="408">
        <f t="shared" si="123"/>
        <v>-0.11401808463399747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132339.76999999999</v>
      </c>
      <c r="AG528" s="400"/>
      <c r="AH528" s="401" t="e">
        <f t="shared" si="124"/>
        <v>#N/A</v>
      </c>
      <c r="AI528" s="402" t="e">
        <f t="shared" si="129"/>
        <v>#N/A</v>
      </c>
      <c r="AJ528" s="407"/>
      <c r="AK528" s="406"/>
      <c r="AL528" s="399">
        <f>SUMIFS(BV_Data_An_Prec!$AN:$AN,BV_Data_An_Prec!$AQ:$AQ,$V528)</f>
        <v>64023.44</v>
      </c>
      <c r="AM528" s="403"/>
      <c r="AN528" s="401">
        <f t="shared" si="122"/>
        <v>68316.329999999987</v>
      </c>
      <c r="AO528" s="408">
        <f t="shared" si="123"/>
        <v>1.0670518485104827</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2181.89</v>
      </c>
      <c r="AG529" s="400"/>
      <c r="AH529" s="401" t="e">
        <f t="shared" si="124"/>
        <v>#N/A</v>
      </c>
      <c r="AI529" s="420" t="e">
        <f t="shared" si="129"/>
        <v>#N/A</v>
      </c>
      <c r="AJ529" s="407"/>
      <c r="AK529" s="406"/>
      <c r="AL529" s="399">
        <f>SUMIFS(BV_Data_An_Prec!$AN:$AN,BV_Data_An_Prec!$AQ:$AQ,$V529)</f>
        <v>0</v>
      </c>
      <c r="AM529" s="403"/>
      <c r="AN529" s="401">
        <f t="shared" si="122"/>
        <v>2181.89</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15472.039999999997</v>
      </c>
      <c r="AG531" s="400"/>
      <c r="AH531" s="401" t="e">
        <f t="shared" si="124"/>
        <v>#N/A</v>
      </c>
      <c r="AI531" s="420" t="e">
        <f t="shared" si="129"/>
        <v>#N/A</v>
      </c>
      <c r="AJ531" s="407"/>
      <c r="AK531" s="406"/>
      <c r="AL531" s="399">
        <f>SUMIFS(BV_Data_An_Prec!$AN:$AN,BV_Data_An_Prec!$AQ:$AQ,$V531)</f>
        <v>29220.489999999998</v>
      </c>
      <c r="AM531" s="403"/>
      <c r="AN531" s="401">
        <f t="shared" si="122"/>
        <v>-13748.45</v>
      </c>
      <c r="AO531" s="408">
        <f t="shared" si="123"/>
        <v>-0.47050716808650372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38333.130000000005</v>
      </c>
      <c r="AG535" s="400"/>
      <c r="AH535" s="659" t="e">
        <f t="shared" si="124"/>
        <v>#N/A</v>
      </c>
      <c r="AI535" s="402" t="e">
        <f t="shared" si="129"/>
        <v>#N/A</v>
      </c>
      <c r="AJ535" s="407"/>
      <c r="AK535" s="406"/>
      <c r="AL535" s="399">
        <f>SUMIFS(BV_Data_An_Prec!$AN:$AN,BV_Data_An_Prec!$AQ:$AQ,$V535)</f>
        <v>11472.78</v>
      </c>
      <c r="AM535" s="403"/>
      <c r="AN535" s="401">
        <f t="shared" si="122"/>
        <v>26860.350000000006</v>
      </c>
      <c r="AO535" s="408">
        <f t="shared" si="123"/>
        <v>2.3412241845481221</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0.17261597434203416</v>
      </c>
      <c r="AE539" s="414"/>
      <c r="AF539" s="416">
        <f>+SUM(AF521:AF538)</f>
        <v>1074098.7800000003</v>
      </c>
      <c r="AG539" s="422"/>
      <c r="AH539" s="435" t="e">
        <f>+SUM(AH521:AH538)</f>
        <v>#N/A</v>
      </c>
      <c r="AI539" s="415" t="e">
        <f>AH539/Z539</f>
        <v>#N/A</v>
      </c>
      <c r="AJ539" s="417">
        <f>IF($AL$494=0,0,AL539/$AL$494)</f>
        <v>0.11819842038787662</v>
      </c>
      <c r="AK539" s="414"/>
      <c r="AL539" s="416">
        <f>+SUM(AL521:AL538)</f>
        <v>852729.06</v>
      </c>
      <c r="AM539" s="423"/>
      <c r="AN539" s="419">
        <f t="shared" si="122"/>
        <v>221369.7200000002</v>
      </c>
      <c r="AO539" s="436">
        <f t="shared" si="123"/>
        <v>0.25960147294616676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8202.83</v>
      </c>
      <c r="AG548" s="400"/>
      <c r="AH548" s="401" t="e">
        <f t="shared" si="132"/>
        <v>#N/A</v>
      </c>
      <c r="AI548" s="439" t="e">
        <f t="shared" si="133"/>
        <v>#N/A</v>
      </c>
      <c r="AJ548" s="407"/>
      <c r="AK548" s="406"/>
      <c r="AL548" s="399">
        <f>SUMIFS(BV_Data_An_Prec!$AN:$AN,BV_Data_An_Prec!$AQ:$AQ,$V548)</f>
        <v>5619.43</v>
      </c>
      <c r="AM548" s="403"/>
      <c r="AN548" s="401">
        <f t="shared" si="122"/>
        <v>2583.3999999999996</v>
      </c>
      <c r="AO548" s="408">
        <f t="shared" si="123"/>
        <v>0.45972634235144838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0.16216881494087784</v>
      </c>
      <c r="AE553" s="414"/>
      <c r="AF553" s="416">
        <f>SUM(AF540:AF552)</f>
        <v>1009091.58</v>
      </c>
      <c r="AG553" s="422"/>
      <c r="AH553" s="435" t="e">
        <f>SUM(AH540:AH552)</f>
        <v>#N/A</v>
      </c>
      <c r="AI553" s="415" t="e">
        <f>IF(Z553=0,0,AH553/Z553)</f>
        <v>#N/A</v>
      </c>
      <c r="AJ553" s="417">
        <f>IF($AL$494=0,0,AL553/$AL$494)</f>
        <v>0.18151853017085354</v>
      </c>
      <c r="AK553" s="414"/>
      <c r="AL553" s="416">
        <f>SUM(AL540:AL552)</f>
        <v>1309544.7899999998</v>
      </c>
      <c r="AM553" s="423"/>
      <c r="AN553" s="419">
        <f t="shared" si="122"/>
        <v>-300453.20999999985</v>
      </c>
      <c r="AO553" s="436">
        <f t="shared" si="123"/>
        <v>-0.22943332087175108</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0.74311836211093651</v>
      </c>
      <c r="AE555" s="414"/>
      <c r="AF555" s="416">
        <f>AF506+AF520+AF539+AF553</f>
        <v>4624036.2700000005</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-379293.53999999911</v>
      </c>
      <c r="AO555" s="396">
        <f t="shared" ref="AO555:AO568" si="136">IF(AL555=0,0,AN555/AL555)</f>
        <v>-7.5808222604457715E-2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-4669.9700000000048</v>
      </c>
      <c r="AG556" s="446"/>
      <c r="AH556" s="401" t="e">
        <f t="shared" si="134"/>
        <v>#N/A</v>
      </c>
      <c r="AI556" s="439" t="e">
        <f>IF(AH556=0,0,AH556/Z556)</f>
        <v>#N/A</v>
      </c>
      <c r="AJ556" s="445"/>
      <c r="AK556" s="444"/>
      <c r="AL556" s="426">
        <f>-SUMIFS(BV_Data_An_Prec!$AN:$AN,BV_Data_An_Prec!$AQ:$AQ,$V556)</f>
        <v>259480.08</v>
      </c>
      <c r="AM556" s="447"/>
      <c r="AN556" s="401">
        <f t="shared" si="135"/>
        <v>-264150.05</v>
      </c>
      <c r="AO556" s="408">
        <f t="shared" si="136"/>
        <v>-1.0179974123639857</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275233.33999999997</v>
      </c>
      <c r="AG567" s="450"/>
      <c r="AH567" s="401" t="e">
        <f t="shared" si="134"/>
        <v>#N/A</v>
      </c>
      <c r="AI567" s="420" t="e">
        <f t="shared" si="139"/>
        <v>#N/A</v>
      </c>
      <c r="AJ567" s="452"/>
      <c r="AK567" s="437"/>
      <c r="AL567" s="399">
        <f>-SUMIFS(BV_Data_An_Prec!$AN:$AN,BV_Data_An_Prec!$AQ:$AQ,$V567)</f>
        <v>0</v>
      </c>
      <c r="AM567" s="448"/>
      <c r="AN567" s="401">
        <f t="shared" si="135"/>
        <v>275233.33999999997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6.4615985919418834E-2</v>
      </c>
      <c r="AE568" s="434"/>
      <c r="AF568" s="416">
        <f>SUM(AF556:AF567)</f>
        <v>402071.42999999993</v>
      </c>
      <c r="AG568" s="422"/>
      <c r="AH568" s="419" t="e">
        <f t="shared" si="134"/>
        <v>#N/A</v>
      </c>
      <c r="AI568" s="415" t="e">
        <f>AH568/Z568</f>
        <v>#N/A</v>
      </c>
      <c r="AJ568" s="415"/>
      <c r="AK568" s="434"/>
      <c r="AL568" s="416">
        <f>SUM(AL556:AL567)</f>
        <v>463210.15</v>
      </c>
      <c r="AM568" s="453"/>
      <c r="AN568" s="419">
        <f t="shared" si="135"/>
        <v>-61138.720000000088</v>
      </c>
      <c r="AO568" s="436">
        <f t="shared" si="136"/>
        <v>-0.13198916301812488</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1.208222499014722E-2</v>
      </c>
      <c r="AF570" s="468">
        <f>AF494-AF555+AF568</f>
        <v>2000511.2900000012</v>
      </c>
      <c r="AG570" s="470"/>
      <c r="AH570" s="470" t="e">
        <f>AF570-Z570</f>
        <v>#N/A</v>
      </c>
      <c r="AI570" s="471" t="e">
        <f>AH570/Z570</f>
        <v>#N/A</v>
      </c>
      <c r="AJ570" s="466" t="s">
        <v>215</v>
      </c>
      <c r="AK570" s="467">
        <f>IF($AL$493=0,0,AL570/$AL$493)</f>
        <v>1.5082850059938603E-2</v>
      </c>
      <c r="AL570" s="468">
        <f>AL494-AL555+AL568</f>
        <v>2674266.5999999926</v>
      </c>
      <c r="AM570" s="472"/>
      <c r="AN570" s="469">
        <f>AF570-AL570</f>
        <v>-673755.30999999144</v>
      </c>
      <c r="AO570" s="473">
        <f>IF(AL570=0,0,AN570/AL570)</f>
        <v>-0.25194021792740984</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1.7128941524561118E-2</v>
      </c>
      <c r="AF575" s="752">
        <f>AF576+AF502</f>
        <v>2836120.080000001</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-942319.84999999171</v>
      </c>
      <c r="AO575" s="753">
        <f t="shared" ref="AO575:AO585" si="142">IF(AL575=0,0,AN575/AL575)</f>
        <v>-0.24939389469134515</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1.208222499014722E-2</v>
      </c>
      <c r="AF576" s="468">
        <f>AF570</f>
        <v>2000511.2900000012</v>
      </c>
      <c r="AG576" s="469"/>
      <c r="AH576" s="470" t="e">
        <f>AF576-Z576</f>
        <v>#N/A</v>
      </c>
      <c r="AI576" s="471" t="e">
        <f>AH576/Z576</f>
        <v>#N/A</v>
      </c>
      <c r="AJ576" s="466" t="s">
        <v>215</v>
      </c>
      <c r="AK576" s="467">
        <f>IF($AL$493=0,0,AL576/$AL$493)</f>
        <v>1.5082850059938603E-2</v>
      </c>
      <c r="AL576" s="468">
        <f>AL570</f>
        <v>2674266.5999999926</v>
      </c>
      <c r="AM576" s="474"/>
      <c r="AN576" s="475">
        <f t="shared" si="141"/>
        <v>-673755.30999999144</v>
      </c>
      <c r="AO576" s="476">
        <f t="shared" si="142"/>
        <v>-0.25194021792740984</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40241.58</v>
      </c>
      <c r="AG580" s="35"/>
      <c r="AH580" s="401" t="e">
        <f t="shared" si="143"/>
        <v>#N/A</v>
      </c>
      <c r="AI580" s="420" t="e">
        <f t="shared" si="144"/>
        <v>#N/A</v>
      </c>
      <c r="AJ580" s="35"/>
      <c r="AK580" s="38"/>
      <c r="AL580" s="399">
        <f>SUMIFS(BV_Data_An_Prec!$AN:$AN,BV_Data_An_Prec!$AQ:$AQ,$V580)</f>
        <v>0</v>
      </c>
      <c r="AM580" s="480"/>
      <c r="AN580" s="401">
        <f t="shared" si="141"/>
        <v>40241.58</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1.1353002898228225E-2</v>
      </c>
      <c r="AF585" s="468">
        <f>AF576-AF578-AF579-AF580-AF584-AF583</f>
        <v>1879770.5300000012</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-703793.49999999162</v>
      </c>
      <c r="AO585" s="482">
        <f t="shared" si="142"/>
        <v>-0.27241186664144473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0</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64:Q364 O343:Q360">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4" t="s">
        <v>339</v>
      </c>
      <c r="E3" s="1279"/>
      <c r="F3" s="1282"/>
      <c r="G3" s="1273" t="s">
        <v>3204</v>
      </c>
      <c r="H3" s="1279"/>
      <c r="I3" s="1282"/>
      <c r="J3" s="1273" t="s">
        <v>340</v>
      </c>
      <c r="K3" s="1279"/>
      <c r="L3" s="1282"/>
      <c r="M3" s="1273" t="s">
        <v>668</v>
      </c>
      <c r="N3" s="1282"/>
      <c r="O3" s="1274" t="s">
        <v>341</v>
      </c>
      <c r="P3" s="1279"/>
      <c r="Q3" s="1282"/>
      <c r="R3" s="1273" t="s">
        <v>670</v>
      </c>
      <c r="S3" s="1282"/>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4" t="s">
        <v>339</v>
      </c>
      <c r="E91" s="1279"/>
      <c r="F91" s="1282"/>
      <c r="G91" s="1273" t="s">
        <v>3207</v>
      </c>
      <c r="H91" s="1279"/>
      <c r="I91" s="1282"/>
      <c r="J91" s="1273" t="s">
        <v>340</v>
      </c>
      <c r="K91" s="1279"/>
      <c r="L91" s="1282"/>
      <c r="M91" s="1273" t="s">
        <v>668</v>
      </c>
      <c r="N91" s="1282"/>
      <c r="O91" s="1274" t="s">
        <v>341</v>
      </c>
      <c r="P91" s="1279"/>
      <c r="Q91" s="1282"/>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4" t="s">
        <v>339</v>
      </c>
      <c r="E244" s="1279"/>
      <c r="F244" s="1282"/>
      <c r="G244" s="1273" t="s">
        <v>3207</v>
      </c>
      <c r="H244" s="1279"/>
      <c r="I244" s="1282"/>
      <c r="J244" s="1273" t="s">
        <v>340</v>
      </c>
      <c r="K244" s="1279"/>
      <c r="L244" s="1282"/>
      <c r="M244" s="1273" t="s">
        <v>668</v>
      </c>
      <c r="N244" s="1282"/>
      <c r="O244" s="1274" t="s">
        <v>341</v>
      </c>
      <c r="P244" s="1279"/>
      <c r="Q244" s="1282"/>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4" t="s">
        <v>339</v>
      </c>
      <c r="E312" s="1279"/>
      <c r="F312" s="1282"/>
      <c r="G312" s="1273" t="s">
        <v>3207</v>
      </c>
      <c r="H312" s="1279"/>
      <c r="I312" s="1282"/>
      <c r="J312" s="1273" t="s">
        <v>340</v>
      </c>
      <c r="K312" s="1279"/>
      <c r="L312" s="1282"/>
      <c r="M312" s="1273" t="s">
        <v>668</v>
      </c>
      <c r="N312" s="1282"/>
      <c r="O312" s="1274" t="s">
        <v>341</v>
      </c>
      <c r="P312" s="1279"/>
      <c r="Q312" s="1282"/>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4" t="s">
        <v>339</v>
      </c>
      <c r="E369" s="1279"/>
      <c r="F369" s="1282"/>
      <c r="G369" s="1273" t="s">
        <v>3207</v>
      </c>
      <c r="H369" s="1279"/>
      <c r="I369" s="1282"/>
      <c r="J369" s="1273" t="s">
        <v>340</v>
      </c>
      <c r="K369" s="1279"/>
      <c r="L369" s="1282"/>
      <c r="M369" s="1273" t="s">
        <v>668</v>
      </c>
      <c r="N369" s="1282"/>
      <c r="O369" s="1274" t="s">
        <v>341</v>
      </c>
      <c r="P369" s="1279"/>
      <c r="Q369" s="1282"/>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4" t="s">
        <v>339</v>
      </c>
      <c r="E434" s="1279"/>
      <c r="F434" s="1282"/>
      <c r="G434" s="1273"/>
      <c r="H434" s="1279"/>
      <c r="I434" s="1282"/>
      <c r="J434" s="1273" t="s">
        <v>340</v>
      </c>
      <c r="K434" s="1279"/>
      <c r="L434" s="1282"/>
      <c r="M434" s="1273"/>
      <c r="N434" s="1282"/>
      <c r="O434" s="1274" t="s">
        <v>341</v>
      </c>
      <c r="P434" s="1279"/>
      <c r="Q434" s="1282"/>
      <c r="R434" s="1273"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76" t="s">
        <v>3207</v>
      </c>
      <c r="AB491" s="1285"/>
      <c r="AC491" s="1284"/>
      <c r="AD491" s="1276" t="s">
        <v>340</v>
      </c>
      <c r="AE491" s="1285"/>
      <c r="AF491" s="1284"/>
      <c r="AG491" s="1276" t="s">
        <v>668</v>
      </c>
      <c r="AH491" s="1285"/>
      <c r="AI491" s="1284"/>
      <c r="AJ491" s="1276" t="s">
        <v>593</v>
      </c>
      <c r="AK491" s="1285"/>
      <c r="AL491" s="1285"/>
      <c r="AM491" s="1276"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I1" zoomScale="80" zoomScaleNormal="80" workbookViewId="0">
      <selection activeCell="AI923" sqref="AI923"/>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336955.39</v>
      </c>
      <c r="P5" s="706">
        <v>0</v>
      </c>
      <c r="Q5" s="706">
        <v>0</v>
      </c>
      <c r="R5" s="706">
        <v>0</v>
      </c>
      <c r="S5" s="706">
        <v>39434.81</v>
      </c>
      <c r="T5" s="706">
        <v>39434.81</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42743.949999999953</v>
      </c>
      <c r="AN5" s="905">
        <f>INDEX(G5:R5,1,MATCH(Parametres!$B$3,G$1:R$1,0))*IF(OR(F5="L",F5="S",F5="I"),-1,1)</f>
        <v>315478.48</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87885.119999999995</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260745.71</v>
      </c>
      <c r="P8" s="706">
        <v>0</v>
      </c>
      <c r="Q8" s="706">
        <v>0</v>
      </c>
      <c r="R8" s="706">
        <v>0</v>
      </c>
      <c r="S8" s="706">
        <v>29972.69</v>
      </c>
      <c r="T8" s="706">
        <v>29972.69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-3372.7599999999802</v>
      </c>
      <c r="AN8" s="905">
        <f>INDEX(G8:R8,1,MATCH(Parametres!$B$3,G$1:R$1,0))*IF(OR(F8="L",F8="S",F8="I"),-1,1)</f>
        <v>239781.54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-16654.509999999998</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11744.83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11129.46</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-239676</v>
      </c>
      <c r="P19" s="706">
        <v>0</v>
      </c>
      <c r="Q19" s="706">
        <v>0</v>
      </c>
      <c r="R19" s="706">
        <v>0</v>
      </c>
      <c r="S19" s="706">
        <v>-26826.13</v>
      </c>
      <c r="T19" s="706">
        <v>-26826.13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-17386</v>
      </c>
      <c r="AN19" s="905">
        <f>INDEX(G19:R19,1,MATCH(Parametres!$B$3,G$1:R$1,0))*IF(OR(F19="L",F19="S",F19="I"),-1,1)</f>
        <v>-214609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-63124.34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181664.95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121109.96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181664.95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60554.97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60554.97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70395.070000000007</v>
      </c>
      <c r="P34" s="706">
        <v>0</v>
      </c>
      <c r="Q34" s="706">
        <v>0</v>
      </c>
      <c r="R34" s="706">
        <v>0</v>
      </c>
      <c r="S34" s="706">
        <v>8799.3799999999992</v>
      </c>
      <c r="T34" s="706">
        <v>8799.3799999999992</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-6991.5299999999988</v>
      </c>
      <c r="AN34" s="905">
        <f>INDEX(G34:R34,1,MATCH(Parametres!$B$3,G$1:R$1,0))*IF(OR(F34="L",F34="S",F34="I"),-1,1)</f>
        <v>70395.070000000007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79951.67</v>
      </c>
      <c r="P35" s="706">
        <v>0</v>
      </c>
      <c r="Q35" s="706">
        <v>0</v>
      </c>
      <c r="R35" s="706">
        <v>0</v>
      </c>
      <c r="S35" s="706">
        <v>9836.27</v>
      </c>
      <c r="T35" s="706">
        <v>9836.27</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6514.1000000000058</v>
      </c>
      <c r="AN35" s="905">
        <f>INDEX(G35:R35,1,MATCH(Parametres!$B$3,G$1:R$1,0))*IF(OR(F35="L",F35="S",F35="I"),-1,1)</f>
        <v>78690.13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25932.67</v>
      </c>
      <c r="P37" s="706">
        <v>0</v>
      </c>
      <c r="Q37" s="706">
        <v>0</v>
      </c>
      <c r="R37" s="706">
        <v>0</v>
      </c>
      <c r="S37" s="706">
        <v>3101.79</v>
      </c>
      <c r="T37" s="706">
        <v>3101.79</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7934.34</v>
      </c>
      <c r="AN37" s="905">
        <f>INDEX(G37:R37,1,MATCH(Parametres!$B$3,G$1:R$1,0))*IF(OR(F37="L",F37="S",F37="I"),-1,1)</f>
        <v>24814.35</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32879.68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40892.65</v>
      </c>
      <c r="P51" s="706">
        <v>0</v>
      </c>
      <c r="Q51" s="706">
        <v>0</v>
      </c>
      <c r="R51" s="706">
        <v>0</v>
      </c>
      <c r="S51" s="706">
        <v>5017.16</v>
      </c>
      <c r="T51" s="706">
        <v>5017.16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5167.5800000000017</v>
      </c>
      <c r="AN51" s="905">
        <f>INDEX(G51:R51,1,MATCH(Parametres!$B$3,G$1:R$1,0))*IF(OR(F51="L",F51="S",F51="I"),-1,1)</f>
        <v>40137.29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96174.63</v>
      </c>
      <c r="P55" s="706">
        <v>0</v>
      </c>
      <c r="Q55" s="706">
        <v>0</v>
      </c>
      <c r="R55" s="706">
        <v>0</v>
      </c>
      <c r="S55" s="706">
        <v>11831.64</v>
      </c>
      <c r="T55" s="706">
        <v>11831.64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11770.770000000004</v>
      </c>
      <c r="AN55" s="905">
        <f>INDEX(G55:R55,1,MATCH(Parametres!$B$3,G$1:R$1,0))*IF(OR(F55="L",F55="S",F55="I"),-1,1)</f>
        <v>94653.08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149575.73000000001</v>
      </c>
      <c r="P58" s="706">
        <v>0</v>
      </c>
      <c r="Q58" s="706">
        <v>0</v>
      </c>
      <c r="R58" s="706">
        <v>0</v>
      </c>
      <c r="S58" s="706">
        <v>18338.669999999998</v>
      </c>
      <c r="T58" s="706">
        <v>18338.669999999998</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14321.329999999987</v>
      </c>
      <c r="AN58" s="905">
        <f>INDEX(G58:R58,1,MATCH(Parametres!$B$3,G$1:R$1,0))*IF(OR(F58="L",F58="S",F58="I"),-1,1)</f>
        <v>146709.35999999999</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59679.62</v>
      </c>
      <c r="P62" s="706">
        <v>0</v>
      </c>
      <c r="Q62" s="706">
        <v>0</v>
      </c>
      <c r="R62" s="706">
        <v>0</v>
      </c>
      <c r="S62" s="706">
        <v>7396.28</v>
      </c>
      <c r="T62" s="706">
        <v>7396.28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4857.2099999999991</v>
      </c>
      <c r="AN62" s="905">
        <f>INDEX(G62:R62,1,MATCH(Parametres!$B$3,G$1:R$1,0))*IF(OR(F62="L",F62="S",F62="I"),-1,1)</f>
        <v>59170.239999999998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23761.41</v>
      </c>
      <c r="P63" s="706">
        <v>0</v>
      </c>
      <c r="Q63" s="706">
        <v>0</v>
      </c>
      <c r="R63" s="706">
        <v>0</v>
      </c>
      <c r="S63" s="706">
        <v>2936.57</v>
      </c>
      <c r="T63" s="706">
        <v>2936.57</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2317.4499999999971</v>
      </c>
      <c r="AN63" s="905">
        <f>INDEX(G63:R63,1,MATCH(Parametres!$B$3,G$1:R$1,0))*IF(OR(F63="L",F63="S",F63="I"),-1,1)</f>
        <v>23492.53</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15947.35</v>
      </c>
      <c r="P64" s="706">
        <v>0</v>
      </c>
      <c r="Q64" s="706">
        <v>0</v>
      </c>
      <c r="R64" s="706">
        <v>0</v>
      </c>
      <c r="S64" s="706">
        <v>1962.38</v>
      </c>
      <c r="T64" s="706">
        <v>1962.38</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1968.42</v>
      </c>
      <c r="AN64" s="905">
        <f>INDEX(G64:R64,1,MATCH(Parametres!$B$3,G$1:R$1,0))*IF(OR(F64="L",F64="S",F64="I"),-1,1)</f>
        <v>15699.05</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107035.12</v>
      </c>
      <c r="P65" s="706">
        <v>0</v>
      </c>
      <c r="Q65" s="706">
        <v>0</v>
      </c>
      <c r="R65" s="706">
        <v>0</v>
      </c>
      <c r="S65" s="706">
        <v>13242.61</v>
      </c>
      <c r="T65" s="706">
        <v>13242.61</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7931.0699999999924</v>
      </c>
      <c r="AN65" s="905">
        <f>INDEX(G65:R65,1,MATCH(Parametres!$B$3,G$1:R$1,0))*IF(OR(F65="L",F65="S",F65="I"),-1,1)</f>
        <v>105940.87</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35015.699999999997</v>
      </c>
      <c r="P66" s="706">
        <v>0</v>
      </c>
      <c r="Q66" s="706">
        <v>0</v>
      </c>
      <c r="R66" s="706">
        <v>0</v>
      </c>
      <c r="S66" s="706">
        <v>4297.2</v>
      </c>
      <c r="T66" s="706">
        <v>4297.2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3892.1799999999967</v>
      </c>
      <c r="AN66" s="905">
        <f>INDEX(G66:R66,1,MATCH(Parametres!$B$3,G$1:R$1,0))*IF(OR(F66="L",F66="S",F66="I"),-1,1)</f>
        <v>34377.56</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20558.05</v>
      </c>
      <c r="P67" s="706">
        <v>0</v>
      </c>
      <c r="Q67" s="706">
        <v>0</v>
      </c>
      <c r="R67" s="706">
        <v>0</v>
      </c>
      <c r="S67" s="706">
        <v>2537.4699999999998</v>
      </c>
      <c r="T67" s="706">
        <v>2537.4699999999998</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1984.9599999999991</v>
      </c>
      <c r="AN67" s="905">
        <f>INDEX(G67:R67,1,MATCH(Parametres!$B$3,G$1:R$1,0))*IF(OR(F67="L",F67="S",F67="I"),-1,1)</f>
        <v>20299.79</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14478.38</v>
      </c>
      <c r="P68" s="706">
        <v>0</v>
      </c>
      <c r="Q68" s="706">
        <v>0</v>
      </c>
      <c r="R68" s="706">
        <v>0</v>
      </c>
      <c r="S68" s="706">
        <v>1733.07</v>
      </c>
      <c r="T68" s="706">
        <v>1733.07</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3742.17</v>
      </c>
      <c r="AN68" s="905">
        <f>INDEX(G68:R68,1,MATCH(Parametres!$B$3,G$1:R$1,0))*IF(OR(F68="L",F68="S",F68="I"),-1,1)</f>
        <v>13864.55</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118055.59</v>
      </c>
      <c r="P71" s="706">
        <v>0</v>
      </c>
      <c r="Q71" s="706">
        <v>0</v>
      </c>
      <c r="R71" s="706">
        <v>0</v>
      </c>
      <c r="S71" s="706">
        <v>14639.37</v>
      </c>
      <c r="T71" s="706">
        <v>14639.37</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9070.929999999993</v>
      </c>
      <c r="AN71" s="905">
        <f>INDEX(G71:R71,1,MATCH(Parametres!$B$3,G$1:R$1,0))*IF(OR(F71="L",F71="S",F71="I"),-1,1)</f>
        <v>117114.98</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31566.959999999999</v>
      </c>
      <c r="P73" s="706">
        <v>0</v>
      </c>
      <c r="Q73" s="706">
        <v>0</v>
      </c>
      <c r="R73" s="706">
        <v>0</v>
      </c>
      <c r="S73" s="706">
        <v>3885.81</v>
      </c>
      <c r="T73" s="706">
        <v>3885.81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6141.32</v>
      </c>
      <c r="AN73" s="905">
        <f>INDEX(G73:R73,1,MATCH(Parametres!$B$3,G$1:R$1,0))*IF(OR(F73="L",F73="S",F73="I"),-1,1)</f>
        <v>31086.5</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46739.53</v>
      </c>
      <c r="P74" s="706">
        <v>0</v>
      </c>
      <c r="Q74" s="706">
        <v>0</v>
      </c>
      <c r="R74" s="706">
        <v>0</v>
      </c>
      <c r="S74" s="706">
        <v>5801.52</v>
      </c>
      <c r="T74" s="706">
        <v>5801.52</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-1357.4499999999971</v>
      </c>
      <c r="AN74" s="905">
        <f>INDEX(G74:R74,1,MATCH(Parametres!$B$3,G$1:R$1,0))*IF(OR(F74="L",F74="S",F74="I"),-1,1)</f>
        <v>46412.12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142844.35999999999</v>
      </c>
      <c r="P75" s="706">
        <v>0</v>
      </c>
      <c r="Q75" s="706">
        <v>0</v>
      </c>
      <c r="R75" s="706">
        <v>0</v>
      </c>
      <c r="S75" s="706">
        <v>17567.61</v>
      </c>
      <c r="T75" s="706">
        <v>17567.61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18011.47</v>
      </c>
      <c r="AN75" s="905">
        <f>INDEX(G75:R75,1,MATCH(Parametres!$B$3,G$1:R$1,0))*IF(OR(F75="L",F75="S",F75="I"),-1,1)</f>
        <v>140540.87</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46522.49</v>
      </c>
      <c r="P76" s="706">
        <v>0</v>
      </c>
      <c r="Q76" s="706">
        <v>0</v>
      </c>
      <c r="R76" s="706">
        <v>0</v>
      </c>
      <c r="S76" s="706">
        <v>5676.17</v>
      </c>
      <c r="T76" s="706">
        <v>5676.17</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5736.760000000002</v>
      </c>
      <c r="AN76" s="905">
        <f>INDEX(G76:R76,1,MATCH(Parametres!$B$3,G$1:R$1,0))*IF(OR(F76="L",F76="S",F76="I"),-1,1)</f>
        <v>45409.32</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26998.59</v>
      </c>
      <c r="P77" s="706">
        <v>0</v>
      </c>
      <c r="Q77" s="706">
        <v>0</v>
      </c>
      <c r="R77" s="706">
        <v>0</v>
      </c>
      <c r="S77" s="706">
        <v>3318.55</v>
      </c>
      <c r="T77" s="706">
        <v>3318.55</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3728.8300000000017</v>
      </c>
      <c r="AN77" s="905">
        <f>INDEX(G77:R77,1,MATCH(Parametres!$B$3,G$1:R$1,0))*IF(OR(F77="L",F77="S",F77="I"),-1,1)</f>
        <v>26548.43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56899.14</v>
      </c>
      <c r="P85" s="706">
        <v>0</v>
      </c>
      <c r="Q85" s="706">
        <v>0</v>
      </c>
      <c r="R85" s="706">
        <v>0</v>
      </c>
      <c r="S85" s="706">
        <v>7033.04</v>
      </c>
      <c r="T85" s="706">
        <v>7033.04</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2533.0500000000029</v>
      </c>
      <c r="AN85" s="905">
        <f>INDEX(G85:R85,1,MATCH(Parametres!$B$3,G$1:R$1,0))*IF(OR(F85="L",F85="S",F85="I"),-1,1)</f>
        <v>56264.3</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14360.13</v>
      </c>
      <c r="P86" s="706">
        <v>0</v>
      </c>
      <c r="Q86" s="706">
        <v>0</v>
      </c>
      <c r="R86" s="706">
        <v>0</v>
      </c>
      <c r="S86" s="706">
        <v>1780.56</v>
      </c>
      <c r="T86" s="706">
        <v>1780.56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663.1299999999992</v>
      </c>
      <c r="AN86" s="905">
        <f>INDEX(G86:R86,1,MATCH(Parametres!$B$3,G$1:R$1,0))*IF(OR(F86="L",F86="S",F86="I"),-1,1)</f>
        <v>14244.46</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7605.39</v>
      </c>
      <c r="P98" s="706">
        <v>0</v>
      </c>
      <c r="Q98" s="706">
        <v>0</v>
      </c>
      <c r="R98" s="706">
        <v>0</v>
      </c>
      <c r="S98" s="706">
        <v>943.54</v>
      </c>
      <c r="T98" s="706">
        <v>943.54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1388.9700000000003</v>
      </c>
      <c r="AN98" s="905">
        <f>INDEX(G98:R98,1,MATCH(Parametres!$B$3,G$1:R$1,0))*IF(OR(F98="L",F98="S",F98="I"),-1,1)</f>
        <v>7548.31</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2126.1799999999998</v>
      </c>
      <c r="P99" s="706">
        <v>0</v>
      </c>
      <c r="Q99" s="706">
        <v>0</v>
      </c>
      <c r="R99" s="706">
        <v>0</v>
      </c>
      <c r="S99" s="706">
        <v>247.76</v>
      </c>
      <c r="T99" s="706">
        <v>247.76</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647.62999999999988</v>
      </c>
      <c r="AN99" s="905">
        <f>INDEX(G99:R99,1,MATCH(Parametres!$B$3,G$1:R$1,0))*IF(OR(F99="L",F99="S",F99="I"),-1,1)</f>
        <v>1982.07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14725.39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10186.48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9379.32</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82952.460000000006</v>
      </c>
      <c r="P109" s="706">
        <v>0</v>
      </c>
      <c r="Q109" s="706">
        <v>0</v>
      </c>
      <c r="R109" s="706">
        <v>0</v>
      </c>
      <c r="S109" s="706">
        <v>10378.06</v>
      </c>
      <c r="T109" s="706">
        <v>10378.06</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5493.0900000000111</v>
      </c>
      <c r="AN109" s="905">
        <f>INDEX(G109:R109,1,MATCH(Parametres!$B$3,G$1:R$1,0))*IF(OR(F109="L",F109="S",F109="I"),-1,1)</f>
        <v>83024.460000000006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42725.65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-23.98</v>
      </c>
      <c r="P113" s="706">
        <v>0</v>
      </c>
      <c r="Q113" s="706">
        <v>0</v>
      </c>
      <c r="R113" s="706">
        <v>0</v>
      </c>
      <c r="S113" s="706">
        <v>491</v>
      </c>
      <c r="T113" s="706">
        <v>491</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4851.8900000000003</v>
      </c>
      <c r="AN113" s="905">
        <f>INDEX(G113:R113,1,MATCH(Parametres!$B$3,G$1:R$1,0))*IF(OR(F113="L",F113="S",F113="I"),-1,1)</f>
        <v>3928.02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11395.54</v>
      </c>
      <c r="P124" s="706">
        <v>0</v>
      </c>
      <c r="Q124" s="706">
        <v>0</v>
      </c>
      <c r="R124" s="706">
        <v>0</v>
      </c>
      <c r="S124" s="706">
        <v>1423.82</v>
      </c>
      <c r="T124" s="706">
        <v>1423.82</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1424.7100000000009</v>
      </c>
      <c r="AN124" s="905">
        <f>INDEX(G124:R124,1,MATCH(Parametres!$B$3,G$1:R$1,0))*IF(OR(F124="L",F124="S",F124="I"),-1,1)</f>
        <v>11390.54</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8081.31</v>
      </c>
      <c r="P125" s="706">
        <v>0</v>
      </c>
      <c r="Q125" s="706">
        <v>0</v>
      </c>
      <c r="R125" s="706">
        <v>0</v>
      </c>
      <c r="S125" s="706">
        <v>1003.6</v>
      </c>
      <c r="T125" s="706">
        <v>1003.6</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1025.6300000000001</v>
      </c>
      <c r="AN125" s="905">
        <f>INDEX(G125:R125,1,MATCH(Parametres!$B$3,G$1:R$1,0))*IF(OR(F125="L",F125="S",F125="I"),-1,1)</f>
        <v>8028.81</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11388.99</v>
      </c>
      <c r="P127" s="706">
        <v>0</v>
      </c>
      <c r="Q127" s="706">
        <v>0</v>
      </c>
      <c r="R127" s="706">
        <v>0</v>
      </c>
      <c r="S127" s="706">
        <v>1423.62</v>
      </c>
      <c r="T127" s="706">
        <v>1423.62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1425.5100000000002</v>
      </c>
      <c r="AN127" s="905">
        <f>INDEX(G127:R127,1,MATCH(Parametres!$B$3,G$1:R$1,0))*IF(OR(F127="L",F127="S",F127="I"),-1,1)</f>
        <v>11388.99</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3736.2</v>
      </c>
      <c r="P128" s="706">
        <v>0</v>
      </c>
      <c r="Q128" s="706">
        <v>0</v>
      </c>
      <c r="R128" s="706">
        <v>0</v>
      </c>
      <c r="S128" s="706">
        <v>467.03</v>
      </c>
      <c r="T128" s="706">
        <v>467.03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469.06999999999971</v>
      </c>
      <c r="AN128" s="905">
        <f>INDEX(G128:R128,1,MATCH(Parametres!$B$3,G$1:R$1,0))*IF(OR(F128="L",F128="S",F128="I"),-1,1)</f>
        <v>3736.2</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3736.09</v>
      </c>
      <c r="P129" s="706">
        <v>0</v>
      </c>
      <c r="Q129" s="706">
        <v>0</v>
      </c>
      <c r="R129" s="706">
        <v>0</v>
      </c>
      <c r="S129" s="706">
        <v>467.01</v>
      </c>
      <c r="T129" s="706">
        <v>467.01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469.05999999999995</v>
      </c>
      <c r="AN129" s="905">
        <f>INDEX(G129:R129,1,MATCH(Parametres!$B$3,G$1:R$1,0))*IF(OR(F129="L",F129="S",F129="I"),-1,1)</f>
        <v>3736.09</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2697.65</v>
      </c>
      <c r="P134" s="706">
        <v>0</v>
      </c>
      <c r="Q134" s="706">
        <v>0</v>
      </c>
      <c r="R134" s="706">
        <v>0</v>
      </c>
      <c r="S134" s="706">
        <v>163.5</v>
      </c>
      <c r="T134" s="706">
        <v>163.5</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1307.99</v>
      </c>
      <c r="AN134" s="905">
        <f>INDEX(G134:R134,1,MATCH(Parametres!$B$3,G$1:R$1,0))*IF(OR(F134="L",F134="S",F134="I"),-1,1)</f>
        <v>1307.99</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767.15</v>
      </c>
      <c r="P135" s="706">
        <v>0</v>
      </c>
      <c r="Q135" s="706">
        <v>0</v>
      </c>
      <c r="R135" s="706">
        <v>0</v>
      </c>
      <c r="S135" s="706">
        <v>54.79</v>
      </c>
      <c r="T135" s="706">
        <v>54.79</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438.31</v>
      </c>
      <c r="AN135" s="905">
        <f>INDEX(G135:R135,1,MATCH(Parametres!$B$3,G$1:R$1,0))*IF(OR(F135="L",F135="S",F135="I"),-1,1)</f>
        <v>438.31</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871.15</v>
      </c>
      <c r="P137" s="706">
        <v>0</v>
      </c>
      <c r="Q137" s="706">
        <v>0</v>
      </c>
      <c r="R137" s="706">
        <v>0</v>
      </c>
      <c r="S137" s="706">
        <v>54.45</v>
      </c>
      <c r="T137" s="706">
        <v>54.45</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435.59</v>
      </c>
      <c r="AN137" s="905">
        <f>INDEX(G137:R137,1,MATCH(Parametres!$B$3,G$1:R$1,0))*IF(OR(F137="L",F137="S",F137="I"),-1,1)</f>
        <v>435.59</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16973.03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6395.28</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11864.18</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3520.91</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3755.18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3958.62</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1362.79</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44900.26</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89185.12</v>
      </c>
      <c r="P150" s="706">
        <v>0</v>
      </c>
      <c r="Q150" s="706">
        <v>0</v>
      </c>
      <c r="R150" s="706">
        <v>0</v>
      </c>
      <c r="S150" s="706">
        <v>10674.55</v>
      </c>
      <c r="T150" s="706">
        <v>10674.55</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6492.9900000000052</v>
      </c>
      <c r="AN150" s="905">
        <f>INDEX(G150:R150,1,MATCH(Parametres!$B$3,G$1:R$1,0))*IF(OR(F150="L",F150="S",F150="I"),-1,1)</f>
        <v>85396.41</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1696.99</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12983.85</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7948.64</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6210.5</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96977.65</v>
      </c>
      <c r="P168" s="706">
        <v>0</v>
      </c>
      <c r="Q168" s="706">
        <v>0</v>
      </c>
      <c r="R168" s="706">
        <v>0</v>
      </c>
      <c r="S168" s="706">
        <v>11406.9</v>
      </c>
      <c r="T168" s="706">
        <v>11406.9</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10995.080000000002</v>
      </c>
      <c r="AN168" s="905">
        <f>INDEX(G168:R168,1,MATCH(Parametres!$B$3,G$1:R$1,0))*IF(OR(F168="L",F168="S",F168="I"),-1,1)</f>
        <v>91255.22</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77249.820000000007</v>
      </c>
      <c r="P169" s="706">
        <v>0</v>
      </c>
      <c r="Q169" s="706">
        <v>0</v>
      </c>
      <c r="R169" s="706">
        <v>0</v>
      </c>
      <c r="S169" s="706">
        <v>8418.5300000000007</v>
      </c>
      <c r="T169" s="706">
        <v>8418.5300000000007</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5183.7200000000012</v>
      </c>
      <c r="AN169" s="905">
        <f>INDEX(G169:R169,1,MATCH(Parametres!$B$3,G$1:R$1,0))*IF(OR(F169="L",F169="S",F169="I"),-1,1)</f>
        <v>67348.27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13140.27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27381.57</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12584.57</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28758.35</v>
      </c>
      <c r="P185" s="706">
        <v>0</v>
      </c>
      <c r="Q185" s="706">
        <v>0</v>
      </c>
      <c r="R185" s="706">
        <v>0</v>
      </c>
      <c r="S185" s="706">
        <v>3407.13</v>
      </c>
      <c r="T185" s="706">
        <v>3407.13</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4814.8299999999981</v>
      </c>
      <c r="AN185" s="905">
        <f>INDEX(G185:R185,1,MATCH(Parametres!$B$3,G$1:R$1,0))*IF(OR(F185="L",F185="S",F185="I"),-1,1)</f>
        <v>27257.03</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13039.39</v>
      </c>
      <c r="P186" s="706">
        <v>0</v>
      </c>
      <c r="Q186" s="706">
        <v>0</v>
      </c>
      <c r="R186" s="706">
        <v>0</v>
      </c>
      <c r="S186" s="706">
        <v>1527.9</v>
      </c>
      <c r="T186" s="706">
        <v>1527.9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2309.1100000000006</v>
      </c>
      <c r="AN186" s="905">
        <f>INDEX(G186:R186,1,MATCH(Parametres!$B$3,G$1:R$1,0))*IF(OR(F186="L",F186="S",F186="I"),-1,1)</f>
        <v>12223.18</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25841.38</v>
      </c>
      <c r="P188" s="706">
        <v>0</v>
      </c>
      <c r="Q188" s="706">
        <v>0</v>
      </c>
      <c r="R188" s="706">
        <v>0</v>
      </c>
      <c r="S188" s="706">
        <v>2985.88</v>
      </c>
      <c r="T188" s="706">
        <v>2985.88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3118.8300000000017</v>
      </c>
      <c r="AN188" s="905">
        <f>INDEX(G188:R188,1,MATCH(Parametres!$B$3,G$1:R$1,0))*IF(OR(F188="L",F188="S",F188="I"),-1,1)</f>
        <v>23887.06</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19905.099999999999</v>
      </c>
      <c r="P189" s="706">
        <v>0</v>
      </c>
      <c r="Q189" s="706">
        <v>0</v>
      </c>
      <c r="R189" s="706">
        <v>0</v>
      </c>
      <c r="S189" s="706">
        <v>2048.7600000000002</v>
      </c>
      <c r="T189" s="706">
        <v>2048.7600000000002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1879.2800000000025</v>
      </c>
      <c r="AN189" s="905">
        <f>INDEX(G189:R189,1,MATCH(Parametres!$B$3,G$1:R$1,0))*IF(OR(F189="L",F189="S",F189="I"),-1,1)</f>
        <v>16390.080000000002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17474.689999999999</v>
      </c>
      <c r="P190" s="706">
        <v>0</v>
      </c>
      <c r="Q190" s="706">
        <v>0</v>
      </c>
      <c r="R190" s="706">
        <v>0</v>
      </c>
      <c r="S190" s="706">
        <v>2005.03</v>
      </c>
      <c r="T190" s="706">
        <v>2005.03</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1981.5600000000013</v>
      </c>
      <c r="AN190" s="905">
        <f>INDEX(G190:R190,1,MATCH(Parametres!$B$3,G$1:R$1,0))*IF(OR(F190="L",F190="S",F190="I"),-1,1)</f>
        <v>16040.27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30961.360000000001</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75732.479999999996</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20567.66</v>
      </c>
      <c r="P204" s="706">
        <v>0</v>
      </c>
      <c r="Q204" s="706">
        <v>0</v>
      </c>
      <c r="R204" s="706">
        <v>0</v>
      </c>
      <c r="S204" s="706">
        <v>2566.4699999999998</v>
      </c>
      <c r="T204" s="706">
        <v>2566.4699999999998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859.64999999999782</v>
      </c>
      <c r="AN204" s="905">
        <f>INDEX(G204:R204,1,MATCH(Parametres!$B$3,G$1:R$1,0))*IF(OR(F204="L",F204="S",F204="I"),-1,1)</f>
        <v>20531.78</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13647.77</v>
      </c>
      <c r="P206" s="706">
        <v>0</v>
      </c>
      <c r="Q206" s="706">
        <v>0</v>
      </c>
      <c r="R206" s="706">
        <v>0</v>
      </c>
      <c r="S206" s="706">
        <v>1702.98</v>
      </c>
      <c r="T206" s="706">
        <v>1702.98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557.3799999999992</v>
      </c>
      <c r="AN206" s="905">
        <f>INDEX(G206:R206,1,MATCH(Parametres!$B$3,G$1:R$1,0))*IF(OR(F206="L",F206="S",F206="I"),-1,1)</f>
        <v>13623.83</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20597.72</v>
      </c>
      <c r="P210" s="706">
        <v>0</v>
      </c>
      <c r="Q210" s="706">
        <v>0</v>
      </c>
      <c r="R210" s="706">
        <v>0</v>
      </c>
      <c r="S210" s="706">
        <v>2570.23</v>
      </c>
      <c r="T210" s="706">
        <v>2570.23</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836.06999999999971</v>
      </c>
      <c r="AN210" s="905">
        <f>INDEX(G210:R210,1,MATCH(Parametres!$B$3,G$1:R$1,0))*IF(OR(F210="L",F210="S",F210="I"),-1,1)</f>
        <v>20561.84</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6823.89</v>
      </c>
      <c r="P212" s="706">
        <v>0</v>
      </c>
      <c r="Q212" s="706">
        <v>0</v>
      </c>
      <c r="R212" s="706">
        <v>0</v>
      </c>
      <c r="S212" s="706">
        <v>851.49</v>
      </c>
      <c r="T212" s="706">
        <v>851.49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278.69000000000051</v>
      </c>
      <c r="AN212" s="905">
        <f>INDEX(G212:R212,1,MATCH(Parametres!$B$3,G$1:R$1,0))*IF(OR(F212="L",F212="S",F212="I"),-1,1)</f>
        <v>6811.93</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6823.9</v>
      </c>
      <c r="P214" s="706">
        <v>0</v>
      </c>
      <c r="Q214" s="706">
        <v>0</v>
      </c>
      <c r="R214" s="706">
        <v>0</v>
      </c>
      <c r="S214" s="706">
        <v>851.49</v>
      </c>
      <c r="T214" s="706">
        <v>851.49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278.6899999999996</v>
      </c>
      <c r="AN214" s="905">
        <f>INDEX(G214:R214,1,MATCH(Parametres!$B$3,G$1:R$1,0))*IF(OR(F214="L",F214="S",F214="I"),-1,1)</f>
        <v>6811.94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17789.240000000002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13051.52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0</v>
      </c>
      <c r="Q231" s="706">
        <v>0</v>
      </c>
      <c r="R231" s="706">
        <v>0</v>
      </c>
      <c r="S231" s="706">
        <v>598.70000000000005</v>
      </c>
      <c r="T231" s="706">
        <v>598.70000000000005</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672.34999999999945</v>
      </c>
      <c r="AN231" s="905">
        <f>INDEX(G231:R231,1,MATCH(Parametres!$B$3,G$1:R$1,0))*IF(OR(F231="L",F231="S",F231="I"),-1,1)</f>
        <v>4789.62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0</v>
      </c>
      <c r="Q232" s="706">
        <v>0</v>
      </c>
      <c r="R232" s="706">
        <v>0</v>
      </c>
      <c r="S232" s="706">
        <v>346.34</v>
      </c>
      <c r="T232" s="706">
        <v>346.34</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448.22999999999956</v>
      </c>
      <c r="AN232" s="905">
        <f>INDEX(G232:R232,1,MATCH(Parametres!$B$3,G$1:R$1,0))*IF(OR(F232="L",F232="S",F232="I"),-1,1)</f>
        <v>2770.74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4975.37</v>
      </c>
      <c r="P234" s="706">
        <v>0</v>
      </c>
      <c r="Q234" s="706">
        <v>0</v>
      </c>
      <c r="R234" s="706">
        <v>0</v>
      </c>
      <c r="S234" s="706">
        <v>563.87</v>
      </c>
      <c r="T234" s="706">
        <v>563.87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727.34999999999991</v>
      </c>
      <c r="AN234" s="905">
        <f>INDEX(G234:R234,1,MATCH(Parametres!$B$3,G$1:R$1,0))*IF(OR(F234="L",F234="S",F234="I"),-1,1)</f>
        <v>4510.99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0</v>
      </c>
      <c r="Q235" s="706">
        <v>0</v>
      </c>
      <c r="R235" s="706">
        <v>0</v>
      </c>
      <c r="S235" s="706">
        <v>173.17</v>
      </c>
      <c r="T235" s="706">
        <v>173.17</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224.12000000000012</v>
      </c>
      <c r="AN235" s="905">
        <f>INDEX(G235:R235,1,MATCH(Parametres!$B$3,G$1:R$1,0))*IF(OR(F235="L",F235="S",F235="I"),-1,1)</f>
        <v>1385.39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0</v>
      </c>
      <c r="Q236" s="706">
        <v>0</v>
      </c>
      <c r="R236" s="706">
        <v>0</v>
      </c>
      <c r="S236" s="706">
        <v>173.16</v>
      </c>
      <c r="T236" s="706">
        <v>173.16</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224.08999999999992</v>
      </c>
      <c r="AN236" s="905">
        <f>INDEX(G236:R236,1,MATCH(Parametres!$B$3,G$1:R$1,0))*IF(OR(F236="L",F236="S",F236="I"),-1,1)</f>
        <v>1385.3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445674.36</v>
      </c>
      <c r="P246" s="706">
        <v>0</v>
      </c>
      <c r="Q246" s="706">
        <v>0</v>
      </c>
      <c r="R246" s="706">
        <v>0</v>
      </c>
      <c r="S246" s="706">
        <v>56146.11</v>
      </c>
      <c r="T246" s="706">
        <v>56146.11</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26524.73000000004</v>
      </c>
      <c r="AN246" s="905">
        <f>INDEX(G246:R246,1,MATCH(Parametres!$B$3,G$1:R$1,0))*IF(OR(F246="L",F246="S",F246="I"),-1,1)</f>
        <v>449168.84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212614</v>
      </c>
      <c r="P247" s="706">
        <v>0</v>
      </c>
      <c r="Q247" s="706">
        <v>0</v>
      </c>
      <c r="R247" s="706">
        <v>0</v>
      </c>
      <c r="S247" s="706">
        <v>26889.25</v>
      </c>
      <c r="T247" s="706">
        <v>26889.25</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6068.5199999999895</v>
      </c>
      <c r="AN247" s="905">
        <f>INDEX(G247:R247,1,MATCH(Parametres!$B$3,G$1:R$1,0))*IF(OR(F247="L",F247="S",F247="I"),-1,1)</f>
        <v>215114</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10471.67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6129.68</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3803.97</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3064.9</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3085.03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16937.45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31496.81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13397.49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14774.13</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1470.36</v>
      </c>
      <c r="P343" s="706">
        <v>0</v>
      </c>
      <c r="Q343" s="706">
        <v>0</v>
      </c>
      <c r="R343" s="706">
        <v>0</v>
      </c>
      <c r="S343" s="706">
        <v>183.8</v>
      </c>
      <c r="T343" s="706">
        <v>183.8</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146.26</v>
      </c>
      <c r="AN343" s="905">
        <f>INDEX(G343:R343,1,MATCH(Parametres!$B$3,G$1:R$1,0))*IF(OR(F343="L",F343="S",F343="I"),-1,1)</f>
        <v>1470.36</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484.68</v>
      </c>
      <c r="P344" s="706">
        <v>0</v>
      </c>
      <c r="Q344" s="706">
        <v>0</v>
      </c>
      <c r="R344" s="706">
        <v>0</v>
      </c>
      <c r="S344" s="706">
        <v>60.59</v>
      </c>
      <c r="T344" s="706">
        <v>60.59</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83.68</v>
      </c>
      <c r="AN344" s="905">
        <f>INDEX(G344:R344,1,MATCH(Parametres!$B$3,G$1:R$1,0))*IF(OR(F344="L",F344="S",F344="I"),-1,1)</f>
        <v>484.68</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6019.75</v>
      </c>
      <c r="P345" s="706">
        <v>0</v>
      </c>
      <c r="Q345" s="706">
        <v>0</v>
      </c>
      <c r="R345" s="706">
        <v>0</v>
      </c>
      <c r="S345" s="706">
        <v>695.17</v>
      </c>
      <c r="T345" s="706">
        <v>695.17</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597.41000000000076</v>
      </c>
      <c r="AN345" s="905">
        <f>INDEX(G345:R345,1,MATCH(Parametres!$B$3,G$1:R$1,0))*IF(OR(F345="L",F345="S",F345="I"),-1,1)</f>
        <v>5561.39</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416.4</v>
      </c>
      <c r="P346" s="706">
        <v>0</v>
      </c>
      <c r="Q346" s="706">
        <v>0</v>
      </c>
      <c r="R346" s="706">
        <v>0</v>
      </c>
      <c r="S346" s="706">
        <v>52.05</v>
      </c>
      <c r="T346" s="706">
        <v>52.05</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30.599999999999966</v>
      </c>
      <c r="AN346" s="905">
        <f>INDEX(G346:R346,1,MATCH(Parametres!$B$3,G$1:R$1,0))*IF(OR(F346="L",F346="S",F346="I"),-1,1)</f>
        <v>416.4</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278.25</v>
      </c>
      <c r="P347" s="706">
        <v>0</v>
      </c>
      <c r="Q347" s="706">
        <v>0</v>
      </c>
      <c r="R347" s="706">
        <v>0</v>
      </c>
      <c r="S347" s="706">
        <v>33.75</v>
      </c>
      <c r="T347" s="706">
        <v>33.75</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38.080000000000013</v>
      </c>
      <c r="AN347" s="905">
        <f>INDEX(G347:R347,1,MATCH(Parametres!$B$3,G$1:R$1,0))*IF(OR(F347="L",F347="S",F347="I"),-1,1)</f>
        <v>270</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945237.65</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91704.52</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15694</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481695.57</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21122.84</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17323.61</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104462.03</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-3582.3600000000079</v>
      </c>
      <c r="AN373" s="905">
        <f>INDEX(G373:R373,1,MATCH(Parametres!$B$3,G$1:R$1,0))*IF(OR(F373="L",F373="S",F373="I"),-1,1)</f>
        <v>63379.1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1011024.33</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-293214.87</v>
      </c>
      <c r="AN374" s="905">
        <f>INDEX(G374:R374,1,MATCH(Parametres!$B$3,G$1:R$1,0))*IF(OR(F374="L",F374="S",F374="I"),-1,1)</f>
        <v>536219.31999999995</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10948.41</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-7963.6600000000017</v>
      </c>
      <c r="AN375" s="905">
        <f>INDEX(G375:R375,1,MATCH(Parametres!$B$3,G$1:R$1,0))*IF(OR(F375="L",F375="S",F375="I"),-1,1)</f>
        <v>11068.63</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59854.86</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310367.89</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392263.06</v>
      </c>
      <c r="AN377" s="905">
        <f>INDEX(G377:R377,1,MATCH(Parametres!$B$3,G$1:R$1,0))*IF(OR(F377="L",F377="S",F377="I"),-1,1)</f>
        <v>447211.82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132462.42000000001</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525728.1</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0</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632708.05000000005</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623.07000000000005</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2184.9299999999998</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1305.74</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990.93</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15889102.199999999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-1617168.6599999983</v>
      </c>
      <c r="AN426" s="905">
        <f>INDEX(G426:R426,1,MATCH(Parametres!$B$3,G$1:R$1,0))*IF(OR(F426="L",F426="S",F426="I"),-1,1)</f>
        <v>15936608.33</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203210.53</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2285856.2400000002</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511260.49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2740445.03</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537257.66</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51492.71</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18861.11</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-716.4</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-27813.97</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665</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30699.25</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-5927.78</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-2290.13</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-11132.82</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350500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-18389.759999999998</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78267.839999999997</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137089.42000000001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9062.94</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13965.75</v>
      </c>
      <c r="AN458" s="905">
        <f>INDEX(G458:R458,1,MATCH(Parametres!$B$3,G$1:R$1,0))*IF(OR(F458="L",F458="S",F458="I"),-1,1)</f>
        <v>11209.44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-3352.87</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190615.76</v>
      </c>
      <c r="O467" s="706">
        <v>219355.41</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-88807.13</v>
      </c>
      <c r="AN467" s="905">
        <f>INDEX(G467:R467,1,MATCH(Parametres!$B$3,G$1:R$1,0))*IF(OR(F467="L",F467="S",F467="I"),-1,1)</f>
        <v>190615.76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3284.55</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3442</v>
      </c>
      <c r="D475" s="706" t="s">
        <v>3443</v>
      </c>
      <c r="E475" s="706" t="s">
        <v>333</v>
      </c>
      <c r="F475" s="706" t="s">
        <v>1136</v>
      </c>
      <c r="G475" s="706">
        <v>0</v>
      </c>
      <c r="H475" s="706">
        <v>0</v>
      </c>
      <c r="I475" s="706">
        <v>0</v>
      </c>
      <c r="J475" s="706">
        <v>0</v>
      </c>
      <c r="K475" s="706">
        <v>0</v>
      </c>
      <c r="L475" s="706">
        <v>0</v>
      </c>
      <c r="M475" s="706">
        <v>0</v>
      </c>
      <c r="N475" s="706">
        <v>30252</v>
      </c>
      <c r="O475" s="706">
        <v>30252</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0</v>
      </c>
      <c r="AM475" s="905">
        <f t="shared" si="44"/>
        <v>30252</v>
      </c>
      <c r="AN475" s="905">
        <f>INDEX(G475:R475,1,MATCH(Parametres!$B$3,G$1:R$1,0))*IF(OR(F475="L",F475="S",F475="I"),-1,1)</f>
        <v>30252</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379282.62</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0</v>
      </c>
      <c r="AN481" s="905">
        <f>INDEX(G481:R481,1,MATCH(Parametres!$B$3,G$1:R$1,0))*IF(OR(F481="L",F481="S",F481="I"),-1,1)</f>
        <v>368778.01</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250530.55</v>
      </c>
      <c r="O483" s="706">
        <v>250530.55</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214593.95</v>
      </c>
      <c r="AM483" s="905">
        <f t="shared" si="44"/>
        <v>35936.599999999977</v>
      </c>
      <c r="AN483" s="905">
        <f>INDEX(G483:R483,1,MATCH(Parametres!$B$3,G$1:R$1,0))*IF(OR(F483="L",F483="S",F483="I"),-1,1)</f>
        <v>250530.55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268617.12</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267836.38</v>
      </c>
      <c r="AM484" s="905">
        <f t="shared" si="44"/>
        <v>780.73999999999069</v>
      </c>
      <c r="AN484" s="905">
        <f>INDEX(G484:R484,1,MATCH(Parametres!$B$3,G$1:R$1,0))*IF(OR(F484="L",F484="S",F484="I"),-1,1)</f>
        <v>268617.12</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-66.849999999999994</v>
      </c>
      <c r="AM490" s="905">
        <f t="shared" si="44"/>
        <v>66.849999999999994</v>
      </c>
      <c r="AN490" s="905">
        <f>INDEX(G490:R490,1,MATCH(Parametres!$B$3,G$1:R$1,0))*IF(OR(F490="L",F490="S",F490="I"),-1,1)</f>
        <v>0</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779504.96</v>
      </c>
      <c r="O491" s="706">
        <v>1785895.91</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-2226444.64</v>
      </c>
      <c r="AM491" s="905">
        <f t="shared" si="44"/>
        <v>1446939.6800000002</v>
      </c>
      <c r="AN491" s="905">
        <f>INDEX(G491:R491,1,MATCH(Parametres!$B$3,G$1:R$1,0))*IF(OR(F491="L",F491="S",F491="I"),-1,1)</f>
        <v>-779504.96</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2044</v>
      </c>
      <c r="D492" s="706" t="s">
        <v>2045</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COMPTES A PAYER OPEN-ITEM</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COMPTES A PAYER OPEN-ITEM</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-215.93</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-9647.8700000000008</v>
      </c>
      <c r="AM494" s="905">
        <f t="shared" si="44"/>
        <v>3493.1000000000004</v>
      </c>
      <c r="AN494" s="905">
        <f>INDEX(G494:R494,1,MATCH(Parametres!$B$3,G$1:R$1,0))*IF(OR(F494="L",F494="S",F494="I"),-1,1)</f>
        <v>-6154.77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3414</v>
      </c>
      <c r="D495" s="706" t="s">
        <v>3415</v>
      </c>
      <c r="E495" s="706" t="s">
        <v>1139</v>
      </c>
      <c r="F495" s="706" t="s">
        <v>1135</v>
      </c>
      <c r="G495" s="706">
        <v>0</v>
      </c>
      <c r="H495" s="706">
        <v>0</v>
      </c>
      <c r="I495" s="706">
        <v>0</v>
      </c>
      <c r="J495" s="706">
        <v>0</v>
      </c>
      <c r="K495" s="706">
        <v>0</v>
      </c>
      <c r="L495" s="706">
        <v>0</v>
      </c>
      <c r="M495" s="706">
        <v>1467.1</v>
      </c>
      <c r="N495" s="706">
        <v>664.1</v>
      </c>
      <c r="O495" s="706">
        <v>2071.1</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G30025</v>
      </c>
      <c r="AK495" s="905" t="str">
        <f t="shared" si="49"/>
        <v>PRODUITS F&amp;I - SERVICE</v>
      </c>
      <c r="AL495" s="905">
        <f>IFERROR(INDEX(G495:R495,1,MATCH(Parametres!$B$3,G$1:R$1,0)-1)*IF(OR(F495="L",F495="S",F495="I"),-1,1),"")</f>
        <v>-1467.1</v>
      </c>
      <c r="AM495" s="905">
        <f t="shared" si="44"/>
        <v>802.99999999999989</v>
      </c>
      <c r="AN495" s="905">
        <f>INDEX(G495:R495,1,MATCH(Parametres!$B$3,G$1:R$1,0))*IF(OR(F495="L",F495="S",F495="I"),-1,1)</f>
        <v>-664.1</v>
      </c>
      <c r="AO495" s="487" t="str">
        <f>+VLOOKUP($AJ495,Data_Validation!$A:$D,1,0)</f>
        <v>G30025</v>
      </c>
      <c r="AP495" s="487" t="str">
        <f>+VLOOKUP($AJ495,Data_Validation!$A:$D,3,0)</f>
        <v>Bilan</v>
      </c>
      <c r="AQ495" s="487" t="str">
        <f>+VLOOKUP($AJ495,Data_Validation!$A:$D,4,0)</f>
        <v>Autres Comptes à Payer</v>
      </c>
      <c r="AR495" s="487" t="s">
        <v>299</v>
      </c>
      <c r="AS495" s="487">
        <f>+VLOOKUP($AJ495,Data_Validation!$A:$E,5,0)</f>
        <v>0</v>
      </c>
      <c r="AT495" s="904" t="str">
        <f t="shared" si="45"/>
        <v>G30025</v>
      </c>
      <c r="AU495" s="488" t="str">
        <f t="shared" si="46"/>
        <v>PRODUITS F&amp;I - SERVICE</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2050</v>
      </c>
      <c r="D496" s="706" t="s">
        <v>2051</v>
      </c>
      <c r="E496" s="706" t="s">
        <v>333</v>
      </c>
      <c r="F496" s="706" t="s">
        <v>1135</v>
      </c>
      <c r="G496" s="706">
        <v>1633.5</v>
      </c>
      <c r="H496" s="706">
        <v>2146.5</v>
      </c>
      <c r="I496" s="706">
        <v>1795.5</v>
      </c>
      <c r="J496" s="706">
        <v>2093</v>
      </c>
      <c r="K496" s="706">
        <v>2628</v>
      </c>
      <c r="L496" s="706">
        <v>1629</v>
      </c>
      <c r="M496" s="706">
        <v>1467</v>
      </c>
      <c r="N496" s="706">
        <v>1624.5</v>
      </c>
      <c r="O496" s="706">
        <v>3015</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G30030</v>
      </c>
      <c r="AK496" s="905" t="str">
        <f t="shared" si="49"/>
        <v>DROIT SPECIF. SUR PNEUS</v>
      </c>
      <c r="AL496" s="905">
        <f>IFERROR(INDEX(G496:R496,1,MATCH(Parametres!$B$3,G$1:R$1,0)-1)*IF(OR(F496="L",F496="S",F496="I"),-1,1),"")</f>
        <v>-1467</v>
      </c>
      <c r="AM496" s="905">
        <f t="shared" si="44"/>
        <v>-157.5</v>
      </c>
      <c r="AN496" s="905">
        <f>INDEX(G496:R496,1,MATCH(Parametres!$B$3,G$1:R$1,0))*IF(OR(F496="L",F496="S",F496="I"),-1,1)</f>
        <v>-1624.5</v>
      </c>
      <c r="AO496" s="487" t="str">
        <f>+VLOOKUP($AJ496,Data_Validation!$A:$D,1,0)</f>
        <v>G30030</v>
      </c>
      <c r="AP496" s="487" t="str">
        <f>+VLOOKUP($AJ496,Data_Validation!$A:$D,3,0)</f>
        <v>Bilan</v>
      </c>
      <c r="AQ496" s="487" t="str">
        <f>+VLOOKUP($AJ496,Data_Validation!$A:$D,4,0)</f>
        <v>Taxes de Vente à Payer</v>
      </c>
      <c r="AR496" s="487" t="s">
        <v>299</v>
      </c>
      <c r="AS496" s="487">
        <f>+VLOOKUP($AJ496,Data_Validation!$A:$E,5,0)</f>
        <v>0</v>
      </c>
      <c r="AT496" s="904" t="str">
        <f t="shared" si="45"/>
        <v>G30030</v>
      </c>
      <c r="AU496" s="488" t="str">
        <f t="shared" si="46"/>
        <v>DROIT SPECIF. SUR PNEUS</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3321</v>
      </c>
      <c r="D497" s="706" t="s">
        <v>3322</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G30035</v>
      </c>
      <c r="AK497" s="905" t="str">
        <f t="shared" si="49"/>
        <v>AP VEH BMW SHERBROOKE</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G30035</v>
      </c>
      <c r="AU497" s="488" t="str">
        <f t="shared" si="46"/>
        <v>AP VEH BMW SHERBROOKE</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customHeight="1">
      <c r="A498" s="706" t="s">
        <v>1148</v>
      </c>
      <c r="B498" s="706">
        <v>2026</v>
      </c>
      <c r="C498" s="706" t="s">
        <v>2052</v>
      </c>
      <c r="D498" s="706" t="s">
        <v>2053</v>
      </c>
      <c r="E498" s="706" t="s">
        <v>333</v>
      </c>
      <c r="F498" s="706" t="s">
        <v>1135</v>
      </c>
      <c r="G498" s="706">
        <v>44500</v>
      </c>
      <c r="H498" s="706">
        <v>44500</v>
      </c>
      <c r="I498" s="706">
        <v>44500</v>
      </c>
      <c r="J498" s="706">
        <v>44500</v>
      </c>
      <c r="K498" s="706">
        <v>44500</v>
      </c>
      <c r="L498" s="706">
        <v>44500</v>
      </c>
      <c r="M498" s="706">
        <v>-55500</v>
      </c>
      <c r="N498" s="706">
        <v>-55500</v>
      </c>
      <c r="O498" s="706">
        <v>-55500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G30040</v>
      </c>
      <c r="AK498" s="905" t="str">
        <f t="shared" si="49"/>
        <v>AVANCE REMARK. AUTO CANAD</v>
      </c>
      <c r="AL498" s="905">
        <f>IFERROR(INDEX(G498:R498,1,MATCH(Parametres!$B$3,G$1:R$1,0)-1)*IF(OR(F498="L",F498="S",F498="I"),-1,1),"")</f>
        <v>55500</v>
      </c>
      <c r="AM498" s="905">
        <f t="shared" si="44"/>
        <v>0</v>
      </c>
      <c r="AN498" s="905">
        <f>INDEX(G498:R498,1,MATCH(Parametres!$B$3,G$1:R$1,0))*IF(OR(F498="L",F498="S",F498="I"),-1,1)</f>
        <v>55500</v>
      </c>
      <c r="AO498" s="487" t="str">
        <f>+VLOOKUP($AJ498,Data_Validation!$A:$D,1,0)</f>
        <v>G30040</v>
      </c>
      <c r="AP498" s="487" t="str">
        <f>+VLOOKUP($AJ498,Data_Validation!$A:$D,3,0)</f>
        <v>Bilan</v>
      </c>
      <c r="AQ498" s="487" t="str">
        <f>+VLOOKUP($AJ498,Data_Validation!$A:$D,4,0)</f>
        <v>Payables Intercos</v>
      </c>
      <c r="AR498" s="487" t="s">
        <v>299</v>
      </c>
      <c r="AS498" s="487">
        <f>+VLOOKUP($AJ498,Data_Validation!$A:$E,5,0)</f>
        <v>0</v>
      </c>
      <c r="AT498" s="904" t="str">
        <f t="shared" si="45"/>
        <v>G30040</v>
      </c>
      <c r="AU498" s="488" t="str">
        <f t="shared" si="46"/>
        <v>AVANCE REMARK. AUTO CANAD</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3323</v>
      </c>
      <c r="D499" s="706" t="s">
        <v>3324</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G30041</v>
      </c>
      <c r="AK499" s="905" t="str">
        <f t="shared" si="49"/>
        <v>AP VEH LOCATION LMB</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G30041</v>
      </c>
      <c r="AU499" s="488" t="str">
        <f t="shared" si="46"/>
        <v>AP VEH LOCATION LMB</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2054</v>
      </c>
      <c r="D500" s="706" t="s">
        <v>2055</v>
      </c>
      <c r="E500" s="706" t="s">
        <v>333</v>
      </c>
      <c r="F500" s="706" t="s">
        <v>1135</v>
      </c>
      <c r="G500" s="706">
        <v>3562</v>
      </c>
      <c r="H500" s="706">
        <v>3562</v>
      </c>
      <c r="I500" s="706">
        <v>3562</v>
      </c>
      <c r="J500" s="706">
        <v>3562</v>
      </c>
      <c r="K500" s="706">
        <v>3562</v>
      </c>
      <c r="L500" s="706">
        <v>3562</v>
      </c>
      <c r="M500" s="706">
        <v>3562</v>
      </c>
      <c r="N500" s="706">
        <v>3562</v>
      </c>
      <c r="O500" s="706">
        <v>3562</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G30045</v>
      </c>
      <c r="AK500" s="905" t="str">
        <f t="shared" si="49"/>
        <v>AVANCE 9046-6640 QC INC</v>
      </c>
      <c r="AL500" s="905">
        <f>IFERROR(INDEX(G500:R500,1,MATCH(Parametres!$B$3,G$1:R$1,0)-1)*IF(OR(F500="L",F500="S",F500="I"),-1,1),"")</f>
        <v>-3562</v>
      </c>
      <c r="AM500" s="905">
        <f t="shared" si="44"/>
        <v>0</v>
      </c>
      <c r="AN500" s="905">
        <f>INDEX(G500:R500,1,MATCH(Parametres!$B$3,G$1:R$1,0))*IF(OR(F500="L",F500="S",F500="I"),-1,1)</f>
        <v>-3562</v>
      </c>
      <c r="AO500" s="487" t="str">
        <f>+VLOOKUP($AJ500,Data_Validation!$A:$D,1,0)</f>
        <v>G30045</v>
      </c>
      <c r="AP500" s="487" t="str">
        <f>+VLOOKUP($AJ500,Data_Validation!$A:$D,3,0)</f>
        <v>Bilan</v>
      </c>
      <c r="AQ500" s="487" t="str">
        <f>+VLOOKUP($AJ500,Data_Validation!$A:$D,4,0)</f>
        <v>Payables Intercos</v>
      </c>
      <c r="AR500" s="487" t="s">
        <v>299</v>
      </c>
      <c r="AS500" s="487">
        <f>+VLOOKUP($AJ500,Data_Validation!$A:$E,5,0)</f>
        <v>0</v>
      </c>
      <c r="AT500" s="904" t="str">
        <f t="shared" si="45"/>
        <v>G30045</v>
      </c>
      <c r="AU500" s="488" t="str">
        <f t="shared" si="46"/>
        <v>AVANCE 9046-6640 QC INC</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2056</v>
      </c>
      <c r="D501" s="706" t="s">
        <v>2057</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G30046</v>
      </c>
      <c r="AK501" s="905" t="str">
        <f t="shared" si="49"/>
        <v>AVANCE HYUNDAI ST-CONSTAN</v>
      </c>
      <c r="AL501" s="905">
        <f>IFERROR(INDEX(G501:R501,1,MATCH(Parametres!$B$3,G$1:R$1,0)-1)*IF(OR(F501="L",F501="S",F501="I"),-1,1),"")</f>
        <v>0</v>
      </c>
      <c r="AM501" s="905">
        <f t="shared" si="44"/>
        <v>0</v>
      </c>
      <c r="AN501" s="905">
        <f>INDEX(G501:R501,1,MATCH(Parametres!$B$3,G$1:R$1,0))*IF(OR(F501="L",F501="S",F501="I"),-1,1)</f>
        <v>0</v>
      </c>
      <c r="AO501" s="487" t="str">
        <f>+VLOOKUP($AJ501,Data_Validation!$A:$D,1,0)</f>
        <v>G30046</v>
      </c>
      <c r="AP501" s="487" t="str">
        <f>+VLOOKUP($AJ501,Data_Validation!$A:$D,3,0)</f>
        <v>Bilan</v>
      </c>
      <c r="AQ501" s="487" t="str">
        <f>+VLOOKUP($AJ501,Data_Validation!$A:$D,4,0)</f>
        <v>Payables Intercos</v>
      </c>
      <c r="AR501" s="487" t="s">
        <v>299</v>
      </c>
      <c r="AS501" s="487">
        <f>+VLOOKUP($AJ501,Data_Validation!$A:$E,5,0)</f>
        <v>0</v>
      </c>
      <c r="AT501" s="904" t="str">
        <f t="shared" si="45"/>
        <v>G30046</v>
      </c>
      <c r="AU501" s="488" t="str">
        <f t="shared" si="46"/>
        <v>AVANCE HYUNDAI ST-CONSTAN</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2058</v>
      </c>
      <c r="D502" s="706" t="s">
        <v>2059</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G30047</v>
      </c>
      <c r="AK502" s="905" t="str">
        <f t="shared" si="49"/>
        <v>AVANCE - PAUL LOISELLE</v>
      </c>
      <c r="AL502" s="905">
        <f>IFERROR(INDEX(G502:R502,1,MATCH(Parametres!$B$3,G$1:R$1,0)-1)*IF(OR(F502="L",F502="S",F502="I"),-1,1),"")</f>
        <v>0</v>
      </c>
      <c r="AM502" s="905">
        <f t="shared" si="44"/>
        <v>0</v>
      </c>
      <c r="AN502" s="905">
        <f>INDEX(G502:R502,1,MATCH(Parametres!$B$3,G$1:R$1,0))*IF(OR(F502="L",F502="S",F502="I"),-1,1)</f>
        <v>0</v>
      </c>
      <c r="AO502" s="487" t="str">
        <f>+VLOOKUP($AJ502,Data_Validation!$A:$D,1,0)</f>
        <v>G30047</v>
      </c>
      <c r="AP502" s="487" t="str">
        <f>+VLOOKUP($AJ502,Data_Validation!$A:$D,3,0)</f>
        <v>Bilan</v>
      </c>
      <c r="AQ502" s="487" t="str">
        <f>+VLOOKUP($AJ502,Data_Validation!$A:$D,4,0)</f>
        <v>Payables Intercos</v>
      </c>
      <c r="AR502" s="487" t="s">
        <v>299</v>
      </c>
      <c r="AS502" s="487">
        <f>+VLOOKUP($AJ502,Data_Validation!$A:$E,5,0)</f>
        <v>0</v>
      </c>
      <c r="AT502" s="904" t="str">
        <f t="shared" si="45"/>
        <v>G30047</v>
      </c>
      <c r="AU502" s="488" t="str">
        <f t="shared" si="46"/>
        <v>AVANCE - PAUL LOISELLE</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2060</v>
      </c>
      <c r="D503" s="706" t="s">
        <v>2061</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G30048</v>
      </c>
      <c r="AK503" s="905" t="str">
        <f t="shared" si="49"/>
        <v>AVANCE LUC POIRIER</v>
      </c>
      <c r="AL503" s="905">
        <f>IFERROR(INDEX(G503:R503,1,MATCH(Parametres!$B$3,G$1:R$1,0)-1)*IF(OR(F503="L",F503="S",F503="I"),-1,1),"")</f>
        <v>0</v>
      </c>
      <c r="AM503" s="905">
        <f t="shared" si="44"/>
        <v>0</v>
      </c>
      <c r="AN503" s="905">
        <f>INDEX(G503:R503,1,MATCH(Parametres!$B$3,G$1:R$1,0))*IF(OR(F503="L",F503="S",F503="I"),-1,1)</f>
        <v>0</v>
      </c>
      <c r="AO503" s="487" t="str">
        <f>+VLOOKUP($AJ503,Data_Validation!$A:$D,1,0)</f>
        <v>G30048</v>
      </c>
      <c r="AP503" s="487">
        <f>+VLOOKUP($AJ503,Data_Validation!$A:$D,3,0)</f>
        <v>0</v>
      </c>
      <c r="AQ503" s="487">
        <f>+VLOOKUP($AJ503,Data_Validation!$A:$D,4,0)</f>
        <v>0</v>
      </c>
      <c r="AR503" s="487" t="s">
        <v>299</v>
      </c>
      <c r="AS503" s="487">
        <f>+VLOOKUP($AJ503,Data_Validation!$A:$E,5,0)</f>
        <v>0</v>
      </c>
      <c r="AT503" s="904" t="str">
        <f t="shared" si="45"/>
        <v>G30048</v>
      </c>
      <c r="AU503" s="488" t="str">
        <f t="shared" si="46"/>
        <v>AVANCE LUC POIRIER</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2062</v>
      </c>
      <c r="D504" s="706" t="s">
        <v>2063</v>
      </c>
      <c r="E504" s="706" t="s">
        <v>1141</v>
      </c>
      <c r="F504" s="706" t="s">
        <v>1135</v>
      </c>
      <c r="G504" s="706">
        <v>0</v>
      </c>
      <c r="H504" s="706">
        <v>0</v>
      </c>
      <c r="I504" s="706">
        <v>991</v>
      </c>
      <c r="J504" s="706">
        <v>991</v>
      </c>
      <c r="K504" s="706">
        <v>991</v>
      </c>
      <c r="L504" s="706">
        <v>991</v>
      </c>
      <c r="M504" s="706">
        <v>-93508.06</v>
      </c>
      <c r="N504" s="706">
        <v>-100883.1</v>
      </c>
      <c r="O504" s="706">
        <v>-100883.1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G30050</v>
      </c>
      <c r="AK504" s="905" t="str">
        <f t="shared" si="49"/>
        <v>REVENUS DIFFERES</v>
      </c>
      <c r="AL504" s="905">
        <f>IFERROR(INDEX(G504:R504,1,MATCH(Parametres!$B$3,G$1:R$1,0)-1)*IF(OR(F504="L",F504="S",F504="I"),-1,1),"")</f>
        <v>93508.06</v>
      </c>
      <c r="AM504" s="905">
        <f t="shared" si="44"/>
        <v>7375.0400000000081</v>
      </c>
      <c r="AN504" s="905">
        <f>INDEX(G504:R504,1,MATCH(Parametres!$B$3,G$1:R$1,0))*IF(OR(F504="L",F504="S",F504="I"),-1,1)</f>
        <v>100883.1</v>
      </c>
      <c r="AO504" s="487" t="str">
        <f>+VLOOKUP($AJ504,Data_Validation!$A:$D,1,0)</f>
        <v>G30050</v>
      </c>
      <c r="AP504" s="487" t="str">
        <f>+VLOOKUP($AJ504,Data_Validation!$A:$D,3,0)</f>
        <v>Bilan</v>
      </c>
      <c r="AQ504" s="487" t="str">
        <f>+VLOOKUP($AJ504,Data_Validation!$A:$D,4,0)</f>
        <v>Autres Courus</v>
      </c>
      <c r="AR504" s="487" t="s">
        <v>299</v>
      </c>
      <c r="AS504" s="487">
        <f>+VLOOKUP($AJ504,Data_Validation!$A:$E,5,0)</f>
        <v>0</v>
      </c>
      <c r="AT504" s="904" t="str">
        <f t="shared" si="45"/>
        <v>G30050</v>
      </c>
      <c r="AU504" s="488" t="str">
        <f t="shared" si="46"/>
        <v>REVENUS DIFFERES</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2064</v>
      </c>
      <c r="D505" s="706" t="s">
        <v>2065</v>
      </c>
      <c r="E505" s="706" t="s">
        <v>1141</v>
      </c>
      <c r="F505" s="706" t="s">
        <v>1135</v>
      </c>
      <c r="G505" s="706">
        <v>289413.49</v>
      </c>
      <c r="H505" s="706">
        <v>363152.12</v>
      </c>
      <c r="I505" s="706">
        <v>480330.18</v>
      </c>
      <c r="J505" s="706">
        <v>469909.63</v>
      </c>
      <c r="K505" s="706">
        <v>549896.92000000004</v>
      </c>
      <c r="L505" s="706">
        <v>611748.11</v>
      </c>
      <c r="M505" s="706">
        <v>664272.38</v>
      </c>
      <c r="N505" s="706">
        <v>564818.21</v>
      </c>
      <c r="O505" s="706">
        <v>574979.21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G30051</v>
      </c>
      <c r="AK505" s="905" t="str">
        <f t="shared" si="49"/>
        <v>REVENUS DIFFERÉS II</v>
      </c>
      <c r="AL505" s="905">
        <f>IFERROR(INDEX(G505:R505,1,MATCH(Parametres!$B$3,G$1:R$1,0)-1)*IF(OR(F505="L",F505="S",F505="I"),-1,1),"")</f>
        <v>-664272.38</v>
      </c>
      <c r="AM505" s="905">
        <f t="shared" si="44"/>
        <v>99454.170000000042</v>
      </c>
      <c r="AN505" s="905">
        <f>INDEX(G505:R505,1,MATCH(Parametres!$B$3,G$1:R$1,0))*IF(OR(F505="L",F505="S",F505="I"),-1,1)</f>
        <v>-564818.21</v>
      </c>
      <c r="AO505" s="487" t="str">
        <f>+VLOOKUP($AJ505,Data_Validation!$A:$D,1,0)</f>
        <v>G30051</v>
      </c>
      <c r="AP505" s="487" t="str">
        <f>+VLOOKUP($AJ505,Data_Validation!$A:$D,3,0)</f>
        <v>Bilan</v>
      </c>
      <c r="AQ505" s="487" t="str">
        <f>+VLOOKUP($AJ505,Data_Validation!$A:$D,4,0)</f>
        <v>Autres Courus</v>
      </c>
      <c r="AR505" s="487" t="s">
        <v>299</v>
      </c>
      <c r="AS505" s="487">
        <f>+VLOOKUP($AJ505,Data_Validation!$A:$E,5,0)</f>
        <v>0</v>
      </c>
      <c r="AT505" s="904" t="str">
        <f t="shared" si="45"/>
        <v>G30051</v>
      </c>
      <c r="AU505" s="488" t="str">
        <f t="shared" si="46"/>
        <v>REVENUS DIFFERÉS II</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2066</v>
      </c>
      <c r="D506" s="706" t="s">
        <v>2067</v>
      </c>
      <c r="E506" s="706" t="s">
        <v>333</v>
      </c>
      <c r="F506" s="706" t="s">
        <v>1135</v>
      </c>
      <c r="G506" s="706">
        <v>185658.82</v>
      </c>
      <c r="H506" s="706">
        <v>143527.18</v>
      </c>
      <c r="I506" s="706">
        <v>-83147.490000000005</v>
      </c>
      <c r="J506" s="706">
        <v>37749.65</v>
      </c>
      <c r="K506" s="706">
        <v>54764.9</v>
      </c>
      <c r="L506" s="706">
        <v>-112099.49</v>
      </c>
      <c r="M506" s="706">
        <v>-170929.61</v>
      </c>
      <c r="N506" s="706">
        <v>-189007.11</v>
      </c>
      <c r="O506" s="706">
        <v>-189007.11</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G30055</v>
      </c>
      <c r="AK506" s="905" t="str">
        <f t="shared" si="49"/>
        <v>RESERVE US-GAMMA</v>
      </c>
      <c r="AL506" s="905">
        <f>IFERROR(INDEX(G506:R506,1,MATCH(Parametres!$B$3,G$1:R$1,0)-1)*IF(OR(F506="L",F506="S",F506="I"),-1,1),"")</f>
        <v>170929.61</v>
      </c>
      <c r="AM506" s="905">
        <f t="shared" si="44"/>
        <v>18077.5</v>
      </c>
      <c r="AN506" s="905">
        <f>INDEX(G506:R506,1,MATCH(Parametres!$B$3,G$1:R$1,0))*IF(OR(F506="L",F506="S",F506="I"),-1,1)</f>
        <v>189007.11</v>
      </c>
      <c r="AO506" s="487" t="str">
        <f>+VLOOKUP($AJ506,Data_Validation!$A:$D,1,0)</f>
        <v>G30055</v>
      </c>
      <c r="AP506" s="487" t="str">
        <f>+VLOOKUP($AJ506,Data_Validation!$A:$D,3,0)</f>
        <v>Bilan</v>
      </c>
      <c r="AQ506" s="487" t="str">
        <f>+VLOOKUP($AJ506,Data_Validation!$A:$D,4,0)</f>
        <v>Autres Courus</v>
      </c>
      <c r="AR506" s="487" t="s">
        <v>299</v>
      </c>
      <c r="AS506" s="487">
        <f>+VLOOKUP($AJ506,Data_Validation!$A:$E,5,0)</f>
        <v>0</v>
      </c>
      <c r="AT506" s="904" t="str">
        <f t="shared" si="45"/>
        <v>G30055</v>
      </c>
      <c r="AU506" s="488" t="str">
        <f t="shared" si="46"/>
        <v>RESERVE US-GAMMA</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2068</v>
      </c>
      <c r="D507" s="706" t="s">
        <v>2069</v>
      </c>
      <c r="E507" s="706" t="s">
        <v>333</v>
      </c>
      <c r="F507" s="706" t="s">
        <v>1135</v>
      </c>
      <c r="G507" s="706">
        <v>2000000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G30070</v>
      </c>
      <c r="AK507" s="905" t="str">
        <f t="shared" si="49"/>
        <v>AVANCES HAWKSBERY CHEV</v>
      </c>
      <c r="AL507" s="905">
        <f>IFERROR(INDEX(G507:R507,1,MATCH(Parametres!$B$3,G$1:R$1,0)-1)*IF(OR(F507="L",F507="S",F507="I"),-1,1),"")</f>
        <v>0</v>
      </c>
      <c r="AM507" s="905">
        <f t="shared" si="44"/>
        <v>0</v>
      </c>
      <c r="AN507" s="905">
        <f>INDEX(G507:R507,1,MATCH(Parametres!$B$3,G$1:R$1,0))*IF(OR(F507="L",F507="S",F507="I"),-1,1)</f>
        <v>0</v>
      </c>
      <c r="AO507" s="487" t="str">
        <f>+VLOOKUP($AJ507,Data_Validation!$A:$D,1,0)</f>
        <v>G30070</v>
      </c>
      <c r="AP507" s="487" t="str">
        <f>+VLOOKUP($AJ507,Data_Validation!$A:$D,3,0)</f>
        <v>Bilan</v>
      </c>
      <c r="AQ507" s="487" t="str">
        <f>+VLOOKUP($AJ507,Data_Validation!$A:$D,4,0)</f>
        <v>Payables Intercos</v>
      </c>
      <c r="AR507" s="487" t="s">
        <v>299</v>
      </c>
      <c r="AS507" s="487">
        <f>+VLOOKUP($AJ507,Data_Validation!$A:$E,5,0)</f>
        <v>0</v>
      </c>
      <c r="AT507" s="904" t="str">
        <f t="shared" si="45"/>
        <v>G30070</v>
      </c>
      <c r="AU507" s="488" t="str">
        <f t="shared" si="46"/>
        <v>AVANCES HAWKSBERY CHEV</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2070</v>
      </c>
      <c r="D508" s="706" t="s">
        <v>2071</v>
      </c>
      <c r="E508" s="706" t="s">
        <v>333</v>
      </c>
      <c r="F508" s="706" t="s">
        <v>1135</v>
      </c>
      <c r="G508" s="706">
        <v>-3367687.77</v>
      </c>
      <c r="H508" s="706">
        <v>-3367687.77</v>
      </c>
      <c r="I508" s="706">
        <v>-3317687.77</v>
      </c>
      <c r="J508" s="706">
        <v>-3317687.77</v>
      </c>
      <c r="K508" s="706">
        <v>-3317687.77</v>
      </c>
      <c r="L508" s="706">
        <v>-4117687.77</v>
      </c>
      <c r="M508" s="706">
        <v>6239782</v>
      </c>
      <c r="N508" s="706">
        <v>6239782</v>
      </c>
      <c r="O508" s="706">
        <v>6239782</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G30080</v>
      </c>
      <c r="AK508" s="905" t="str">
        <f t="shared" si="49"/>
        <v>AVANCES 13721515 CANADA I</v>
      </c>
      <c r="AL508" s="905">
        <f>IFERROR(INDEX(G508:R508,1,MATCH(Parametres!$B$3,G$1:R$1,0)-1)*IF(OR(F508="L",F508="S",F508="I"),-1,1),"")</f>
        <v>-6239782</v>
      </c>
      <c r="AM508" s="905">
        <f t="shared" si="44"/>
        <v>0</v>
      </c>
      <c r="AN508" s="905">
        <f>INDEX(G508:R508,1,MATCH(Parametres!$B$3,G$1:R$1,0))*IF(OR(F508="L",F508="S",F508="I"),-1,1)</f>
        <v>-6239782</v>
      </c>
      <c r="AO508" s="487" t="str">
        <f>+VLOOKUP($AJ508,Data_Validation!$A:$D,1,0)</f>
        <v>G30080</v>
      </c>
      <c r="AP508" s="487" t="str">
        <f>+VLOOKUP($AJ508,Data_Validation!$A:$D,3,0)</f>
        <v>Bilan</v>
      </c>
      <c r="AQ508" s="487" t="str">
        <f>+VLOOKUP($AJ508,Data_Validation!$A:$D,4,0)</f>
        <v>Payables Intercos</v>
      </c>
      <c r="AR508" s="487" t="s">
        <v>299</v>
      </c>
      <c r="AS508" s="487">
        <f>+VLOOKUP($AJ508,Data_Validation!$A:$E,5,0)</f>
        <v>0</v>
      </c>
      <c r="AT508" s="904" t="str">
        <f t="shared" si="45"/>
        <v>G30080</v>
      </c>
      <c r="AU508" s="488" t="str">
        <f t="shared" si="46"/>
        <v>AVANCES 13721515 CANADA I</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2072</v>
      </c>
      <c r="D509" s="706" t="s">
        <v>2073</v>
      </c>
      <c r="E509" s="706" t="s">
        <v>333</v>
      </c>
      <c r="F509" s="706" t="s">
        <v>1135</v>
      </c>
      <c r="G509" s="706">
        <v>181477.75</v>
      </c>
      <c r="H509" s="706">
        <v>181477.75</v>
      </c>
      <c r="I509" s="706">
        <v>180282.01</v>
      </c>
      <c r="J509" s="706">
        <v>180282.01</v>
      </c>
      <c r="K509" s="706">
        <v>180282.01</v>
      </c>
      <c r="L509" s="706">
        <v>180282.01</v>
      </c>
      <c r="M509" s="706">
        <v>180282.01</v>
      </c>
      <c r="N509" s="706">
        <v>180282.01</v>
      </c>
      <c r="O509" s="706">
        <v>180282.01</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G30090</v>
      </c>
      <c r="AK509" s="905" t="str">
        <f t="shared" si="49"/>
        <v>AVANCES 9512-1703 QC</v>
      </c>
      <c r="AL509" s="905">
        <f>IFERROR(INDEX(G509:R509,1,MATCH(Parametres!$B$3,G$1:R$1,0)-1)*IF(OR(F509="L",F509="S",F509="I"),-1,1),"")</f>
        <v>-180282.01</v>
      </c>
      <c r="AM509" s="905">
        <f t="shared" si="44"/>
        <v>0</v>
      </c>
      <c r="AN509" s="905">
        <f>INDEX(G509:R509,1,MATCH(Parametres!$B$3,G$1:R$1,0))*IF(OR(F509="L",F509="S",F509="I"),-1,1)</f>
        <v>-180282.01</v>
      </c>
      <c r="AO509" s="487" t="str">
        <f>+VLOOKUP($AJ509,Data_Validation!$A:$D,1,0)</f>
        <v>G30090</v>
      </c>
      <c r="AP509" s="487" t="str">
        <f>+VLOOKUP($AJ509,Data_Validation!$A:$D,3,0)</f>
        <v>Bilan</v>
      </c>
      <c r="AQ509" s="487" t="str">
        <f>+VLOOKUP($AJ509,Data_Validation!$A:$D,4,0)</f>
        <v>Payables Intercos</v>
      </c>
      <c r="AR509" s="487" t="s">
        <v>299</v>
      </c>
      <c r="AS509" s="487">
        <f>+VLOOKUP($AJ509,Data_Validation!$A:$E,5,0)</f>
        <v>0</v>
      </c>
      <c r="AT509" s="904" t="str">
        <f t="shared" si="45"/>
        <v>G30090</v>
      </c>
      <c r="AU509" s="488" t="str">
        <f t="shared" si="46"/>
        <v>AVANCES 9512-1703 QC</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2074</v>
      </c>
      <c r="D510" s="706" t="s">
        <v>2075</v>
      </c>
      <c r="E510" s="706" t="s">
        <v>333</v>
      </c>
      <c r="F510" s="706" t="s">
        <v>1135</v>
      </c>
      <c r="G510" s="706">
        <v>0</v>
      </c>
      <c r="H510" s="706">
        <v>0</v>
      </c>
      <c r="I510" s="706">
        <v>4936149</v>
      </c>
      <c r="J510" s="706">
        <v>4904017</v>
      </c>
      <c r="K510" s="706">
        <v>4871744</v>
      </c>
      <c r="L510" s="706">
        <v>4839332</v>
      </c>
      <c r="M510" s="706">
        <v>4806780</v>
      </c>
      <c r="N510" s="706">
        <v>4774086</v>
      </c>
      <c r="O510" s="706">
        <v>4774086</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G30095</v>
      </c>
      <c r="AK510" s="905" t="str">
        <f t="shared" si="49"/>
        <v>PRET BANQUE TD</v>
      </c>
      <c r="AL510" s="905">
        <f>IFERROR(INDEX(G510:R510,1,MATCH(Parametres!$B$3,G$1:R$1,0)-1)*IF(OR(F510="L",F510="S",F510="I"),-1,1),"")</f>
        <v>-4806780</v>
      </c>
      <c r="AM510" s="905">
        <f t="shared" si="44"/>
        <v>32694</v>
      </c>
      <c r="AN510" s="905">
        <f>INDEX(G510:R510,1,MATCH(Parametres!$B$3,G$1:R$1,0))*IF(OR(F510="L",F510="S",F510="I"),-1,1)</f>
        <v>-4774086</v>
      </c>
      <c r="AO510" s="487" t="str">
        <f>+VLOOKUP($AJ510,Data_Validation!$A:$D,1,0)</f>
        <v>G30095</v>
      </c>
      <c r="AP510" s="487" t="str">
        <f>+VLOOKUP($AJ510,Data_Validation!$A:$D,3,0)</f>
        <v>Bilan</v>
      </c>
      <c r="AQ510" s="487" t="str">
        <f>+VLOOKUP($AJ510,Data_Validation!$A:$D,4,0)</f>
        <v>Dette à Long terme</v>
      </c>
      <c r="AR510" s="487" t="s">
        <v>299</v>
      </c>
      <c r="AS510" s="487">
        <f>+VLOOKUP($AJ510,Data_Validation!$A:$E,5,0)</f>
        <v>0</v>
      </c>
      <c r="AT510" s="904" t="str">
        <f t="shared" si="45"/>
        <v>G30095</v>
      </c>
      <c r="AU510" s="488" t="str">
        <f t="shared" si="46"/>
        <v>PRET BANQUE TD</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2076</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G30100</v>
      </c>
      <c r="AK511" s="905" t="str">
        <f t="shared" si="49"/>
        <v>DEPOT CLIENTS</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G30100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customHeight="1">
      <c r="A512" s="706" t="s">
        <v>1148</v>
      </c>
      <c r="B512" s="706">
        <v>2026</v>
      </c>
      <c r="C512" s="706" t="s">
        <v>2078</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G30300</v>
      </c>
      <c r="AK512" s="905" t="str">
        <f t="shared" si="49"/>
        <v>DEPOT CLIENTS</v>
      </c>
      <c r="AL512" s="905">
        <f>IFERROR(INDEX(G512:R512,1,MATCH(Parametres!$B$3,G$1:R$1,0)-1)*IF(OR(F512="L",F512="S",F512="I"),-1,1),"")</f>
        <v>0</v>
      </c>
      <c r="AM512" s="905">
        <f t="shared" si="44"/>
        <v>0</v>
      </c>
      <c r="AN512" s="905">
        <f>INDEX(G512:R512,1,MATCH(Parametres!$B$3,G$1:R$1,0))*IF(OR(F512="L",F512="S",F512="I"),-1,1)</f>
        <v>0</v>
      </c>
      <c r="AO512" s="487" t="str">
        <f>+VLOOKUP($AJ512,Data_Validation!$A:$D,1,0)</f>
        <v>G30300</v>
      </c>
      <c r="AP512" s="487" t="str">
        <f>+VLOOKUP($AJ512,Data_Validation!$A:$D,3,0)</f>
        <v>Bilan</v>
      </c>
      <c r="AQ512" s="487" t="str">
        <f>+VLOOKUP($AJ512,Data_Validation!$A:$D,4,0)</f>
        <v>Dépôts de Client</v>
      </c>
      <c r="AR512" s="487" t="s">
        <v>299</v>
      </c>
      <c r="AS512" s="487">
        <f>+VLOOKUP($AJ512,Data_Validation!$A:$E,5,0)</f>
        <v>0</v>
      </c>
      <c r="AT512" s="904" t="str">
        <f t="shared" si="45"/>
        <v>G30300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2079</v>
      </c>
      <c r="D513" s="706" t="s">
        <v>2080</v>
      </c>
      <c r="E513" s="706" t="s">
        <v>1145</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G30900</v>
      </c>
      <c r="AK513" s="905" t="str">
        <f t="shared" si="49"/>
        <v>EFFETS A PAYER POINDS MOY</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G30900</v>
      </c>
      <c r="AU513" s="488" t="str">
        <f t="shared" si="46"/>
        <v>EFFETS A PAYER POINDS MOY</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2081</v>
      </c>
      <c r="D514" s="706" t="s">
        <v>2082</v>
      </c>
      <c r="E514" s="706" t="s">
        <v>1145</v>
      </c>
      <c r="F514" s="706" t="s">
        <v>1135</v>
      </c>
      <c r="G514" s="706">
        <v>35475226.490000002</v>
      </c>
      <c r="H514" s="706">
        <v>33617704.479999997</v>
      </c>
      <c r="I514" s="706">
        <v>38478809.700000003</v>
      </c>
      <c r="J514" s="706">
        <v>30592851.460000001</v>
      </c>
      <c r="K514" s="706">
        <v>31086026.609999999</v>
      </c>
      <c r="L514" s="706">
        <v>23163491.899999999</v>
      </c>
      <c r="M514" s="706">
        <v>20123396.530000001</v>
      </c>
      <c r="N514" s="706">
        <v>18945265.620000001</v>
      </c>
      <c r="O514" s="706">
        <v>16969472.379999999</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G31000</v>
      </c>
      <c r="AK514" s="905" t="str">
        <f t="shared" si="49"/>
        <v>EFFETS A PAYER VEHICULES</v>
      </c>
      <c r="AL514" s="905">
        <f>IFERROR(INDEX(G514:R514,1,MATCH(Parametres!$B$3,G$1:R$1,0)-1)*IF(OR(F514="L",F514="S",F514="I"),-1,1),"")</f>
        <v>-20123396.530000001</v>
      </c>
      <c r="AM514" s="905">
        <f t="shared" si="44"/>
        <v>1178130.9100000001</v>
      </c>
      <c r="AN514" s="905">
        <f>INDEX(G514:R514,1,MATCH(Parametres!$B$3,G$1:R$1,0))*IF(OR(F514="L",F514="S",F514="I"),-1,1)</f>
        <v>-18945265.620000001</v>
      </c>
      <c r="AO514" s="487" t="str">
        <f>+VLOOKUP($AJ514,Data_Validation!$A:$D,1,0)</f>
        <v>G31000</v>
      </c>
      <c r="AP514" s="487" t="str">
        <f>+VLOOKUP($AJ514,Data_Validation!$A:$D,3,0)</f>
        <v>Bilan</v>
      </c>
      <c r="AQ514" s="487" t="str">
        <f>+VLOOKUP($AJ514,Data_Validation!$A:$D,4,0)</f>
        <v>Effet à Payer Véhicules Neufs</v>
      </c>
      <c r="AR514" s="487" t="s">
        <v>299</v>
      </c>
      <c r="AS514" s="487">
        <f>+VLOOKUP($AJ514,Data_Validation!$A:$E,5,0)</f>
        <v>0</v>
      </c>
      <c r="AT514" s="904" t="str">
        <f t="shared" si="45"/>
        <v>G31000</v>
      </c>
      <c r="AU514" s="488" t="str">
        <f t="shared" si="46"/>
        <v>EFFETS A PAYER VEHICULES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2083</v>
      </c>
      <c r="D515" s="706" t="s">
        <v>2084</v>
      </c>
      <c r="E515" s="706" t="s">
        <v>1145</v>
      </c>
      <c r="F515" s="706" t="s">
        <v>1135</v>
      </c>
      <c r="G515" s="706">
        <v>22521503.649999999</v>
      </c>
      <c r="H515" s="706">
        <v>18148455.949999999</v>
      </c>
      <c r="I515" s="706">
        <v>19683759.649999999</v>
      </c>
      <c r="J515" s="706">
        <v>18909452.829999998</v>
      </c>
      <c r="K515" s="706">
        <v>16711712.949999999</v>
      </c>
      <c r="L515" s="706">
        <v>10228910.720000001</v>
      </c>
      <c r="M515" s="706">
        <v>9596441.6199999992</v>
      </c>
      <c r="N515" s="706">
        <v>4817360.8</v>
      </c>
      <c r="O515" s="706">
        <v>3736971.72</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G31100</v>
      </c>
      <c r="AK515" s="905" t="str">
        <f t="shared" si="49"/>
        <v>EFFETS PAYER VEH. OCC.</v>
      </c>
      <c r="AL515" s="905">
        <f>IFERROR(INDEX(G515:R515,1,MATCH(Parametres!$B$3,G$1:R$1,0)-1)*IF(OR(F515="L",F515="S",F515="I"),-1,1),"")</f>
        <v>-9596441.6199999992</v>
      </c>
      <c r="AM515" s="905">
        <f t="shared" si="44"/>
        <v>4779080.8199999994</v>
      </c>
      <c r="AN515" s="905">
        <f>INDEX(G515:R515,1,MATCH(Parametres!$B$3,G$1:R$1,0))*IF(OR(F515="L",F515="S",F515="I"),-1,1)</f>
        <v>-4817360.8</v>
      </c>
      <c r="AO515" s="487" t="str">
        <f>+VLOOKUP($AJ515,Data_Validation!$A:$D,1,0)</f>
        <v>G31100</v>
      </c>
      <c r="AP515" s="487" t="str">
        <f>+VLOOKUP($AJ515,Data_Validation!$A:$D,3,0)</f>
        <v>Bilan</v>
      </c>
      <c r="AQ515" s="487" t="str">
        <f>+VLOOKUP($AJ515,Data_Validation!$A:$D,4,0)</f>
        <v>Effet à Payer Véhicules Usagés</v>
      </c>
      <c r="AR515" s="487" t="s">
        <v>299</v>
      </c>
      <c r="AS515" s="487">
        <f>+VLOOKUP($AJ515,Data_Validation!$A:$E,5,0)</f>
        <v>0</v>
      </c>
      <c r="AT515" s="904" t="str">
        <f t="shared" si="45"/>
        <v>G31100</v>
      </c>
      <c r="AU515" s="488" t="str">
        <f t="shared" si="46"/>
        <v>EFFETS PAYER VEH. OCC.</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2085</v>
      </c>
      <c r="D516" s="706" t="s">
        <v>2086</v>
      </c>
      <c r="E516" s="706" t="s">
        <v>1145</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G31200</v>
      </c>
      <c r="AK516" s="905" t="str">
        <f t="shared" si="49"/>
        <v>A/P VEHICULES LOCATIONS</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G31200</v>
      </c>
      <c r="AU516" s="488" t="str">
        <f t="shared" ref="AU516:AU579" si="52">D516</f>
        <v>A/P VEHICULES LOCATIONS</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customHeight="1">
      <c r="A517" s="706" t="s">
        <v>1148</v>
      </c>
      <c r="B517" s="706">
        <v>2026</v>
      </c>
      <c r="C517" s="706" t="s">
        <v>2087</v>
      </c>
      <c r="D517" s="706" t="s">
        <v>1144</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G31400</v>
      </c>
      <c r="AK517" s="905" t="str">
        <f t="shared" si="49"/>
        <v>MARGE DE CREDIT</v>
      </c>
      <c r="AL517" s="905">
        <f>IFERROR(INDEX(G517:R517,1,MATCH(Parametres!$B$3,G$1:R$1,0)-1)*IF(OR(F517="L",F517="S",F517="I"),-1,1),"")</f>
        <v>0</v>
      </c>
      <c r="AM517" s="905">
        <f t="shared" si="50"/>
        <v>0</v>
      </c>
      <c r="AN517" s="905">
        <f>INDEX(G517:R517,1,MATCH(Parametres!$B$3,G$1:R$1,0))*IF(OR(F517="L",F517="S",F517="I"),-1,1)</f>
        <v>0</v>
      </c>
      <c r="AO517" s="487" t="str">
        <f>+VLOOKUP($AJ517,Data_Validation!$A:$D,1,0)</f>
        <v>G31400</v>
      </c>
      <c r="AP517" s="487">
        <f>+VLOOKUP($AJ517,Data_Validation!$A:$D,3,0)</f>
        <v>0</v>
      </c>
      <c r="AQ517" s="487">
        <f>+VLOOKUP($AJ517,Data_Validation!$A:$D,4,0)</f>
        <v>0</v>
      </c>
      <c r="AR517" s="487" t="s">
        <v>299</v>
      </c>
      <c r="AS517" s="487">
        <f>+VLOOKUP($AJ517,Data_Validation!$A:$E,5,0)</f>
        <v>0</v>
      </c>
      <c r="AT517" s="904" t="str">
        <f t="shared" si="51"/>
        <v>G31400</v>
      </c>
      <c r="AU517" s="488" t="str">
        <f t="shared" si="52"/>
        <v>MARGE DE CREDIT</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2088</v>
      </c>
      <c r="D518" s="706" t="s">
        <v>2089</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G31500</v>
      </c>
      <c r="AK518" s="905" t="str">
        <f t="shared" si="49"/>
        <v>T.P.S. PAYABLE</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G31500</v>
      </c>
      <c r="AU518" s="488" t="str">
        <f t="shared" si="52"/>
        <v>T.P.S. PAYABLE</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2090</v>
      </c>
      <c r="D519" s="706" t="s">
        <v>2091</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G32000</v>
      </c>
      <c r="AK519" s="905" t="str">
        <f t="shared" si="49"/>
        <v>INTERETS A/P</v>
      </c>
      <c r="AL519" s="905">
        <f>IFERROR(INDEX(G519:R519,1,MATCH(Parametres!$B$3,G$1:R$1,0)-1)*IF(OR(F519="L",F519="S",F519="I"),-1,1),"")</f>
        <v>0</v>
      </c>
      <c r="AM519" s="905">
        <f t="shared" si="50"/>
        <v>0</v>
      </c>
      <c r="AN519" s="905">
        <f>INDEX(G519:R519,1,MATCH(Parametres!$B$3,G$1:R$1,0))*IF(OR(F519="L",F519="S",F519="I"),-1,1)</f>
        <v>0</v>
      </c>
      <c r="AO519" s="487" t="str">
        <f>+VLOOKUP($AJ519,Data_Validation!$A:$D,1,0)</f>
        <v>G32000</v>
      </c>
      <c r="AP519" s="487">
        <f>+VLOOKUP($AJ519,Data_Validation!$A:$D,3,0)</f>
        <v>0</v>
      </c>
      <c r="AQ519" s="487">
        <f>+VLOOKUP($AJ519,Data_Validation!$A:$D,4,0)</f>
        <v>0</v>
      </c>
      <c r="AR519" s="487" t="s">
        <v>299</v>
      </c>
      <c r="AS519" s="487">
        <f>+VLOOKUP($AJ519,Data_Validation!$A:$E,5,0)</f>
        <v>0</v>
      </c>
      <c r="AT519" s="904" t="str">
        <f t="shared" si="51"/>
        <v>G32000</v>
      </c>
      <c r="AU519" s="488" t="str">
        <f t="shared" si="52"/>
        <v>INTERETS A/P</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2092</v>
      </c>
      <c r="D520" s="706" t="s">
        <v>2093</v>
      </c>
      <c r="E520" s="706" t="s">
        <v>333</v>
      </c>
      <c r="F520" s="706" t="s">
        <v>1135</v>
      </c>
      <c r="G520" s="706">
        <v>1062.8</v>
      </c>
      <c r="H520" s="706">
        <v>-3391.68</v>
      </c>
      <c r="I520" s="706">
        <v>-8059.88</v>
      </c>
      <c r="J520" s="706">
        <v>-13546.82</v>
      </c>
      <c r="K520" s="706">
        <v>-18067.68</v>
      </c>
      <c r="L520" s="706">
        <v>-25209.439999999999</v>
      </c>
      <c r="M520" s="706">
        <v>-31301.25</v>
      </c>
      <c r="N520" s="706">
        <v>-35000.910000000003</v>
      </c>
      <c r="O520" s="706">
        <v>-46944.99</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G3210A</v>
      </c>
      <c r="AK520" s="905" t="str">
        <f t="shared" si="49"/>
        <v>ASS-COLLECTIVE A PAYER</v>
      </c>
      <c r="AL520" s="905">
        <f>IFERROR(INDEX(G520:R520,1,MATCH(Parametres!$B$3,G$1:R$1,0)-1)*IF(OR(F520="L",F520="S",F520="I"),-1,1),"")</f>
        <v>31301.25</v>
      </c>
      <c r="AM520" s="905">
        <f t="shared" si="50"/>
        <v>3699.6600000000035</v>
      </c>
      <c r="AN520" s="905">
        <f>INDEX(G520:R520,1,MATCH(Parametres!$B$3,G$1:R$1,0))*IF(OR(F520="L",F520="S",F520="I"),-1,1)</f>
        <v>35000.910000000003</v>
      </c>
      <c r="AO520" s="487" t="str">
        <f>+VLOOKUP($AJ520,Data_Validation!$A:$D,1,0)</f>
        <v>G3210A</v>
      </c>
      <c r="AP520" s="487" t="str">
        <f>+VLOOKUP($AJ520,Data_Validation!$A:$D,3,0)</f>
        <v>Bilan</v>
      </c>
      <c r="AQ520" s="487" t="str">
        <f>+VLOOKUP($AJ520,Data_Validation!$A:$D,4,0)</f>
        <v>DAS à Payer</v>
      </c>
      <c r="AR520" s="487" t="s">
        <v>299</v>
      </c>
      <c r="AS520" s="487">
        <f>+VLOOKUP($AJ520,Data_Validation!$A:$E,5,0)</f>
        <v>0</v>
      </c>
      <c r="AT520" s="904" t="str">
        <f t="shared" si="51"/>
        <v>G3210A</v>
      </c>
      <c r="AU520" s="488" t="str">
        <f t="shared" si="52"/>
        <v>ASS-COLLECTIVE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2094</v>
      </c>
      <c r="D521" s="706" t="s">
        <v>2095</v>
      </c>
      <c r="E521" s="706" t="s">
        <v>333</v>
      </c>
      <c r="F521" s="706" t="s">
        <v>1135</v>
      </c>
      <c r="G521" s="706">
        <v>103371.93</v>
      </c>
      <c r="H521" s="706">
        <v>94570.17</v>
      </c>
      <c r="I521" s="706">
        <v>128176.38</v>
      </c>
      <c r="J521" s="706">
        <v>187289.28</v>
      </c>
      <c r="K521" s="706">
        <v>11018.44</v>
      </c>
      <c r="L521" s="706">
        <v>40919.129999999997</v>
      </c>
      <c r="M521" s="706">
        <v>88052.58</v>
      </c>
      <c r="N521" s="706">
        <v>94938.98</v>
      </c>
      <c r="O521" s="706">
        <v>1206.04</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G32100</v>
      </c>
      <c r="AK521" s="905" t="str">
        <f t="shared" si="49"/>
        <v>SALAIRES &amp; COMM. A PAYER</v>
      </c>
      <c r="AL521" s="905">
        <f>IFERROR(INDEX(G521:R521,1,MATCH(Parametres!$B$3,G$1:R$1,0)-1)*IF(OR(F521="L",F521="S",F521="I"),-1,1),"")</f>
        <v>-88052.58</v>
      </c>
      <c r="AM521" s="905">
        <f t="shared" si="50"/>
        <v>-6886.3999999999942</v>
      </c>
      <c r="AN521" s="905">
        <f>INDEX(G521:R521,1,MATCH(Parametres!$B$3,G$1:R$1,0))*IF(OR(F521="L",F521="S",F521="I"),-1,1)</f>
        <v>-94938.98</v>
      </c>
      <c r="AO521" s="487" t="str">
        <f>+VLOOKUP($AJ521,Data_Validation!$A:$D,1,0)</f>
        <v>G32100</v>
      </c>
      <c r="AP521" s="487" t="str">
        <f>+VLOOKUP($AJ521,Data_Validation!$A:$D,3,0)</f>
        <v>Bilan</v>
      </c>
      <c r="AQ521" s="487" t="str">
        <f>+VLOOKUP($AJ521,Data_Validation!$A:$D,4,0)</f>
        <v>Salaires à Payer</v>
      </c>
      <c r="AR521" s="487" t="s">
        <v>299</v>
      </c>
      <c r="AS521" s="487">
        <f>+VLOOKUP($AJ521,Data_Validation!$A:$E,5,0)</f>
        <v>0</v>
      </c>
      <c r="AT521" s="904" t="str">
        <f t="shared" si="51"/>
        <v>G32100</v>
      </c>
      <c r="AU521" s="488" t="str">
        <f t="shared" si="52"/>
        <v>SALAIRES &amp; COMM.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2096</v>
      </c>
      <c r="D522" s="706" t="s">
        <v>2097</v>
      </c>
      <c r="E522" s="706" t="s">
        <v>1146</v>
      </c>
      <c r="F522" s="706" t="s">
        <v>1135</v>
      </c>
      <c r="G522" s="706">
        <v>8276.27</v>
      </c>
      <c r="H522" s="706">
        <v>18492.98</v>
      </c>
      <c r="I522" s="706">
        <v>55868.2</v>
      </c>
      <c r="J522" s="706">
        <v>95443.83</v>
      </c>
      <c r="K522" s="706">
        <v>14169.42</v>
      </c>
      <c r="L522" s="706">
        <v>23654.52</v>
      </c>
      <c r="M522" s="706">
        <v>18493.990000000002</v>
      </c>
      <c r="N522" s="706">
        <v>5687</v>
      </c>
      <c r="O522" s="706">
        <v>30644.55</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G32101</v>
      </c>
      <c r="AK522" s="905" t="str">
        <f t="shared" si="49"/>
        <v>COMMISSIONS A PAYER</v>
      </c>
      <c r="AL522" s="905">
        <f>IFERROR(INDEX(G522:R522,1,MATCH(Parametres!$B$3,G$1:R$1,0)-1)*IF(OR(F522="L",F522="S",F522="I"),-1,1),"")</f>
        <v>-18493.990000000002</v>
      </c>
      <c r="AM522" s="905">
        <f t="shared" si="50"/>
        <v>12806.990000000002</v>
      </c>
      <c r="AN522" s="905">
        <f>INDEX(G522:R522,1,MATCH(Parametres!$B$3,G$1:R$1,0))*IF(OR(F522="L",F522="S",F522="I"),-1,1)</f>
        <v>-5687</v>
      </c>
      <c r="AO522" s="487" t="str">
        <f>+VLOOKUP($AJ522,Data_Validation!$A:$D,1,0)</f>
        <v>G32101</v>
      </c>
      <c r="AP522" s="487" t="str">
        <f>+VLOOKUP($AJ522,Data_Validation!$A:$D,3,0)</f>
        <v>Bilan</v>
      </c>
      <c r="AQ522" s="487" t="str">
        <f>+VLOOKUP($AJ522,Data_Validation!$A:$D,4,0)</f>
        <v>Salaires à Payer</v>
      </c>
      <c r="AR522" s="487" t="s">
        <v>299</v>
      </c>
      <c r="AS522" s="487">
        <f>+VLOOKUP($AJ522,Data_Validation!$A:$E,5,0)</f>
        <v>0</v>
      </c>
      <c r="AT522" s="904" t="str">
        <f t="shared" si="51"/>
        <v>G32101</v>
      </c>
      <c r="AU522" s="488" t="str">
        <f t="shared" si="52"/>
        <v>COMMISSIONS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2098</v>
      </c>
      <c r="D523" s="706" t="s">
        <v>2099</v>
      </c>
      <c r="E523" s="706" t="s">
        <v>1104</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G32102</v>
      </c>
      <c r="AK523" s="905" t="str">
        <f t="shared" si="49"/>
        <v>SALAIRES A PAYER</v>
      </c>
      <c r="AL523" s="905">
        <f>IFERROR(INDEX(G523:R523,1,MATCH(Parametres!$B$3,G$1:R$1,0)-1)*IF(OR(F523="L",F523="S",F523="I"),-1,1),"")</f>
        <v>0</v>
      </c>
      <c r="AM523" s="905">
        <f t="shared" si="50"/>
        <v>0</v>
      </c>
      <c r="AN523" s="905">
        <f>INDEX(G523:R523,1,MATCH(Parametres!$B$3,G$1:R$1,0))*IF(OR(F523="L",F523="S",F523="I"),-1,1)</f>
        <v>0</v>
      </c>
      <c r="AO523" s="487" t="str">
        <f>+VLOOKUP($AJ523,Data_Validation!$A:$D,1,0)</f>
        <v>G32102</v>
      </c>
      <c r="AP523" s="487">
        <f>+VLOOKUP($AJ523,Data_Validation!$A:$D,3,0)</f>
        <v>0</v>
      </c>
      <c r="AQ523" s="487">
        <f>+VLOOKUP($AJ523,Data_Validation!$A:$D,4,0)</f>
        <v>0</v>
      </c>
      <c r="AR523" s="487" t="s">
        <v>299</v>
      </c>
      <c r="AS523" s="487">
        <f>+VLOOKUP($AJ523,Data_Validation!$A:$E,5,0)</f>
        <v>0</v>
      </c>
      <c r="AT523" s="904" t="str">
        <f t="shared" si="51"/>
        <v>G32102</v>
      </c>
      <c r="AU523" s="488" t="str">
        <f t="shared" si="52"/>
        <v>SALAIRES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3193</v>
      </c>
      <c r="D524" s="706" t="s">
        <v>3194</v>
      </c>
      <c r="E524" s="706" t="s">
        <v>333</v>
      </c>
      <c r="F524" s="706" t="s">
        <v>1135</v>
      </c>
      <c r="G524" s="706">
        <v>0</v>
      </c>
      <c r="H524" s="706">
        <v>0</v>
      </c>
      <c r="I524" s="706">
        <v>0</v>
      </c>
      <c r="J524" s="706">
        <v>0</v>
      </c>
      <c r="K524" s="706">
        <v>0</v>
      </c>
      <c r="L524" s="706">
        <v>-637.96</v>
      </c>
      <c r="M524" s="706">
        <v>66.5</v>
      </c>
      <c r="N524" s="706">
        <v>343.99</v>
      </c>
      <c r="O524" s="706">
        <v>-468</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G32104</v>
      </c>
      <c r="AK524" s="905" t="str">
        <f t="shared" si="49"/>
        <v>COMPTES DE DEPENSES A/P</v>
      </c>
      <c r="AL524" s="905">
        <f>IFERROR(INDEX(G524:R524,1,MATCH(Parametres!$B$3,G$1:R$1,0)-1)*IF(OR(F524="L",F524="S",F524="I"),-1,1),"")</f>
        <v>-66.5</v>
      </c>
      <c r="AM524" s="905">
        <f t="shared" si="50"/>
        <v>-277.49</v>
      </c>
      <c r="AN524" s="905">
        <f>INDEX(G524:R524,1,MATCH(Parametres!$B$3,G$1:R$1,0))*IF(OR(F524="L",F524="S",F524="I"),-1,1)</f>
        <v>-343.99</v>
      </c>
      <c r="AO524" s="487" t="str">
        <f>+VLOOKUP($AJ524,Data_Validation!$A:$D,1,0)</f>
        <v>G32104</v>
      </c>
      <c r="AP524" s="487" t="str">
        <f>+VLOOKUP($AJ524,Data_Validation!$A:$D,3,0)</f>
        <v>Bilan</v>
      </c>
      <c r="AQ524" s="487" t="str">
        <f>+VLOOKUP($AJ524,Data_Validation!$A:$D,4,0)</f>
        <v>DAS à Payer</v>
      </c>
      <c r="AR524" s="487" t="s">
        <v>299</v>
      </c>
      <c r="AS524" s="487">
        <f>+VLOOKUP($AJ524,Data_Validation!$A:$E,5,0)</f>
        <v>0</v>
      </c>
      <c r="AT524" s="904" t="str">
        <f t="shared" si="51"/>
        <v>G32104</v>
      </c>
      <c r="AU524" s="488" t="str">
        <f t="shared" si="52"/>
        <v>COMPTES DE DEPENSES A/P</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2100</v>
      </c>
      <c r="D525" s="706" t="s">
        <v>2101</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G32301</v>
      </c>
      <c r="AK525" s="905" t="str">
        <f t="shared" si="49"/>
        <v>REER COLLECTIF A PAYER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G32301</v>
      </c>
      <c r="AU525" s="488" t="str">
        <f t="shared" si="52"/>
        <v>REER COLLECTIF A PAYER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customHeight="1">
      <c r="A526" s="706" t="s">
        <v>1148</v>
      </c>
      <c r="B526" s="706">
        <v>2026</v>
      </c>
      <c r="C526" s="706" t="s">
        <v>2102</v>
      </c>
      <c r="D526" s="706" t="s">
        <v>2103</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G32302</v>
      </c>
      <c r="AK526" s="905" t="str">
        <f t="shared" si="49"/>
        <v>ASSURANCE CHOMAGE A PAYER</v>
      </c>
      <c r="AL526" s="905">
        <f>IFERROR(INDEX(G526:R526,1,MATCH(Parametres!$B$3,G$1:R$1,0)-1)*IF(OR(F526="L",F526="S",F526="I"),-1,1),"")</f>
        <v>0</v>
      </c>
      <c r="AM526" s="905">
        <f t="shared" si="50"/>
        <v>0</v>
      </c>
      <c r="AN526" s="905">
        <f>INDEX(G526:R526,1,MATCH(Parametres!$B$3,G$1:R$1,0))*IF(OR(F526="L",F526="S",F526="I"),-1,1)</f>
        <v>0</v>
      </c>
      <c r="AO526" s="487" t="str">
        <f>+VLOOKUP($AJ526,Data_Validation!$A:$D,1,0)</f>
        <v>G32302</v>
      </c>
      <c r="AP526" s="487">
        <f>+VLOOKUP($AJ526,Data_Validation!$A:$D,3,0)</f>
        <v>0</v>
      </c>
      <c r="AQ526" s="487">
        <f>+VLOOKUP($AJ526,Data_Validation!$A:$D,4,0)</f>
        <v>0</v>
      </c>
      <c r="AR526" s="487" t="s">
        <v>299</v>
      </c>
      <c r="AS526" s="487">
        <f>+VLOOKUP($AJ526,Data_Validation!$A:$E,5,0)</f>
        <v>0</v>
      </c>
      <c r="AT526" s="904" t="str">
        <f t="shared" si="51"/>
        <v>G32302</v>
      </c>
      <c r="AU526" s="488" t="str">
        <f t="shared" si="52"/>
        <v>ASSURANCE CHOMAGE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2104</v>
      </c>
      <c r="D527" s="706" t="s">
        <v>2105</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G32303</v>
      </c>
      <c r="AK527" s="905" t="str">
        <f t="shared" si="49"/>
        <v>DON CHARITE A PAYER CENTR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G32303</v>
      </c>
      <c r="AU527" s="488" t="str">
        <f t="shared" si="52"/>
        <v>DON CHARITE A PAYER CENTR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2106</v>
      </c>
      <c r="D528" s="706" t="s">
        <v>2107</v>
      </c>
      <c r="E528" s="706" t="s">
        <v>333</v>
      </c>
      <c r="F528" s="706" t="s">
        <v>1135</v>
      </c>
      <c r="G528" s="706">
        <v>-373845.78</v>
      </c>
      <c r="H528" s="706">
        <v>-394845.78</v>
      </c>
      <c r="I528" s="706">
        <v>-767365.78</v>
      </c>
      <c r="J528" s="706">
        <v>-767365.78</v>
      </c>
      <c r="K528" s="706">
        <v>-767365.78</v>
      </c>
      <c r="L528" s="706">
        <v>-767365.78</v>
      </c>
      <c r="M528" s="706">
        <v>-217309.92</v>
      </c>
      <c r="N528" s="706">
        <v>-217309.92</v>
      </c>
      <c r="O528" s="706">
        <v>-217309.92</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G32304</v>
      </c>
      <c r="AK528" s="905" t="str">
        <f t="shared" si="49"/>
        <v>IMPOT FEDERAL A PAYER</v>
      </c>
      <c r="AL528" s="905">
        <f>IFERROR(INDEX(G528:R528,1,MATCH(Parametres!$B$3,G$1:R$1,0)-1)*IF(OR(F528="L",F528="S",F528="I"),-1,1),"")</f>
        <v>217309.92</v>
      </c>
      <c r="AM528" s="905">
        <f t="shared" si="50"/>
        <v>0</v>
      </c>
      <c r="AN528" s="905">
        <f>INDEX(G528:R528,1,MATCH(Parametres!$B$3,G$1:R$1,0))*IF(OR(F528="L",F528="S",F528="I"),-1,1)</f>
        <v>217309.92</v>
      </c>
      <c r="AO528" s="487" t="str">
        <f>+VLOOKUP($AJ528,Data_Validation!$A:$D,1,0)</f>
        <v>G32304</v>
      </c>
      <c r="AP528" s="487" t="str">
        <f>+VLOOKUP($AJ528,Data_Validation!$A:$D,3,0)</f>
        <v>Bilan</v>
      </c>
      <c r="AQ528" s="487" t="str">
        <f>+VLOOKUP($AJ528,Data_Validation!$A:$D,4,0)</f>
        <v>Frais Payés d'Avance</v>
      </c>
      <c r="AR528" s="487" t="s">
        <v>299</v>
      </c>
      <c r="AS528" s="487">
        <f>+VLOOKUP($AJ528,Data_Validation!$A:$E,5,0)</f>
        <v>0</v>
      </c>
      <c r="AT528" s="904" t="str">
        <f t="shared" si="51"/>
        <v>G32304</v>
      </c>
      <c r="AU528" s="488" t="str">
        <f t="shared" si="52"/>
        <v>IMPOT FEDERAL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2108</v>
      </c>
      <c r="D529" s="706" t="s">
        <v>2109</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G32305</v>
      </c>
      <c r="AK529" s="905" t="str">
        <f t="shared" si="49"/>
        <v>REGIME ASS. MALADIE PAYER</v>
      </c>
      <c r="AL529" s="905">
        <f>IFERROR(INDEX(G529:R529,1,MATCH(Parametres!$B$3,G$1:R$1,0)-1)*IF(OR(F529="L",F529="S",F529="I"),-1,1),"")</f>
        <v>0</v>
      </c>
      <c r="AM529" s="905">
        <f t="shared" si="50"/>
        <v>0</v>
      </c>
      <c r="AN529" s="905">
        <f>INDEX(G529:R529,1,MATCH(Parametres!$B$3,G$1:R$1,0))*IF(OR(F529="L",F529="S",F529="I"),-1,1)</f>
        <v>0</v>
      </c>
      <c r="AO529" s="487" t="str">
        <f>+VLOOKUP($AJ529,Data_Validation!$A:$D,1,0)</f>
        <v>G32305</v>
      </c>
      <c r="AP529" s="487">
        <f>+VLOOKUP($AJ529,Data_Validation!$A:$D,3,0)</f>
        <v>0</v>
      </c>
      <c r="AQ529" s="487">
        <f>+VLOOKUP($AJ529,Data_Validation!$A:$D,4,0)</f>
        <v>0</v>
      </c>
      <c r="AR529" s="487" t="s">
        <v>299</v>
      </c>
      <c r="AS529" s="487">
        <f>+VLOOKUP($AJ529,Data_Validation!$A:$E,5,0)</f>
        <v>0</v>
      </c>
      <c r="AT529" s="904" t="str">
        <f t="shared" si="51"/>
        <v>G32305</v>
      </c>
      <c r="AU529" s="488" t="str">
        <f t="shared" si="52"/>
        <v>REGIME ASS. MALADIE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2110</v>
      </c>
      <c r="D530" s="706" t="s">
        <v>2111</v>
      </c>
      <c r="E530" s="706" t="s">
        <v>333</v>
      </c>
      <c r="F530" s="706" t="s">
        <v>1135</v>
      </c>
      <c r="G530" s="706">
        <v>-275879.24</v>
      </c>
      <c r="H530" s="706">
        <v>-297379.24</v>
      </c>
      <c r="I530" s="706">
        <v>-606735.24</v>
      </c>
      <c r="J530" s="706">
        <v>-606735.24</v>
      </c>
      <c r="K530" s="706">
        <v>-606735.24</v>
      </c>
      <c r="L530" s="706">
        <v>-606735.24</v>
      </c>
      <c r="M530" s="706">
        <v>-172488.04</v>
      </c>
      <c r="N530" s="706">
        <v>-200576.24</v>
      </c>
      <c r="O530" s="706">
        <v>-200576.24</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G32306</v>
      </c>
      <c r="AK530" s="905" t="str">
        <f t="shared" si="49"/>
        <v>IMPOT PROVINCIAL A PAYER</v>
      </c>
      <c r="AL530" s="905">
        <f>IFERROR(INDEX(G530:R530,1,MATCH(Parametres!$B$3,G$1:R$1,0)-1)*IF(OR(F530="L",F530="S",F530="I"),-1,1),"")</f>
        <v>172488.04</v>
      </c>
      <c r="AM530" s="905">
        <f t="shared" si="50"/>
        <v>28088.199999999983</v>
      </c>
      <c r="AN530" s="905">
        <f>INDEX(G530:R530,1,MATCH(Parametres!$B$3,G$1:R$1,0))*IF(OR(F530="L",F530="S",F530="I"),-1,1)</f>
        <v>200576.24</v>
      </c>
      <c r="AO530" s="487" t="str">
        <f>+VLOOKUP($AJ530,Data_Validation!$A:$D,1,0)</f>
        <v>G32306</v>
      </c>
      <c r="AP530" s="487" t="str">
        <f>+VLOOKUP($AJ530,Data_Validation!$A:$D,3,0)</f>
        <v>Bilan</v>
      </c>
      <c r="AQ530" s="487" t="str">
        <f>+VLOOKUP($AJ530,Data_Validation!$A:$D,4,0)</f>
        <v>Frais Payés d'Avance</v>
      </c>
      <c r="AR530" s="487" t="s">
        <v>299</v>
      </c>
      <c r="AS530" s="487">
        <f>+VLOOKUP($AJ530,Data_Validation!$A:$E,5,0)</f>
        <v>0</v>
      </c>
      <c r="AT530" s="904" t="str">
        <f t="shared" si="51"/>
        <v>G32306</v>
      </c>
      <c r="AU530" s="488" t="str">
        <f t="shared" si="52"/>
        <v>IMPOT PROVINCIAL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2112</v>
      </c>
      <c r="D531" s="706" t="s">
        <v>2113</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G32307</v>
      </c>
      <c r="AK531" s="905" t="str">
        <f t="shared" ref="AK531:AK594" si="55">D531</f>
        <v>REGIME DES RENTES QUEBEC</v>
      </c>
      <c r="AL531" s="905">
        <f>IFERROR(INDEX(G531:R531,1,MATCH(Parametres!$B$3,G$1:R$1,0)-1)*IF(OR(F531="L",F531="S",F531="I"),-1,1),"")</f>
        <v>0</v>
      </c>
      <c r="AM531" s="905">
        <f t="shared" si="50"/>
        <v>0</v>
      </c>
      <c r="AN531" s="905">
        <f>INDEX(G531:R531,1,MATCH(Parametres!$B$3,G$1:R$1,0))*IF(OR(F531="L",F531="S",F531="I"),-1,1)</f>
        <v>0</v>
      </c>
      <c r="AO531" s="487" t="str">
        <f>+VLOOKUP($AJ531,Data_Validation!$A:$D,1,0)</f>
        <v>G32307</v>
      </c>
      <c r="AP531" s="487">
        <f>+VLOOKUP($AJ531,Data_Validation!$A:$D,3,0)</f>
        <v>0</v>
      </c>
      <c r="AQ531" s="487">
        <f>+VLOOKUP($AJ531,Data_Validation!$A:$D,4,0)</f>
        <v>0</v>
      </c>
      <c r="AR531" s="487" t="s">
        <v>299</v>
      </c>
      <c r="AS531" s="487">
        <f>+VLOOKUP($AJ531,Data_Validation!$A:$E,5,0)</f>
        <v>0</v>
      </c>
      <c r="AT531" s="904" t="str">
        <f t="shared" si="51"/>
        <v>G32307</v>
      </c>
      <c r="AU531" s="488" t="str">
        <f t="shared" si="52"/>
        <v>REGIME DES RENTES QUEBEC</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2114</v>
      </c>
      <c r="D532" s="706" t="s">
        <v>2115</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G32308</v>
      </c>
      <c r="AK532" s="905" t="str">
        <f t="shared" si="55"/>
        <v>COTISATIONS COMITE EMPLOY</v>
      </c>
      <c r="AL532" s="905">
        <f>IFERROR(INDEX(G532:R532,1,MATCH(Parametres!$B$3,G$1:R$1,0)-1)*IF(OR(F532="L",F532="S",F532="I"),-1,1),"")</f>
        <v>0</v>
      </c>
      <c r="AM532" s="905">
        <f t="shared" si="50"/>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51"/>
        <v>G32308</v>
      </c>
      <c r="AU532" s="488" t="str">
        <f t="shared" si="52"/>
        <v>COTISATIONS COMITE EMPLOY</v>
      </c>
      <c r="AV532" s="899">
        <f>IFERROR(INDEX(V532:AG532,1,MATCH(Parametres!$B$3,V$1:AG$1,0)-1)*IF(OR(C532="L",C532="S",C532="I"),-1,1),"")</f>
        <v>0</v>
      </c>
      <c r="AW532" s="899">
        <f t="shared" si="53"/>
        <v>0</v>
      </c>
      <c r="AX532" s="899">
        <f>INDEX(V532:AG532,1,MATCH(Parametres!$B$3,V$1:AG$1,0))*IF(OR(C532="L",C532="S",C532="I"),-1,1)</f>
        <v>0</v>
      </c>
      <c r="AY532" s="487" t="s">
        <v>337</v>
      </c>
      <c r="AZ532" s="487" t="e">
        <f>+VLOOKUP($AJ532,Data_Validation!$A:$E,5,0)</f>
        <v>#N/A</v>
      </c>
    </row>
    <row r="533" spans="1:52" ht="15" customHeight="1">
      <c r="A533" s="706" t="s">
        <v>1148</v>
      </c>
      <c r="B533" s="706">
        <v>2026</v>
      </c>
      <c r="C533" s="706" t="s">
        <v>2116</v>
      </c>
      <c r="D533" s="706" t="s">
        <v>2117</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G32309</v>
      </c>
      <c r="AK533" s="905" t="str">
        <f t="shared" si="55"/>
        <v>FONDS PENSION EMPLOYES</v>
      </c>
      <c r="AL533" s="905">
        <f>IFERROR(INDEX(G533:R533,1,MATCH(Parametres!$B$3,G$1:R$1,0)-1)*IF(OR(F533="L",F533="S",F533="I"),-1,1),"")</f>
        <v>0</v>
      </c>
      <c r="AM533" s="905">
        <f t="shared" si="50"/>
        <v>0</v>
      </c>
      <c r="AN533" s="905">
        <f>INDEX(G533:R533,1,MATCH(Parametres!$B$3,G$1:R$1,0))*IF(OR(F533="L",F533="S",F533="I"),-1,1)</f>
        <v>0</v>
      </c>
      <c r="AO533" s="487" t="str">
        <f>+VLOOKUP($AJ533,Data_Validation!$A:$D,1,0)</f>
        <v>G32309</v>
      </c>
      <c r="AP533" s="487">
        <f>+VLOOKUP($AJ533,Data_Validation!$A:$D,3,0)</f>
        <v>0</v>
      </c>
      <c r="AQ533" s="487">
        <f>+VLOOKUP($AJ533,Data_Validation!$A:$D,4,0)</f>
        <v>0</v>
      </c>
      <c r="AR533" s="487" t="s">
        <v>299</v>
      </c>
      <c r="AS533" s="487">
        <f>+VLOOKUP($AJ533,Data_Validation!$A:$E,5,0)</f>
        <v>0</v>
      </c>
      <c r="AT533" s="904" t="str">
        <f t="shared" si="51"/>
        <v>G32309</v>
      </c>
      <c r="AU533" s="488" t="str">
        <f t="shared" si="52"/>
        <v>FONDS PENSION EMPLOYES</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2118</v>
      </c>
      <c r="D534" s="706" t="s">
        <v>2119</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G32310</v>
      </c>
      <c r="AK534" s="905" t="str">
        <f t="shared" si="55"/>
        <v>FONDS PENSION EMPLOYEUR</v>
      </c>
      <c r="AL534" s="905">
        <f>IFERROR(INDEX(G534:R534,1,MATCH(Parametres!$B$3,G$1:R$1,0)-1)*IF(OR(F534="L",F534="S",F534="I"),-1,1),"")</f>
        <v>0</v>
      </c>
      <c r="AM534" s="905">
        <f t="shared" si="50"/>
        <v>0</v>
      </c>
      <c r="AN534" s="905">
        <f>INDEX(G534:R534,1,MATCH(Parametres!$B$3,G$1:R$1,0))*IF(OR(F534="L",F534="S",F534="I"),-1,1)</f>
        <v>0</v>
      </c>
      <c r="AO534" s="487" t="str">
        <f>+VLOOKUP($AJ534,Data_Validation!$A:$D,1,0)</f>
        <v>G32310</v>
      </c>
      <c r="AP534" s="487">
        <f>+VLOOKUP($AJ534,Data_Validation!$A:$D,3,0)</f>
        <v>0</v>
      </c>
      <c r="AQ534" s="487">
        <f>+VLOOKUP($AJ534,Data_Validation!$A:$D,4,0)</f>
        <v>0</v>
      </c>
      <c r="AR534" s="487" t="s">
        <v>299</v>
      </c>
      <c r="AS534" s="487">
        <f>+VLOOKUP($AJ534,Data_Validation!$A:$E,5,0)</f>
        <v>0</v>
      </c>
      <c r="AT534" s="904" t="str">
        <f t="shared" si="51"/>
        <v>G32310</v>
      </c>
      <c r="AU534" s="488" t="str">
        <f t="shared" si="52"/>
        <v>FONDS PENSION EMPLOYEUR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2120</v>
      </c>
      <c r="D535" s="706" t="s">
        <v>2121</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G32311</v>
      </c>
      <c r="AK535" s="905" t="str">
        <f t="shared" si="55"/>
        <v>RQAP A PAYER</v>
      </c>
      <c r="AL535" s="905">
        <f>IFERROR(INDEX(G535:R535,1,MATCH(Parametres!$B$3,G$1:R$1,0)-1)*IF(OR(F535="L",F535="S",F535="I"),-1,1),"")</f>
        <v>0</v>
      </c>
      <c r="AM535" s="905">
        <f t="shared" si="50"/>
        <v>0</v>
      </c>
      <c r="AN535" s="905">
        <f>INDEX(G535:R535,1,MATCH(Parametres!$B$3,G$1:R$1,0))*IF(OR(F535="L",F535="S",F535="I"),-1,1)</f>
        <v>0</v>
      </c>
      <c r="AO535" s="487" t="str">
        <f>+VLOOKUP($AJ535,Data_Validation!$A:$D,1,0)</f>
        <v>G32311</v>
      </c>
      <c r="AP535" s="487">
        <f>+VLOOKUP($AJ535,Data_Validation!$A:$D,3,0)</f>
        <v>0</v>
      </c>
      <c r="AQ535" s="487">
        <f>+VLOOKUP($AJ535,Data_Validation!$A:$D,4,0)</f>
        <v>0</v>
      </c>
      <c r="AR535" s="487" t="s">
        <v>299</v>
      </c>
      <c r="AS535" s="487">
        <f>+VLOOKUP($AJ535,Data_Validation!$A:$E,5,0)</f>
        <v>0</v>
      </c>
      <c r="AT535" s="904" t="str">
        <f t="shared" si="51"/>
        <v>G32311</v>
      </c>
      <c r="AU535" s="488" t="str">
        <f t="shared" si="52"/>
        <v>RQAP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2122</v>
      </c>
      <c r="D536" s="706" t="s">
        <v>2123</v>
      </c>
      <c r="E536" s="706" t="s">
        <v>333</v>
      </c>
      <c r="F536" s="706" t="s">
        <v>1135</v>
      </c>
      <c r="G536" s="706">
        <v>3449.82</v>
      </c>
      <c r="H536" s="706">
        <v>3657.94</v>
      </c>
      <c r="I536" s="706">
        <v>3857.78</v>
      </c>
      <c r="J536" s="706">
        <v>12747.76</v>
      </c>
      <c r="K536" s="706">
        <v>13107.46</v>
      </c>
      <c r="L536" s="706">
        <v>13107.46</v>
      </c>
      <c r="M536" s="706">
        <v>13107.46</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G32312</v>
      </c>
      <c r="AK536" s="905" t="str">
        <f t="shared" si="55"/>
        <v>CSST A PAYER</v>
      </c>
      <c r="AL536" s="905">
        <f>IFERROR(INDEX(G536:R536,1,MATCH(Parametres!$B$3,G$1:R$1,0)-1)*IF(OR(F536="L",F536="S",F536="I"),-1,1),"")</f>
        <v>-13107.46</v>
      </c>
      <c r="AM536" s="905">
        <f t="shared" si="50"/>
        <v>13107.46</v>
      </c>
      <c r="AN536" s="905">
        <f>INDEX(G536:R536,1,MATCH(Parametres!$B$3,G$1:R$1,0))*IF(OR(F536="L",F536="S",F536="I"),-1,1)</f>
        <v>0</v>
      </c>
      <c r="AO536" s="487" t="str">
        <f>+VLOOKUP($AJ536,Data_Validation!$A:$D,1,0)</f>
        <v>G32312</v>
      </c>
      <c r="AP536" s="487" t="str">
        <f>+VLOOKUP($AJ536,Data_Validation!$A:$D,3,0)</f>
        <v>Bilan</v>
      </c>
      <c r="AQ536" s="487" t="str">
        <f>+VLOOKUP($AJ536,Data_Validation!$A:$D,4,0)</f>
        <v>DAS à Payer</v>
      </c>
      <c r="AR536" s="487" t="s">
        <v>299</v>
      </c>
      <c r="AS536" s="487">
        <f>+VLOOKUP($AJ536,Data_Validation!$A:$E,5,0)</f>
        <v>0</v>
      </c>
      <c r="AT536" s="904" t="str">
        <f t="shared" si="51"/>
        <v>G32312</v>
      </c>
      <c r="AU536" s="488" t="str">
        <f t="shared" si="52"/>
        <v>CSST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3195</v>
      </c>
      <c r="D537" s="706" t="s">
        <v>3196</v>
      </c>
      <c r="E537" s="706" t="s">
        <v>333</v>
      </c>
      <c r="F537" s="706" t="s">
        <v>1135</v>
      </c>
      <c r="G537" s="706">
        <v>0</v>
      </c>
      <c r="H537" s="706">
        <v>0</v>
      </c>
      <c r="I537" s="706">
        <v>0</v>
      </c>
      <c r="J537" s="706">
        <v>0</v>
      </c>
      <c r="K537" s="706">
        <v>0</v>
      </c>
      <c r="L537" s="706">
        <v>214.98</v>
      </c>
      <c r="M537" s="706">
        <v>427.01</v>
      </c>
      <c r="N537" s="706">
        <v>1889.09</v>
      </c>
      <c r="O537" s="706">
        <v>1982.99</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G32313</v>
      </c>
      <c r="AK537" s="905" t="str">
        <f t="shared" si="55"/>
        <v>CNT A PAYER</v>
      </c>
      <c r="AL537" s="905">
        <f>IFERROR(INDEX(G537:R537,1,MATCH(Parametres!$B$3,G$1:R$1,0)-1)*IF(OR(F537="L",F537="S",F537="I"),-1,1),"")</f>
        <v>-427.01</v>
      </c>
      <c r="AM537" s="905">
        <f t="shared" si="50"/>
        <v>-1462.08</v>
      </c>
      <c r="AN537" s="905">
        <f>INDEX(G537:R537,1,MATCH(Parametres!$B$3,G$1:R$1,0))*IF(OR(F537="L",F537="S",F537="I"),-1,1)</f>
        <v>-1889.09</v>
      </c>
      <c r="AO537" s="487" t="str">
        <f>+VLOOKUP($AJ537,Data_Validation!$A:$D,1,0)</f>
        <v>G32313</v>
      </c>
      <c r="AP537" s="487" t="str">
        <f>+VLOOKUP($AJ537,Data_Validation!$A:$D,3,0)</f>
        <v>Bilan</v>
      </c>
      <c r="AQ537" s="487" t="str">
        <f>+VLOOKUP($AJ537,Data_Validation!$A:$D,4,0)</f>
        <v>DAS à Payer</v>
      </c>
      <c r="AR537" s="487" t="s">
        <v>299</v>
      </c>
      <c r="AS537" s="487">
        <f>+VLOOKUP($AJ537,Data_Validation!$A:$E,5,0)</f>
        <v>0</v>
      </c>
      <c r="AT537" s="904" t="str">
        <f t="shared" si="51"/>
        <v>G32313</v>
      </c>
      <c r="AU537" s="488" t="str">
        <f t="shared" si="52"/>
        <v>CNT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2124</v>
      </c>
      <c r="D538" s="706" t="s">
        <v>3325</v>
      </c>
      <c r="E538" s="706" t="s">
        <v>333</v>
      </c>
      <c r="F538" s="706" t="s">
        <v>1135</v>
      </c>
      <c r="G538" s="706">
        <v>104972.94</v>
      </c>
      <c r="H538" s="706">
        <v>91135.21</v>
      </c>
      <c r="I538" s="706">
        <v>105499.53</v>
      </c>
      <c r="J538" s="706">
        <v>130073.13</v>
      </c>
      <c r="K538" s="706">
        <v>57634.14</v>
      </c>
      <c r="L538" s="706">
        <v>106096.86</v>
      </c>
      <c r="M538" s="706">
        <v>106698.28</v>
      </c>
      <c r="N538" s="706">
        <v>105747.55</v>
      </c>
      <c r="O538" s="706">
        <v>179419.95</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G32400</v>
      </c>
      <c r="AK538" s="905" t="str">
        <f t="shared" si="55"/>
        <v>T.V.Q. A PAYER</v>
      </c>
      <c r="AL538" s="905">
        <f>IFERROR(INDEX(G538:R538,1,MATCH(Parametres!$B$3,G$1:R$1,0)-1)*IF(OR(F538="L",F538="S",F538="I"),-1,1),"")</f>
        <v>-106698.28</v>
      </c>
      <c r="AM538" s="905">
        <f t="shared" si="50"/>
        <v>950.72999999999593</v>
      </c>
      <c r="AN538" s="905">
        <f>INDEX(G538:R538,1,MATCH(Parametres!$B$3,G$1:R$1,0))*IF(OR(F538="L",F538="S",F538="I"),-1,1)</f>
        <v>-105747.55</v>
      </c>
      <c r="AO538" s="487" t="str">
        <f>+VLOOKUP($AJ538,Data_Validation!$A:$D,1,0)</f>
        <v>G32400</v>
      </c>
      <c r="AP538" s="487" t="str">
        <f>+VLOOKUP($AJ538,Data_Validation!$A:$D,3,0)</f>
        <v>Bilan</v>
      </c>
      <c r="AQ538" s="487" t="str">
        <f>+VLOOKUP($AJ538,Data_Validation!$A:$D,4,0)</f>
        <v>Taxes de Vente à Payer</v>
      </c>
      <c r="AR538" s="487" t="s">
        <v>299</v>
      </c>
      <c r="AS538" s="487">
        <f>+VLOOKUP($AJ538,Data_Validation!$A:$E,5,0)</f>
        <v>0</v>
      </c>
      <c r="AT538" s="904" t="str">
        <f t="shared" si="51"/>
        <v>G32400</v>
      </c>
      <c r="AU538" s="488" t="str">
        <f t="shared" si="52"/>
        <v>T.V.Q.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2126</v>
      </c>
      <c r="D539" s="706" t="s">
        <v>2127</v>
      </c>
      <c r="E539" s="706" t="s">
        <v>333</v>
      </c>
      <c r="F539" s="706" t="s">
        <v>1135</v>
      </c>
      <c r="G539" s="706">
        <v>1076451.8400000001</v>
      </c>
      <c r="H539" s="706">
        <v>902541.32</v>
      </c>
      <c r="I539" s="706">
        <v>1152829.07</v>
      </c>
      <c r="J539" s="706">
        <v>3897674.97</v>
      </c>
      <c r="K539" s="706">
        <v>1140831.3600000001</v>
      </c>
      <c r="L539" s="706">
        <v>986858.79</v>
      </c>
      <c r="M539" s="706">
        <v>699437.82</v>
      </c>
      <c r="N539" s="706">
        <v>654244.14</v>
      </c>
      <c r="O539" s="706">
        <v>1030309.29</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G32401</v>
      </c>
      <c r="AK539" s="905" t="str">
        <f t="shared" si="55"/>
        <v>T.P.S. A PAYER</v>
      </c>
      <c r="AL539" s="905">
        <f>IFERROR(INDEX(G539:R539,1,MATCH(Parametres!$B$3,G$1:R$1,0)-1)*IF(OR(F539="L",F539="S",F539="I"),-1,1),"")</f>
        <v>-699437.82</v>
      </c>
      <c r="AM539" s="905">
        <f t="shared" si="50"/>
        <v>45193.679999999935</v>
      </c>
      <c r="AN539" s="905">
        <f>INDEX(G539:R539,1,MATCH(Parametres!$B$3,G$1:R$1,0))*IF(OR(F539="L",F539="S",F539="I"),-1,1)</f>
        <v>-654244.14</v>
      </c>
      <c r="AO539" s="487" t="str">
        <f>+VLOOKUP($AJ539,Data_Validation!$A:$D,1,0)</f>
        <v>G32401</v>
      </c>
      <c r="AP539" s="487" t="str">
        <f>+VLOOKUP($AJ539,Data_Validation!$A:$D,3,0)</f>
        <v>Bilan</v>
      </c>
      <c r="AQ539" s="487" t="str">
        <f>+VLOOKUP($AJ539,Data_Validation!$A:$D,4,0)</f>
        <v>Taxes de Vente à Payer</v>
      </c>
      <c r="AR539" s="487" t="s">
        <v>299</v>
      </c>
      <c r="AS539" s="487">
        <f>+VLOOKUP($AJ539,Data_Validation!$A:$E,5,0)</f>
        <v>0</v>
      </c>
      <c r="AT539" s="904" t="str">
        <f t="shared" si="51"/>
        <v>G32401</v>
      </c>
      <c r="AU539" s="488" t="str">
        <f t="shared" si="52"/>
        <v>T.P.S.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2128</v>
      </c>
      <c r="D540" s="706" t="s">
        <v>2129</v>
      </c>
      <c r="E540" s="706" t="s">
        <v>333</v>
      </c>
      <c r="F540" s="706" t="s">
        <v>1135</v>
      </c>
      <c r="G540" s="706">
        <v>195.93</v>
      </c>
      <c r="H540" s="706">
        <v>364.95</v>
      </c>
      <c r="I540" s="706">
        <v>275.39999999999998</v>
      </c>
      <c r="J540" s="706">
        <v>280.52999999999997</v>
      </c>
      <c r="K540" s="706">
        <v>0</v>
      </c>
      <c r="L540" s="706">
        <v>0</v>
      </c>
      <c r="M540" s="706">
        <v>609.33000000000004</v>
      </c>
      <c r="N540" s="706">
        <v>398.6</v>
      </c>
      <c r="O540" s="706">
        <v>398.6</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G32402</v>
      </c>
      <c r="AK540" s="905" t="str">
        <f t="shared" si="55"/>
        <v>TPA ASSURANCES</v>
      </c>
      <c r="AL540" s="905">
        <f>IFERROR(INDEX(G540:R540,1,MATCH(Parametres!$B$3,G$1:R$1,0)-1)*IF(OR(F540="L",F540="S",F540="I"),-1,1),"")</f>
        <v>-609.33000000000004</v>
      </c>
      <c r="AM540" s="905">
        <f t="shared" si="50"/>
        <v>210.73000000000002</v>
      </c>
      <c r="AN540" s="905">
        <f>INDEX(G540:R540,1,MATCH(Parametres!$B$3,G$1:R$1,0))*IF(OR(F540="L",F540="S",F540="I"),-1,1)</f>
        <v>-398.6</v>
      </c>
      <c r="AO540" s="487" t="str">
        <f>+VLOOKUP($AJ540,Data_Validation!$A:$D,1,0)</f>
        <v>G32402</v>
      </c>
      <c r="AP540" s="487" t="str">
        <f>+VLOOKUP($AJ540,Data_Validation!$A:$D,3,0)</f>
        <v>Bilan</v>
      </c>
      <c r="AQ540" s="487" t="str">
        <f>+VLOOKUP($AJ540,Data_Validation!$A:$D,4,0)</f>
        <v>Taxes de Vente à Payer</v>
      </c>
      <c r="AR540" s="487" t="s">
        <v>299</v>
      </c>
      <c r="AS540" s="487">
        <f>+VLOOKUP($AJ540,Data_Validation!$A:$E,5,0)</f>
        <v>0</v>
      </c>
      <c r="AT540" s="904" t="str">
        <f t="shared" si="51"/>
        <v>G32402</v>
      </c>
      <c r="AU540" s="488" t="str">
        <f t="shared" si="52"/>
        <v>TPA ASSURANCES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2130</v>
      </c>
      <c r="D541" s="706" t="s">
        <v>2131</v>
      </c>
      <c r="E541" s="706" t="s">
        <v>333</v>
      </c>
      <c r="F541" s="706" t="s">
        <v>1135</v>
      </c>
      <c r="G541" s="706">
        <v>5030</v>
      </c>
      <c r="H541" s="706">
        <v>12525.92</v>
      </c>
      <c r="I541" s="706">
        <v>21790.14</v>
      </c>
      <c r="J541" s="706">
        <v>2267.56</v>
      </c>
      <c r="K541" s="706">
        <v>10794.43</v>
      </c>
      <c r="L541" s="706">
        <v>27004.639999999999</v>
      </c>
      <c r="M541" s="706">
        <v>12198.69</v>
      </c>
      <c r="N541" s="706">
        <v>12410.57</v>
      </c>
      <c r="O541" s="706">
        <v>15602.61</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G32500</v>
      </c>
      <c r="AK541" s="905" t="str">
        <f t="shared" si="55"/>
        <v>TAXE DELUXE A PAYER</v>
      </c>
      <c r="AL541" s="905">
        <f>IFERROR(INDEX(G541:R541,1,MATCH(Parametres!$B$3,G$1:R$1,0)-1)*IF(OR(F541="L",F541="S",F541="I"),-1,1),"")</f>
        <v>-12198.69</v>
      </c>
      <c r="AM541" s="905">
        <f t="shared" si="50"/>
        <v>-211.8799999999992</v>
      </c>
      <c r="AN541" s="905">
        <f>INDEX(G541:R541,1,MATCH(Parametres!$B$3,G$1:R$1,0))*IF(OR(F541="L",F541="S",F541="I"),-1,1)</f>
        <v>-12410.57</v>
      </c>
      <c r="AO541" s="487" t="str">
        <f>+VLOOKUP($AJ541,Data_Validation!$A:$D,1,0)</f>
        <v>G32500</v>
      </c>
      <c r="AP541" s="487" t="str">
        <f>+VLOOKUP($AJ541,Data_Validation!$A:$D,3,0)</f>
        <v>Bilan</v>
      </c>
      <c r="AQ541" s="487" t="str">
        <f>+VLOOKUP($AJ541,Data_Validation!$A:$D,4,0)</f>
        <v>Taxes de Vente à Payer</v>
      </c>
      <c r="AR541" s="487" t="s">
        <v>299</v>
      </c>
      <c r="AS541" s="487">
        <f>+VLOOKUP($AJ541,Data_Validation!$A:$E,5,0)</f>
        <v>0</v>
      </c>
      <c r="AT541" s="904" t="str">
        <f t="shared" si="51"/>
        <v>G32500</v>
      </c>
      <c r="AU541" s="488" t="str">
        <f t="shared" si="52"/>
        <v>TAXE DELUXE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2132</v>
      </c>
      <c r="D542" s="706" t="s">
        <v>1154</v>
      </c>
      <c r="E542" s="706" t="s">
        <v>333</v>
      </c>
      <c r="F542" s="706" t="s">
        <v>1135</v>
      </c>
      <c r="G542" s="706">
        <v>0</v>
      </c>
      <c r="H542" s="706">
        <v>0</v>
      </c>
      <c r="I542" s="706">
        <v>0</v>
      </c>
      <c r="J542" s="706">
        <v>0</v>
      </c>
      <c r="K542" s="706">
        <v>0</v>
      </c>
      <c r="L542" s="706">
        <v>0</v>
      </c>
      <c r="M542" s="706">
        <v>0</v>
      </c>
      <c r="N542" s="706">
        <v>0</v>
      </c>
      <c r="O542" s="706">
        <v>0</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G32700</v>
      </c>
      <c r="AK542" s="905" t="str">
        <f t="shared" si="55"/>
        <v>IMPÔTS EXIGIBLES</v>
      </c>
      <c r="AL542" s="905">
        <f>IFERROR(INDEX(G542:R542,1,MATCH(Parametres!$B$3,G$1:R$1,0)-1)*IF(OR(F542="L",F542="S",F542="I"),-1,1),"")</f>
        <v>0</v>
      </c>
      <c r="AM542" s="905">
        <f t="shared" si="50"/>
        <v>0</v>
      </c>
      <c r="AN542" s="905">
        <f>INDEX(G542:R542,1,MATCH(Parametres!$B$3,G$1:R$1,0))*IF(OR(F542="L",F542="S",F542="I"),-1,1)</f>
        <v>0</v>
      </c>
      <c r="AO542" s="487" t="str">
        <f>+VLOOKUP($AJ542,Data_Validation!$A:$D,1,0)</f>
        <v>G32700</v>
      </c>
      <c r="AP542" s="487" t="str">
        <f>+VLOOKUP($AJ542,Data_Validation!$A:$D,3,0)</f>
        <v>Bilan</v>
      </c>
      <c r="AQ542" s="487" t="str">
        <f>+VLOOKUP($AJ542,Data_Validation!$A:$D,4,0)</f>
        <v>Impôts à payer</v>
      </c>
      <c r="AR542" s="487" t="s">
        <v>299</v>
      </c>
      <c r="AS542" s="487">
        <f>+VLOOKUP($AJ542,Data_Validation!$A:$E,5,0)</f>
        <v>0</v>
      </c>
      <c r="AT542" s="904" t="str">
        <f t="shared" si="51"/>
        <v>G32700</v>
      </c>
      <c r="AU542" s="488" t="str">
        <f t="shared" si="52"/>
        <v>IMPÔTS EXIGIBLES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2133</v>
      </c>
      <c r="D543" s="706" t="s">
        <v>1147</v>
      </c>
      <c r="E543" s="706" t="s">
        <v>333</v>
      </c>
      <c r="F543" s="706" t="s">
        <v>1135</v>
      </c>
      <c r="G543" s="706">
        <v>0</v>
      </c>
      <c r="H543" s="706">
        <v>0</v>
      </c>
      <c r="I543" s="706">
        <v>12274.51</v>
      </c>
      <c r="J543" s="706">
        <v>19394.73</v>
      </c>
      <c r="K543" s="706">
        <v>11577.99</v>
      </c>
      <c r="L543" s="706">
        <v>13279.16</v>
      </c>
      <c r="M543" s="706">
        <v>20373.650000000001</v>
      </c>
      <c r="N543" s="706">
        <v>17501.990000000002</v>
      </c>
      <c r="O543" s="706">
        <v>2010.23</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G32800</v>
      </c>
      <c r="AK543" s="905" t="str">
        <f t="shared" si="55"/>
        <v>BONI A PAYER</v>
      </c>
      <c r="AL543" s="905">
        <f>IFERROR(INDEX(G543:R543,1,MATCH(Parametres!$B$3,G$1:R$1,0)-1)*IF(OR(F543="L",F543="S",F543="I"),-1,1),"")</f>
        <v>-20373.650000000001</v>
      </c>
      <c r="AM543" s="905">
        <f t="shared" si="50"/>
        <v>2871.66</v>
      </c>
      <c r="AN543" s="905">
        <f>INDEX(G543:R543,1,MATCH(Parametres!$B$3,G$1:R$1,0))*IF(OR(F543="L",F543="S",F543="I"),-1,1)</f>
        <v>-17501.990000000002</v>
      </c>
      <c r="AO543" s="487" t="str">
        <f>+VLOOKUP($AJ543,Data_Validation!$A:$D,1,0)</f>
        <v>G32800</v>
      </c>
      <c r="AP543" s="487" t="str">
        <f>+VLOOKUP($AJ543,Data_Validation!$A:$D,3,0)</f>
        <v>Bilan</v>
      </c>
      <c r="AQ543" s="487" t="str">
        <f>+VLOOKUP($AJ543,Data_Validation!$A:$D,4,0)</f>
        <v>Salaires à Payer</v>
      </c>
      <c r="AR543" s="487" t="s">
        <v>299</v>
      </c>
      <c r="AS543" s="487">
        <f>+VLOOKUP($AJ543,Data_Validation!$A:$E,5,0)</f>
        <v>0</v>
      </c>
      <c r="AT543" s="904" t="str">
        <f t="shared" si="51"/>
        <v>G32800</v>
      </c>
      <c r="AU543" s="488" t="str">
        <f t="shared" si="52"/>
        <v>BONI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2134</v>
      </c>
      <c r="D544" s="706" t="s">
        <v>2135</v>
      </c>
      <c r="E544" s="706" t="s">
        <v>333</v>
      </c>
      <c r="F544" s="706" t="s">
        <v>1135</v>
      </c>
      <c r="G544" s="706">
        <v>-2725964.6</v>
      </c>
      <c r="H544" s="706">
        <v>-3387014.6</v>
      </c>
      <c r="I544" s="706">
        <v>-3400964.6</v>
      </c>
      <c r="J544" s="706">
        <v>-3389504.24</v>
      </c>
      <c r="K544" s="706">
        <v>-3889504.24</v>
      </c>
      <c r="L544" s="706">
        <v>-3920685.29</v>
      </c>
      <c r="M544" s="706">
        <v>-3918620.97</v>
      </c>
      <c r="N544" s="706">
        <v>-3940255.42</v>
      </c>
      <c r="O544" s="706">
        <v>-3977655.42</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G32900</v>
      </c>
      <c r="AK544" s="905" t="str">
        <f t="shared" si="55"/>
        <v>BONI À PAYER PROPRIETAIRE</v>
      </c>
      <c r="AL544" s="905">
        <f>IFERROR(INDEX(G544:R544,1,MATCH(Parametres!$B$3,G$1:R$1,0)-1)*IF(OR(F544="L",F544="S",F544="I"),-1,1),"")</f>
        <v>3918620.97</v>
      </c>
      <c r="AM544" s="905">
        <f t="shared" si="50"/>
        <v>21634.449999999721</v>
      </c>
      <c r="AN544" s="905">
        <f>INDEX(G544:R544,1,MATCH(Parametres!$B$3,G$1:R$1,0))*IF(OR(F544="L",F544="S",F544="I"),-1,1)</f>
        <v>3940255.42</v>
      </c>
      <c r="AO544" s="487" t="str">
        <f>+VLOOKUP($AJ544,Data_Validation!$A:$D,1,0)</f>
        <v>G32900</v>
      </c>
      <c r="AP544" s="487" t="str">
        <f>+VLOOKUP($AJ544,Data_Validation!$A:$D,3,0)</f>
        <v>Bilan</v>
      </c>
      <c r="AQ544" s="487" t="str">
        <f>+VLOOKUP($AJ544,Data_Validation!$A:$D,4,0)</f>
        <v>Salaires à Payer</v>
      </c>
      <c r="AR544" s="487" t="s">
        <v>299</v>
      </c>
      <c r="AS544" s="487">
        <f>+VLOOKUP($AJ544,Data_Validation!$A:$E,5,0)</f>
        <v>0</v>
      </c>
      <c r="AT544" s="904" t="str">
        <f t="shared" si="51"/>
        <v>G32900</v>
      </c>
      <c r="AU544" s="488" t="str">
        <f t="shared" si="52"/>
        <v>BONI À PAYER PROPRIETAIRE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2136</v>
      </c>
      <c r="D545" s="706" t="s">
        <v>2137</v>
      </c>
      <c r="E545" s="706" t="s">
        <v>336</v>
      </c>
      <c r="F545" s="706" t="s">
        <v>1135</v>
      </c>
      <c r="G545" s="706">
        <v>0</v>
      </c>
      <c r="H545" s="706">
        <v>0</v>
      </c>
      <c r="I545" s="706">
        <v>0</v>
      </c>
      <c r="J545" s="706">
        <v>0</v>
      </c>
      <c r="K545" s="706">
        <v>0</v>
      </c>
      <c r="L545" s="706">
        <v>41642.04</v>
      </c>
      <c r="M545" s="706">
        <v>0</v>
      </c>
      <c r="N545" s="706">
        <v>42402.54</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G33030</v>
      </c>
      <c r="AK545" s="905" t="str">
        <f t="shared" si="55"/>
        <v>AP VEH. HAWKESBURY GM</v>
      </c>
      <c r="AL545" s="905">
        <f>IFERROR(INDEX(G545:R545,1,MATCH(Parametres!$B$3,G$1:R$1,0)-1)*IF(OR(F545="L",F545="S",F545="I"),-1,1),"")</f>
        <v>0</v>
      </c>
      <c r="AM545" s="905">
        <f t="shared" si="50"/>
        <v>-42402.54</v>
      </c>
      <c r="AN545" s="905">
        <f>INDEX(G545:R545,1,MATCH(Parametres!$B$3,G$1:R$1,0))*IF(OR(F545="L",F545="S",F545="I"),-1,1)</f>
        <v>-42402.54</v>
      </c>
      <c r="AO545" s="487" t="str">
        <f>+VLOOKUP($AJ545,Data_Validation!$A:$D,1,0)</f>
        <v>G33030</v>
      </c>
      <c r="AP545" s="487" t="str">
        <f>+VLOOKUP($AJ545,Data_Validation!$A:$D,3,0)</f>
        <v>Bilan</v>
      </c>
      <c r="AQ545" s="487" t="str">
        <f>+VLOOKUP($AJ545,Data_Validation!$A:$D,4,0)</f>
        <v>Payables Intercos</v>
      </c>
      <c r="AR545" s="487" t="s">
        <v>299</v>
      </c>
      <c r="AS545" s="487">
        <f>+VLOOKUP($AJ545,Data_Validation!$A:$E,5,0)</f>
        <v>0</v>
      </c>
      <c r="AT545" s="904" t="str">
        <f t="shared" si="51"/>
        <v>G33030</v>
      </c>
      <c r="AU545" s="488" t="str">
        <f t="shared" si="52"/>
        <v>AP VEH. HAWKESBURY GM</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2138</v>
      </c>
      <c r="D546" s="706" t="s">
        <v>2139</v>
      </c>
      <c r="E546" s="706" t="s">
        <v>336</v>
      </c>
      <c r="F546" s="706" t="s">
        <v>1135</v>
      </c>
      <c r="G546" s="706">
        <v>0</v>
      </c>
      <c r="H546" s="706">
        <v>0</v>
      </c>
      <c r="I546" s="706">
        <v>0</v>
      </c>
      <c r="J546" s="706">
        <v>0</v>
      </c>
      <c r="K546" s="706">
        <v>0</v>
      </c>
      <c r="L546" s="706">
        <v>164000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G33035</v>
      </c>
      <c r="AK546" s="905" t="str">
        <f t="shared" si="55"/>
        <v>AP VEH. BMW SHERBROOKE</v>
      </c>
      <c r="AL546" s="905">
        <f>IFERROR(INDEX(G546:R546,1,MATCH(Parametres!$B$3,G$1:R$1,0)-1)*IF(OR(F546="L",F546="S",F546="I"),-1,1),"")</f>
        <v>0</v>
      </c>
      <c r="AM546" s="905">
        <f t="shared" si="50"/>
        <v>0</v>
      </c>
      <c r="AN546" s="905">
        <f>INDEX(G546:R546,1,MATCH(Parametres!$B$3,G$1:R$1,0))*IF(OR(F546="L",F546="S",F546="I"),-1,1)</f>
        <v>0</v>
      </c>
      <c r="AO546" s="487" t="str">
        <f>+VLOOKUP($AJ546,Data_Validation!$A:$D,1,0)</f>
        <v>G33035</v>
      </c>
      <c r="AP546" s="487" t="str">
        <f>+VLOOKUP($AJ546,Data_Validation!$A:$D,3,0)</f>
        <v>Bilan</v>
      </c>
      <c r="AQ546" s="487" t="str">
        <f>+VLOOKUP($AJ546,Data_Validation!$A:$D,4,0)</f>
        <v>Payables Intercos</v>
      </c>
      <c r="AR546" s="487" t="s">
        <v>299</v>
      </c>
      <c r="AS546" s="487">
        <f>+VLOOKUP($AJ546,Data_Validation!$A:$E,5,0)</f>
        <v>0</v>
      </c>
      <c r="AT546" s="904" t="str">
        <f t="shared" si="51"/>
        <v>G33035</v>
      </c>
      <c r="AU546" s="488" t="str">
        <f t="shared" si="52"/>
        <v>AP VEH. BMW SHERBROOKE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2140</v>
      </c>
      <c r="D547" s="706" t="s">
        <v>2141</v>
      </c>
      <c r="E547" s="706" t="s">
        <v>336</v>
      </c>
      <c r="F547" s="706" t="s">
        <v>1135</v>
      </c>
      <c r="G547" s="706">
        <v>0</v>
      </c>
      <c r="H547" s="706">
        <v>0</v>
      </c>
      <c r="I547" s="706">
        <v>0</v>
      </c>
      <c r="J547" s="706">
        <v>0</v>
      </c>
      <c r="K547" s="706">
        <v>0</v>
      </c>
      <c r="L547" s="706">
        <v>0</v>
      </c>
      <c r="M547" s="706">
        <v>269445.07</v>
      </c>
      <c r="N547" s="706">
        <v>605146.31999999995</v>
      </c>
      <c r="O547" s="706">
        <v>215199.39</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G33040</v>
      </c>
      <c r="AK547" s="905" t="str">
        <f t="shared" si="55"/>
        <v>AP VEH. LOCATION LMB</v>
      </c>
      <c r="AL547" s="905">
        <f>IFERROR(INDEX(G547:R547,1,MATCH(Parametres!$B$3,G$1:R$1,0)-1)*IF(OR(F547="L",F547="S",F547="I"),-1,1),"")</f>
        <v>-269445.07</v>
      </c>
      <c r="AM547" s="905">
        <f t="shared" si="50"/>
        <v>-335701.24999999994</v>
      </c>
      <c r="AN547" s="905">
        <f>INDEX(G547:R547,1,MATCH(Parametres!$B$3,G$1:R$1,0))*IF(OR(F547="L",F547="S",F547="I"),-1,1)</f>
        <v>-605146.31999999995</v>
      </c>
      <c r="AO547" s="487" t="str">
        <f>+VLOOKUP($AJ547,Data_Validation!$A:$D,1,0)</f>
        <v>G33040</v>
      </c>
      <c r="AP547" s="487" t="str">
        <f>+VLOOKUP($AJ547,Data_Validation!$A:$D,3,0)</f>
        <v>Bilan</v>
      </c>
      <c r="AQ547" s="487" t="str">
        <f>+VLOOKUP($AJ547,Data_Validation!$A:$D,4,0)</f>
        <v>Payables Intercos</v>
      </c>
      <c r="AR547" s="487" t="s">
        <v>299</v>
      </c>
      <c r="AS547" s="487">
        <f>+VLOOKUP($AJ547,Data_Validation!$A:$E,5,0)</f>
        <v>0</v>
      </c>
      <c r="AT547" s="904" t="str">
        <f t="shared" si="51"/>
        <v>G33040</v>
      </c>
      <c r="AU547" s="488" t="str">
        <f t="shared" si="52"/>
        <v>AP VEH. LOCATION LMB</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2142</v>
      </c>
      <c r="D548" s="706" t="s">
        <v>2143</v>
      </c>
      <c r="E548" s="706" t="s">
        <v>336</v>
      </c>
      <c r="F548" s="706" t="s">
        <v>1135</v>
      </c>
      <c r="G548" s="706">
        <v>0</v>
      </c>
      <c r="H548" s="706">
        <v>0</v>
      </c>
      <c r="I548" s="706">
        <v>0</v>
      </c>
      <c r="J548" s="706">
        <v>0</v>
      </c>
      <c r="K548" s="706">
        <v>0</v>
      </c>
      <c r="L548" s="706">
        <v>42500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G33045</v>
      </c>
      <c r="AK548" s="905" t="str">
        <f t="shared" si="55"/>
        <v>AP VEH. VOLKS BROSSARD</v>
      </c>
      <c r="AL548" s="905">
        <f>IFERROR(INDEX(G548:R548,1,MATCH(Parametres!$B$3,G$1:R$1,0)-1)*IF(OR(F548="L",F548="S",F548="I"),-1,1),"")</f>
        <v>0</v>
      </c>
      <c r="AM548" s="905">
        <f t="shared" si="50"/>
        <v>0</v>
      </c>
      <c r="AN548" s="905">
        <f>INDEX(G548:R548,1,MATCH(Parametres!$B$3,G$1:R$1,0))*IF(OR(F548="L",F548="S",F548="I"),-1,1)</f>
        <v>0</v>
      </c>
      <c r="AO548" s="487" t="str">
        <f>+VLOOKUP($AJ548,Data_Validation!$A:$D,1,0)</f>
        <v>G33045</v>
      </c>
      <c r="AP548" s="487" t="str">
        <f>+VLOOKUP($AJ548,Data_Validation!$A:$D,3,0)</f>
        <v>Bilan</v>
      </c>
      <c r="AQ548" s="487" t="str">
        <f>+VLOOKUP($AJ548,Data_Validation!$A:$D,4,0)</f>
        <v>Payables Intercos</v>
      </c>
      <c r="AR548" s="487" t="s">
        <v>299</v>
      </c>
      <c r="AS548" s="487">
        <f>+VLOOKUP($AJ548,Data_Validation!$A:$E,5,0)</f>
        <v>0</v>
      </c>
      <c r="AT548" s="904" t="str">
        <f t="shared" si="51"/>
        <v>G33045</v>
      </c>
      <c r="AU548" s="488" t="str">
        <f t="shared" si="52"/>
        <v>AP VEH. VOLKS BROSSARD</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2144</v>
      </c>
      <c r="D549" s="706" t="s">
        <v>2145</v>
      </c>
      <c r="E549" s="706" t="s">
        <v>336</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G33050</v>
      </c>
      <c r="AK549" s="905" t="str">
        <f t="shared" si="55"/>
        <v>AP VEH. LONGUEUIL HUYNDAI</v>
      </c>
      <c r="AL549" s="905">
        <f>IFERROR(INDEX(G549:R549,1,MATCH(Parametres!$B$3,G$1:R$1,0)-1)*IF(OR(F549="L",F549="S",F549="I"),-1,1),"")</f>
        <v>0</v>
      </c>
      <c r="AM549" s="905">
        <f t="shared" si="50"/>
        <v>0</v>
      </c>
      <c r="AN549" s="905">
        <f>INDEX(G549:R549,1,MATCH(Parametres!$B$3,G$1:R$1,0))*IF(OR(F549="L",F549="S",F549="I"),-1,1)</f>
        <v>0</v>
      </c>
      <c r="AO549" s="487" t="str">
        <f>+VLOOKUP($AJ549,Data_Validation!$A:$D,1,0)</f>
        <v>G33050</v>
      </c>
      <c r="AP549" s="487" t="str">
        <f>+VLOOKUP($AJ549,Data_Validation!$A:$D,3,0)</f>
        <v>Bilan</v>
      </c>
      <c r="AQ549" s="487" t="str">
        <f>+VLOOKUP($AJ549,Data_Validation!$A:$D,4,0)</f>
        <v>Payables Intercos</v>
      </c>
      <c r="AR549" s="487" t="s">
        <v>299</v>
      </c>
      <c r="AS549" s="487">
        <f>+VLOOKUP($AJ549,Data_Validation!$A:$E,5,0)</f>
        <v>0</v>
      </c>
      <c r="AT549" s="904" t="str">
        <f t="shared" si="51"/>
        <v>G33050</v>
      </c>
      <c r="AU549" s="488" t="str">
        <f t="shared" si="52"/>
        <v>AP VEH. LONGUEUIL HUYNDAI</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2146</v>
      </c>
      <c r="D550" s="706" t="s">
        <v>3326</v>
      </c>
      <c r="E550" s="706" t="s">
        <v>1139</v>
      </c>
      <c r="F550" s="706" t="s">
        <v>1135</v>
      </c>
      <c r="G550" s="706">
        <v>4700.8500000000004</v>
      </c>
      <c r="H550" s="706">
        <v>6127.32</v>
      </c>
      <c r="I550" s="706">
        <v>312.14</v>
      </c>
      <c r="J550" s="706">
        <v>4525.93</v>
      </c>
      <c r="K550" s="706">
        <v>7740.16</v>
      </c>
      <c r="L550" s="706">
        <v>9222.64</v>
      </c>
      <c r="M550" s="706">
        <v>7659.56</v>
      </c>
      <c r="N550" s="706">
        <v>10943.55</v>
      </c>
      <c r="O550" s="706">
        <v>11805.78</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G33100</v>
      </c>
      <c r="AK550" s="905" t="str">
        <f t="shared" si="55"/>
        <v>ACC VENDU NON INSTALLE</v>
      </c>
      <c r="AL550" s="905">
        <f>IFERROR(INDEX(G550:R550,1,MATCH(Parametres!$B$3,G$1:R$1,0)-1)*IF(OR(F550="L",F550="S",F550="I"),-1,1),"")</f>
        <v>-7659.56</v>
      </c>
      <c r="AM550" s="905">
        <f t="shared" si="50"/>
        <v>-3283.9899999999989</v>
      </c>
      <c r="AN550" s="905">
        <f>INDEX(G550:R550,1,MATCH(Parametres!$B$3,G$1:R$1,0))*IF(OR(F550="L",F550="S",F550="I"),-1,1)</f>
        <v>-10943.55</v>
      </c>
      <c r="AO550" s="487" t="str">
        <f>+VLOOKUP($AJ550,Data_Validation!$A:$D,1,0)</f>
        <v>G33100</v>
      </c>
      <c r="AP550" s="487" t="str">
        <f>+VLOOKUP($AJ550,Data_Validation!$A:$D,3,0)</f>
        <v>Bilan</v>
      </c>
      <c r="AQ550" s="487" t="str">
        <f>+VLOOKUP($AJ550,Data_Validation!$A:$D,4,0)</f>
        <v>Autres Courus</v>
      </c>
      <c r="AR550" s="487" t="s">
        <v>299</v>
      </c>
      <c r="AS550" s="487">
        <f>+VLOOKUP($AJ550,Data_Validation!$A:$E,5,0)</f>
        <v>0</v>
      </c>
      <c r="AT550" s="904" t="str">
        <f t="shared" si="51"/>
        <v>G33100</v>
      </c>
      <c r="AU550" s="488" t="str">
        <f t="shared" si="52"/>
        <v>ACC VENDU NON INSTALLE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2148</v>
      </c>
      <c r="D551" s="706" t="s">
        <v>2149</v>
      </c>
      <c r="E551" s="706" t="s">
        <v>333</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G33101</v>
      </c>
      <c r="AK551" s="905" t="str">
        <f t="shared" si="55"/>
        <v>PROVISION PUBLICITE</v>
      </c>
      <c r="AL551" s="905">
        <f>IFERROR(INDEX(G551:R551,1,MATCH(Parametres!$B$3,G$1:R$1,0)-1)*IF(OR(F551="L",F551="S",F551="I"),-1,1),"")</f>
        <v>0</v>
      </c>
      <c r="AM551" s="905">
        <f t="shared" si="50"/>
        <v>0</v>
      </c>
      <c r="AN551" s="905">
        <f>INDEX(G551:R551,1,MATCH(Parametres!$B$3,G$1:R$1,0))*IF(OR(F551="L",F551="S",F551="I"),-1,1)</f>
        <v>0</v>
      </c>
      <c r="AO551" s="487" t="str">
        <f>+VLOOKUP($AJ551,Data_Validation!$A:$D,1,0)</f>
        <v>G33101</v>
      </c>
      <c r="AP551" s="487" t="str">
        <f>+VLOOKUP($AJ551,Data_Validation!$A:$D,3,0)</f>
        <v>Bilan</v>
      </c>
      <c r="AQ551" s="487" t="str">
        <f>+VLOOKUP($AJ551,Data_Validation!$A:$D,4,0)</f>
        <v>Autres Courus</v>
      </c>
      <c r="AR551" s="487" t="s">
        <v>299</v>
      </c>
      <c r="AS551" s="487">
        <f>+VLOOKUP($AJ551,Data_Validation!$A:$E,5,0)</f>
        <v>0</v>
      </c>
      <c r="AT551" s="904" t="str">
        <f t="shared" si="51"/>
        <v>G33101</v>
      </c>
      <c r="AU551" s="488" t="str">
        <f t="shared" si="52"/>
        <v>PROVISION PUBLICITE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2150</v>
      </c>
      <c r="D552" s="706" t="s">
        <v>2151</v>
      </c>
      <c r="E552" s="706" t="s">
        <v>333</v>
      </c>
      <c r="F552" s="706" t="s">
        <v>1135</v>
      </c>
      <c r="G552" s="706">
        <v>258113.68</v>
      </c>
      <c r="H552" s="706">
        <v>276039.8</v>
      </c>
      <c r="I552" s="706">
        <v>276197.55</v>
      </c>
      <c r="J552" s="706">
        <v>282895.93</v>
      </c>
      <c r="K552" s="706">
        <v>273009.69</v>
      </c>
      <c r="L552" s="706">
        <v>275839.28999999998</v>
      </c>
      <c r="M552" s="706">
        <v>193376.23</v>
      </c>
      <c r="N552" s="706">
        <v>188843.4</v>
      </c>
      <c r="O552" s="706">
        <v>186464.93</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G33102</v>
      </c>
      <c r="AK552" s="905" t="str">
        <f t="shared" si="55"/>
        <v>PROVISIONS POUR VACANCES</v>
      </c>
      <c r="AL552" s="905">
        <f>IFERROR(INDEX(G552:R552,1,MATCH(Parametres!$B$3,G$1:R$1,0)-1)*IF(OR(F552="L",F552="S",F552="I"),-1,1),"")</f>
        <v>-193376.23</v>
      </c>
      <c r="AM552" s="905">
        <f t="shared" si="50"/>
        <v>4532.8300000000163</v>
      </c>
      <c r="AN552" s="905">
        <f>INDEX(G552:R552,1,MATCH(Parametres!$B$3,G$1:R$1,0))*IF(OR(F552="L",F552="S",F552="I"),-1,1)</f>
        <v>-188843.4</v>
      </c>
      <c r="AO552" s="487" t="str">
        <f>+VLOOKUP($AJ552,Data_Validation!$A:$D,1,0)</f>
        <v>G33102</v>
      </c>
      <c r="AP552" s="487" t="str">
        <f>+VLOOKUP($AJ552,Data_Validation!$A:$D,3,0)</f>
        <v>Bilan</v>
      </c>
      <c r="AQ552" s="487" t="str">
        <f>+VLOOKUP($AJ552,Data_Validation!$A:$D,4,0)</f>
        <v>Salaires à Payer</v>
      </c>
      <c r="AR552" s="487" t="s">
        <v>299</v>
      </c>
      <c r="AS552" s="487">
        <f>+VLOOKUP($AJ552,Data_Validation!$A:$E,5,0)</f>
        <v>0</v>
      </c>
      <c r="AT552" s="904" t="str">
        <f t="shared" si="51"/>
        <v>G33102</v>
      </c>
      <c r="AU552" s="488" t="str">
        <f t="shared" si="52"/>
        <v>PROVISIONS POUR VACANCES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2152</v>
      </c>
      <c r="D553" s="706" t="s">
        <v>2153</v>
      </c>
      <c r="E553" s="706" t="s">
        <v>336</v>
      </c>
      <c r="F553" s="706" t="s">
        <v>1135</v>
      </c>
      <c r="G553" s="706">
        <v>0</v>
      </c>
      <c r="H553" s="706">
        <v>900</v>
      </c>
      <c r="I553" s="706">
        <v>7000</v>
      </c>
      <c r="J553" s="706">
        <v>4068.52</v>
      </c>
      <c r="K553" s="706">
        <v>9993.52</v>
      </c>
      <c r="L553" s="706">
        <v>12361.57</v>
      </c>
      <c r="M553" s="706">
        <v>26665.25</v>
      </c>
      <c r="N553" s="706">
        <v>55110.42</v>
      </c>
      <c r="O553" s="706">
        <v>24520.98</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G33103</v>
      </c>
      <c r="AK553" s="905" t="str">
        <f t="shared" si="55"/>
        <v>RESERVE USA</v>
      </c>
      <c r="AL553" s="905">
        <f>IFERROR(INDEX(G553:R553,1,MATCH(Parametres!$B$3,G$1:R$1,0)-1)*IF(OR(F553="L",F553="S",F553="I"),-1,1),"")</f>
        <v>-26665.25</v>
      </c>
      <c r="AM553" s="905">
        <f t="shared" si="50"/>
        <v>-28445.17</v>
      </c>
      <c r="AN553" s="905">
        <f>INDEX(G553:R553,1,MATCH(Parametres!$B$3,G$1:R$1,0))*IF(OR(F553="L",F553="S",F553="I"),-1,1)</f>
        <v>-55110.42</v>
      </c>
      <c r="AO553" s="487" t="str">
        <f>+VLOOKUP($AJ553,Data_Validation!$A:$D,1,0)</f>
        <v>G33103</v>
      </c>
      <c r="AP553" s="487" t="str">
        <f>+VLOOKUP($AJ553,Data_Validation!$A:$D,3,0)</f>
        <v>Bilan</v>
      </c>
      <c r="AQ553" s="487" t="str">
        <f>+VLOOKUP($AJ553,Data_Validation!$A:$D,4,0)</f>
        <v>Autres Courus</v>
      </c>
      <c r="AR553" s="487" t="s">
        <v>299</v>
      </c>
      <c r="AS553" s="487">
        <f>+VLOOKUP($AJ553,Data_Validation!$A:$E,5,0)</f>
        <v>0</v>
      </c>
      <c r="AT553" s="904" t="str">
        <f t="shared" si="51"/>
        <v>G33103</v>
      </c>
      <c r="AU553" s="488" t="str">
        <f t="shared" si="52"/>
        <v>RESERVE USA</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2154</v>
      </c>
      <c r="D554" s="706" t="s">
        <v>2155</v>
      </c>
      <c r="E554" s="706" t="s">
        <v>1139</v>
      </c>
      <c r="F554" s="706" t="s">
        <v>1135</v>
      </c>
      <c r="G554" s="706">
        <v>11405</v>
      </c>
      <c r="H554" s="706">
        <v>14155</v>
      </c>
      <c r="I554" s="706">
        <v>16155</v>
      </c>
      <c r="J554" s="706">
        <v>17655</v>
      </c>
      <c r="K554" s="706">
        <v>18155</v>
      </c>
      <c r="L554" s="706">
        <v>18155</v>
      </c>
      <c r="M554" s="706">
        <v>18155</v>
      </c>
      <c r="N554" s="706">
        <v>18155</v>
      </c>
      <c r="O554" s="706">
        <v>18155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G33104</v>
      </c>
      <c r="AK554" s="905" t="str">
        <f t="shared" si="55"/>
        <v>RESERVE FLOTTES</v>
      </c>
      <c r="AL554" s="905">
        <f>IFERROR(INDEX(G554:R554,1,MATCH(Parametres!$B$3,G$1:R$1,0)-1)*IF(OR(F554="L",F554="S",F554="I"),-1,1),"")</f>
        <v>-18155</v>
      </c>
      <c r="AM554" s="905">
        <f t="shared" si="50"/>
        <v>0</v>
      </c>
      <c r="AN554" s="905">
        <f>INDEX(G554:R554,1,MATCH(Parametres!$B$3,G$1:R$1,0))*IF(OR(F554="L",F554="S",F554="I"),-1,1)</f>
        <v>-18155</v>
      </c>
      <c r="AO554" s="487" t="str">
        <f>+VLOOKUP($AJ554,Data_Validation!$A:$D,1,0)</f>
        <v>G33104</v>
      </c>
      <c r="AP554" s="487" t="str">
        <f>+VLOOKUP($AJ554,Data_Validation!$A:$D,3,0)</f>
        <v>Bilan</v>
      </c>
      <c r="AQ554" s="487" t="str">
        <f>+VLOOKUP($AJ554,Data_Validation!$A:$D,4,0)</f>
        <v>Autres Courus</v>
      </c>
      <c r="AR554" s="487" t="s">
        <v>299</v>
      </c>
      <c r="AS554" s="487">
        <f>+VLOOKUP($AJ554,Data_Validation!$A:$E,5,0)</f>
        <v>0</v>
      </c>
      <c r="AT554" s="904" t="str">
        <f t="shared" si="51"/>
        <v>G33104</v>
      </c>
      <c r="AU554" s="488" t="str">
        <f t="shared" si="52"/>
        <v>RESERVE FLOTTES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2156</v>
      </c>
      <c r="D555" s="706" t="s">
        <v>2157</v>
      </c>
      <c r="E555" s="706" t="s">
        <v>336</v>
      </c>
      <c r="F555" s="706" t="s">
        <v>1135</v>
      </c>
      <c r="G555" s="706">
        <v>2230.75</v>
      </c>
      <c r="H555" s="706">
        <v>2230.75</v>
      </c>
      <c r="I555" s="706">
        <v>2230.75</v>
      </c>
      <c r="J555" s="706">
        <v>2230.75</v>
      </c>
      <c r="K555" s="706">
        <v>2230.75</v>
      </c>
      <c r="L555" s="706">
        <v>2230.75</v>
      </c>
      <c r="M555" s="706">
        <v>2230.75</v>
      </c>
      <c r="N555" s="706">
        <v>0</v>
      </c>
      <c r="O555" s="706">
        <v>0</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G33105</v>
      </c>
      <c r="AK555" s="905" t="str">
        <f t="shared" si="55"/>
        <v>RESERVE TRANSP.WHOLESALE</v>
      </c>
      <c r="AL555" s="905">
        <f>IFERROR(INDEX(G555:R555,1,MATCH(Parametres!$B$3,G$1:R$1,0)-1)*IF(OR(F555="L",F555="S",F555="I"),-1,1),"")</f>
        <v>-2230.75</v>
      </c>
      <c r="AM555" s="905">
        <f t="shared" si="50"/>
        <v>2230.75</v>
      </c>
      <c r="AN555" s="905">
        <f>INDEX(G555:R555,1,MATCH(Parametres!$B$3,G$1:R$1,0))*IF(OR(F555="L",F555="S",F555="I"),-1,1)</f>
        <v>0</v>
      </c>
      <c r="AO555" s="487" t="str">
        <f>+VLOOKUP($AJ555,Data_Validation!$A:$D,1,0)</f>
        <v>G33105</v>
      </c>
      <c r="AP555" s="487" t="str">
        <f>+VLOOKUP($AJ555,Data_Validation!$A:$D,3,0)</f>
        <v>Bilan</v>
      </c>
      <c r="AQ555" s="487" t="str">
        <f>+VLOOKUP($AJ555,Data_Validation!$A:$D,4,0)</f>
        <v>Autres Courus</v>
      </c>
      <c r="AR555" s="487" t="s">
        <v>299</v>
      </c>
      <c r="AS555" s="487">
        <f>+VLOOKUP($AJ555,Data_Validation!$A:$E,5,0)</f>
        <v>0</v>
      </c>
      <c r="AT555" s="904" t="str">
        <f t="shared" si="51"/>
        <v>G33105</v>
      </c>
      <c r="AU555" s="488" t="str">
        <f t="shared" si="52"/>
        <v>RESERVE TRANSP.WHOLESALE</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2158</v>
      </c>
      <c r="D556" s="706" t="s">
        <v>2159</v>
      </c>
      <c r="E556" s="706" t="s">
        <v>1139</v>
      </c>
      <c r="F556" s="706" t="s">
        <v>1135</v>
      </c>
      <c r="G556" s="706">
        <v>-59856.17</v>
      </c>
      <c r="H556" s="706">
        <v>-56377.41</v>
      </c>
      <c r="I556" s="706">
        <v>-51741.85</v>
      </c>
      <c r="J556" s="706">
        <v>-41059.89</v>
      </c>
      <c r="K556" s="706">
        <v>-27006.69</v>
      </c>
      <c r="L556" s="706">
        <v>-17971.02</v>
      </c>
      <c r="M556" s="706">
        <v>34811.379999999997</v>
      </c>
      <c r="N556" s="706">
        <v>60914.29</v>
      </c>
      <c r="O556" s="706">
        <v>65990.070000000007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G33106</v>
      </c>
      <c r="AK556" s="905" t="str">
        <f t="shared" si="55"/>
        <v>RESERVE DEMO</v>
      </c>
      <c r="AL556" s="905">
        <f>IFERROR(INDEX(G556:R556,1,MATCH(Parametres!$B$3,G$1:R$1,0)-1)*IF(OR(F556="L",F556="S",F556="I"),-1,1),"")</f>
        <v>-34811.379999999997</v>
      </c>
      <c r="AM556" s="905">
        <f t="shared" si="50"/>
        <v>-26102.910000000003</v>
      </c>
      <c r="AN556" s="905">
        <f>INDEX(G556:R556,1,MATCH(Parametres!$B$3,G$1:R$1,0))*IF(OR(F556="L",F556="S",F556="I"),-1,1)</f>
        <v>-60914.29</v>
      </c>
      <c r="AO556" s="487" t="str">
        <f>+VLOOKUP($AJ556,Data_Validation!$A:$D,1,0)</f>
        <v>G33106</v>
      </c>
      <c r="AP556" s="487" t="str">
        <f>+VLOOKUP($AJ556,Data_Validation!$A:$D,3,0)</f>
        <v>Bilan</v>
      </c>
      <c r="AQ556" s="487" t="str">
        <f>+VLOOKUP($AJ556,Data_Validation!$A:$D,4,0)</f>
        <v>Autres Courus</v>
      </c>
      <c r="AR556" s="487" t="s">
        <v>299</v>
      </c>
      <c r="AS556" s="487">
        <f>+VLOOKUP($AJ556,Data_Validation!$A:$E,5,0)</f>
        <v>0</v>
      </c>
      <c r="AT556" s="904" t="str">
        <f t="shared" si="51"/>
        <v>G33106</v>
      </c>
      <c r="AU556" s="488" t="str">
        <f t="shared" si="52"/>
        <v>RESERVE DEMO</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2160</v>
      </c>
      <c r="D557" s="706" t="s">
        <v>2161</v>
      </c>
      <c r="E557" s="706" t="s">
        <v>1139</v>
      </c>
      <c r="F557" s="706" t="s">
        <v>1135</v>
      </c>
      <c r="G557" s="706">
        <v>-79159.12</v>
      </c>
      <c r="H557" s="706">
        <v>-79159.12</v>
      </c>
      <c r="I557" s="706">
        <v>-79633.53</v>
      </c>
      <c r="J557" s="706">
        <v>-77159.12</v>
      </c>
      <c r="K557" s="706">
        <v>-77660.12</v>
      </c>
      <c r="L557" s="706">
        <v>-77257</v>
      </c>
      <c r="M557" s="706">
        <v>-77257</v>
      </c>
      <c r="N557" s="706">
        <v>-77257</v>
      </c>
      <c r="O557" s="706">
        <v>-77257</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G33107</v>
      </c>
      <c r="AK557" s="905" t="str">
        <f t="shared" si="55"/>
        <v>ACCESSOIRES FLOTTES</v>
      </c>
      <c r="AL557" s="905">
        <f>IFERROR(INDEX(G557:R557,1,MATCH(Parametres!$B$3,G$1:R$1,0)-1)*IF(OR(F557="L",F557="S",F557="I"),-1,1),"")</f>
        <v>77257</v>
      </c>
      <c r="AM557" s="905">
        <f t="shared" si="50"/>
        <v>0</v>
      </c>
      <c r="AN557" s="905">
        <f>INDEX(G557:R557,1,MATCH(Parametres!$B$3,G$1:R$1,0))*IF(OR(F557="L",F557="S",F557="I"),-1,1)</f>
        <v>77257</v>
      </c>
      <c r="AO557" s="487" t="str">
        <f>+VLOOKUP($AJ557,Data_Validation!$A:$D,1,0)</f>
        <v>G33107</v>
      </c>
      <c r="AP557" s="487" t="str">
        <f>+VLOOKUP($AJ557,Data_Validation!$A:$D,3,0)</f>
        <v>Bilan</v>
      </c>
      <c r="AQ557" s="487" t="str">
        <f>+VLOOKUP($AJ557,Data_Validation!$A:$D,4,0)</f>
        <v>Autres Comptes à Payer</v>
      </c>
      <c r="AR557" s="487" t="s">
        <v>299</v>
      </c>
      <c r="AS557" s="487">
        <f>+VLOOKUP($AJ557,Data_Validation!$A:$E,5,0)</f>
        <v>0</v>
      </c>
      <c r="AT557" s="904" t="str">
        <f t="shared" si="51"/>
        <v>G33107</v>
      </c>
      <c r="AU557" s="488" t="str">
        <f t="shared" si="52"/>
        <v>ACCESSOIRES FLOTTES</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3457</v>
      </c>
      <c r="D558" s="706" t="s">
        <v>3458</v>
      </c>
      <c r="E558" s="706" t="s">
        <v>333</v>
      </c>
      <c r="F558" s="706" t="s">
        <v>1135</v>
      </c>
      <c r="G558" s="706">
        <v>0</v>
      </c>
      <c r="H558" s="706">
        <v>0</v>
      </c>
      <c r="I558" s="706">
        <v>0</v>
      </c>
      <c r="J558" s="706">
        <v>0</v>
      </c>
      <c r="K558" s="706">
        <v>0</v>
      </c>
      <c r="L558" s="706">
        <v>0</v>
      </c>
      <c r="M558" s="706">
        <v>0</v>
      </c>
      <c r="N558" s="706">
        <v>3000</v>
      </c>
      <c r="O558" s="706">
        <v>3000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G33108</v>
      </c>
      <c r="AK558" s="905" t="str">
        <f t="shared" si="55"/>
        <v>RESERVE COURT BODY</v>
      </c>
      <c r="AL558" s="905">
        <f>IFERROR(INDEX(G558:R558,1,MATCH(Parametres!$B$3,G$1:R$1,0)-1)*IF(OR(F558="L",F558="S",F558="I"),-1,1),"")</f>
        <v>0</v>
      </c>
      <c r="AM558" s="905">
        <f t="shared" si="50"/>
        <v>-3000</v>
      </c>
      <c r="AN558" s="905">
        <f>INDEX(G558:R558,1,MATCH(Parametres!$B$3,G$1:R$1,0))*IF(OR(F558="L",F558="S",F558="I"),-1,1)</f>
        <v>-3000</v>
      </c>
      <c r="AO558" s="487" t="str">
        <f>+VLOOKUP($AJ558,Data_Validation!$A:$D,1,0)</f>
        <v>G33108</v>
      </c>
      <c r="AP558" s="487" t="str">
        <f>+VLOOKUP($AJ558,Data_Validation!$A:$D,3,0)</f>
        <v>Bilan</v>
      </c>
      <c r="AQ558" s="487" t="str">
        <f>+VLOOKUP($AJ558,Data_Validation!$A:$D,4,0)</f>
        <v>Autres Courus</v>
      </c>
      <c r="AR558" s="487" t="s">
        <v>299</v>
      </c>
      <c r="AS558" s="487">
        <f>+VLOOKUP($AJ558,Data_Validation!$A:$E,5,0)</f>
        <v>0</v>
      </c>
      <c r="AT558" s="904" t="str">
        <f t="shared" si="51"/>
        <v>G33108</v>
      </c>
      <c r="AU558" s="488" t="str">
        <f t="shared" si="52"/>
        <v>RESERVE COURT BODY</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2162</v>
      </c>
      <c r="D559" s="706" t="s">
        <v>2163</v>
      </c>
      <c r="E559" s="706" t="s">
        <v>336</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G33110</v>
      </c>
      <c r="AK559" s="905" t="str">
        <f t="shared" si="55"/>
        <v>RABAIS LOCATION LMB INC</v>
      </c>
      <c r="AL559" s="905">
        <f>IFERROR(INDEX(G559:R559,1,MATCH(Parametres!$B$3,G$1:R$1,0)-1)*IF(OR(F559="L",F559="S",F559="I"),-1,1),"")</f>
        <v>0</v>
      </c>
      <c r="AM559" s="905">
        <f t="shared" si="50"/>
        <v>0</v>
      </c>
      <c r="AN559" s="905">
        <f>INDEX(G559:R559,1,MATCH(Parametres!$B$3,G$1:R$1,0))*IF(OR(F559="L",F559="S",F559="I"),-1,1)</f>
        <v>0</v>
      </c>
      <c r="AO559" s="487" t="str">
        <f>+VLOOKUP($AJ559,Data_Validation!$A:$D,1,0)</f>
        <v>G33110</v>
      </c>
      <c r="AP559" s="487">
        <f>+VLOOKUP($AJ559,Data_Validation!$A:$D,3,0)</f>
        <v>0</v>
      </c>
      <c r="AQ559" s="487">
        <f>+VLOOKUP($AJ559,Data_Validation!$A:$D,4,0)</f>
        <v>0</v>
      </c>
      <c r="AR559" s="487" t="s">
        <v>299</v>
      </c>
      <c r="AS559" s="487">
        <f>+VLOOKUP($AJ559,Data_Validation!$A:$E,5,0)</f>
        <v>0</v>
      </c>
      <c r="AT559" s="904" t="str">
        <f t="shared" si="51"/>
        <v>G33110</v>
      </c>
      <c r="AU559" s="488" t="str">
        <f t="shared" si="52"/>
        <v>RABAIS LOCATION LMB INC</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2164</v>
      </c>
      <c r="D560" s="706" t="s">
        <v>2165</v>
      </c>
      <c r="E560" s="706" t="s">
        <v>333</v>
      </c>
      <c r="F560" s="706" t="s">
        <v>1135</v>
      </c>
      <c r="G560" s="706">
        <v>-200</v>
      </c>
      <c r="H560" s="706">
        <v>-200</v>
      </c>
      <c r="I560" s="706">
        <v>-200</v>
      </c>
      <c r="J560" s="706">
        <v>-200</v>
      </c>
      <c r="K560" s="706">
        <v>750</v>
      </c>
      <c r="L560" s="706">
        <v>1550</v>
      </c>
      <c r="M560" s="706">
        <v>6196</v>
      </c>
      <c r="N560" s="706">
        <v>21136</v>
      </c>
      <c r="O560" s="706">
        <v>28886</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G33111</v>
      </c>
      <c r="AK560" s="905" t="str">
        <f t="shared" si="55"/>
        <v>PROVISION WHOLESSALE</v>
      </c>
      <c r="AL560" s="905">
        <f>IFERROR(INDEX(G560:R560,1,MATCH(Parametres!$B$3,G$1:R$1,0)-1)*IF(OR(F560="L",F560="S",F560="I"),-1,1),"")</f>
        <v>-6196</v>
      </c>
      <c r="AM560" s="905">
        <f t="shared" si="50"/>
        <v>-14940</v>
      </c>
      <c r="AN560" s="905">
        <f>INDEX(G560:R560,1,MATCH(Parametres!$B$3,G$1:R$1,0))*IF(OR(F560="L",F560="S",F560="I"),-1,1)</f>
        <v>-21136</v>
      </c>
      <c r="AO560" s="487" t="str">
        <f>+VLOOKUP($AJ560,Data_Validation!$A:$D,1,0)</f>
        <v>G33111</v>
      </c>
      <c r="AP560" s="487" t="str">
        <f>+VLOOKUP($AJ560,Data_Validation!$A:$D,3,0)</f>
        <v>Bilan</v>
      </c>
      <c r="AQ560" s="487" t="str">
        <f>+VLOOKUP($AJ560,Data_Validation!$A:$D,4,0)</f>
        <v>Autres Courus</v>
      </c>
      <c r="AR560" s="487" t="s">
        <v>299</v>
      </c>
      <c r="AS560" s="487">
        <f>+VLOOKUP($AJ560,Data_Validation!$A:$E,5,0)</f>
        <v>0</v>
      </c>
      <c r="AT560" s="904" t="str">
        <f t="shared" si="51"/>
        <v>G33111</v>
      </c>
      <c r="AU560" s="488" t="str">
        <f t="shared" si="52"/>
        <v>PROVISION WHOLESSALE</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2166</v>
      </c>
      <c r="D561" s="706" t="s">
        <v>2167</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G33112</v>
      </c>
      <c r="AK561" s="905" t="str">
        <f t="shared" si="55"/>
        <v>PROVISION DETAIL</v>
      </c>
      <c r="AL561" s="905">
        <f>IFERROR(INDEX(G561:R561,1,MATCH(Parametres!$B$3,G$1:R$1,0)-1)*IF(OR(F561="L",F561="S",F561="I"),-1,1),"")</f>
        <v>0</v>
      </c>
      <c r="AM561" s="905">
        <f t="shared" si="50"/>
        <v>0</v>
      </c>
      <c r="AN561" s="905">
        <f>INDEX(G561:R561,1,MATCH(Parametres!$B$3,G$1:R$1,0))*IF(OR(F561="L",F561="S",F561="I"),-1,1)</f>
        <v>0</v>
      </c>
      <c r="AO561" s="487" t="str">
        <f>+VLOOKUP($AJ561,Data_Validation!$A:$D,1,0)</f>
        <v>G33112</v>
      </c>
      <c r="AP561" s="487" t="str">
        <f>+VLOOKUP($AJ561,Data_Validation!$A:$D,3,0)</f>
        <v>Bilan</v>
      </c>
      <c r="AQ561" s="487" t="str">
        <f>+VLOOKUP($AJ561,Data_Validation!$A:$D,4,0)</f>
        <v>Autres Courus</v>
      </c>
      <c r="AR561" s="487" t="s">
        <v>299</v>
      </c>
      <c r="AS561" s="487">
        <f>+VLOOKUP($AJ561,Data_Validation!$A:$E,5,0)</f>
        <v>0</v>
      </c>
      <c r="AT561" s="904" t="str">
        <f t="shared" si="51"/>
        <v>G33112</v>
      </c>
      <c r="AU561" s="488" t="str">
        <f t="shared" si="52"/>
        <v>PROVISION DETAIL</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2168</v>
      </c>
      <c r="D562" s="706" t="s">
        <v>2169</v>
      </c>
      <c r="E562" s="706" t="s">
        <v>333</v>
      </c>
      <c r="F562" s="706" t="s">
        <v>1135</v>
      </c>
      <c r="G562" s="706">
        <v>6050</v>
      </c>
      <c r="H562" s="706">
        <v>7800</v>
      </c>
      <c r="I562" s="706">
        <v>11050</v>
      </c>
      <c r="J562" s="706">
        <v>18950</v>
      </c>
      <c r="K562" s="706">
        <v>48850</v>
      </c>
      <c r="L562" s="706">
        <v>70500</v>
      </c>
      <c r="M562" s="706">
        <v>79450</v>
      </c>
      <c r="N562" s="706">
        <v>91750</v>
      </c>
      <c r="O562" s="706">
        <v>92300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G33113</v>
      </c>
      <c r="AK562" s="905" t="str">
        <f t="shared" si="55"/>
        <v>PROVISION USA</v>
      </c>
      <c r="AL562" s="905">
        <f>IFERROR(INDEX(G562:R562,1,MATCH(Parametres!$B$3,G$1:R$1,0)-1)*IF(OR(F562="L",F562="S",F562="I"),-1,1),"")</f>
        <v>-79450</v>
      </c>
      <c r="AM562" s="905">
        <f t="shared" si="50"/>
        <v>-12300</v>
      </c>
      <c r="AN562" s="905">
        <f>INDEX(G562:R562,1,MATCH(Parametres!$B$3,G$1:R$1,0))*IF(OR(F562="L",F562="S",F562="I"),-1,1)</f>
        <v>-91750</v>
      </c>
      <c r="AO562" s="487" t="str">
        <f>+VLOOKUP($AJ562,Data_Validation!$A:$D,1,0)</f>
        <v>G33113</v>
      </c>
      <c r="AP562" s="487" t="str">
        <f>+VLOOKUP($AJ562,Data_Validation!$A:$D,3,0)</f>
        <v>Bilan</v>
      </c>
      <c r="AQ562" s="487" t="str">
        <f>+VLOOKUP($AJ562,Data_Validation!$A:$D,4,0)</f>
        <v>Autres Courus</v>
      </c>
      <c r="AR562" s="487" t="s">
        <v>299</v>
      </c>
      <c r="AS562" s="487">
        <f>+VLOOKUP($AJ562,Data_Validation!$A:$E,5,0)</f>
        <v>0</v>
      </c>
      <c r="AT562" s="904" t="str">
        <f t="shared" si="51"/>
        <v>G33113</v>
      </c>
      <c r="AU562" s="488" t="str">
        <f t="shared" si="52"/>
        <v>PROVISION USA</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2170</v>
      </c>
      <c r="D563" s="706" t="s">
        <v>2171</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G33114</v>
      </c>
      <c r="AK563" s="905" t="str">
        <f t="shared" si="55"/>
        <v>PROVISION HERELLE</v>
      </c>
      <c r="AL563" s="905">
        <f>IFERROR(INDEX(G563:R563,1,MATCH(Parametres!$B$3,G$1:R$1,0)-1)*IF(OR(F563="L",F563="S",F563="I"),-1,1),"")</f>
        <v>0</v>
      </c>
      <c r="AM563" s="905">
        <f t="shared" si="50"/>
        <v>0</v>
      </c>
      <c r="AN563" s="905">
        <f>INDEX(G563:R563,1,MATCH(Parametres!$B$3,G$1:R$1,0))*IF(OR(F563="L",F563="S",F563="I"),-1,1)</f>
        <v>0</v>
      </c>
      <c r="AO563" s="487" t="str">
        <f>+VLOOKUP($AJ563,Data_Validation!$A:$D,1,0)</f>
        <v>G33114</v>
      </c>
      <c r="AP563" s="487" t="str">
        <f>+VLOOKUP($AJ563,Data_Validation!$A:$D,3,0)</f>
        <v>Bilan</v>
      </c>
      <c r="AQ563" s="487" t="str">
        <f>+VLOOKUP($AJ563,Data_Validation!$A:$D,4,0)</f>
        <v>Autres Courus</v>
      </c>
      <c r="AR563" s="487" t="s">
        <v>299</v>
      </c>
      <c r="AS563" s="487">
        <f>+VLOOKUP($AJ563,Data_Validation!$A:$E,5,0)</f>
        <v>0</v>
      </c>
      <c r="AT563" s="904" t="str">
        <f t="shared" si="51"/>
        <v>G33114</v>
      </c>
      <c r="AU563" s="488" t="str">
        <f t="shared" si="52"/>
        <v>PROVISION HERELLE</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2172</v>
      </c>
      <c r="D564" s="706" t="s">
        <v>2173</v>
      </c>
      <c r="E564" s="706" t="s">
        <v>336</v>
      </c>
      <c r="F564" s="706" t="s">
        <v>1135</v>
      </c>
      <c r="G564" s="706">
        <v>-401.17</v>
      </c>
      <c r="H564" s="706">
        <v>20908.189999999999</v>
      </c>
      <c r="I564" s="706">
        <v>-0.02</v>
      </c>
      <c r="J564" s="706">
        <v>9.4</v>
      </c>
      <c r="K564" s="706">
        <v>37602.910000000003</v>
      </c>
      <c r="L564" s="706">
        <v>49318.7</v>
      </c>
      <c r="M564" s="706">
        <v>49318.7</v>
      </c>
      <c r="N564" s="706">
        <v>0</v>
      </c>
      <c r="O564" s="706">
        <v>-21824.39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G33115</v>
      </c>
      <c r="AK564" s="905" t="str">
        <f t="shared" si="55"/>
        <v>PROVISION LMB</v>
      </c>
      <c r="AL564" s="905">
        <f>IFERROR(INDEX(G564:R564,1,MATCH(Parametres!$B$3,G$1:R$1,0)-1)*IF(OR(F564="L",F564="S",F564="I"),-1,1),"")</f>
        <v>-49318.7</v>
      </c>
      <c r="AM564" s="905">
        <f t="shared" si="50"/>
        <v>49318.7</v>
      </c>
      <c r="AN564" s="905">
        <f>INDEX(G564:R564,1,MATCH(Parametres!$B$3,G$1:R$1,0))*IF(OR(F564="L",F564="S",F564="I"),-1,1)</f>
        <v>0</v>
      </c>
      <c r="AO564" s="487" t="str">
        <f>+VLOOKUP($AJ564,Data_Validation!$A:$D,1,0)</f>
        <v>G33115</v>
      </c>
      <c r="AP564" s="487" t="str">
        <f>+VLOOKUP($AJ564,Data_Validation!$A:$D,3,0)</f>
        <v>Bilan</v>
      </c>
      <c r="AQ564" s="487" t="str">
        <f>+VLOOKUP($AJ564,Data_Validation!$A:$D,4,0)</f>
        <v>Autres Courus</v>
      </c>
      <c r="AR564" s="487" t="s">
        <v>299</v>
      </c>
      <c r="AS564" s="487">
        <f>+VLOOKUP($AJ564,Data_Validation!$A:$E,5,0)</f>
        <v>0</v>
      </c>
      <c r="AT564" s="904" t="str">
        <f t="shared" si="51"/>
        <v>G33115</v>
      </c>
      <c r="AU564" s="488" t="str">
        <f t="shared" si="52"/>
        <v>PROVISION LMB</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2174</v>
      </c>
      <c r="D565" s="706" t="s">
        <v>2175</v>
      </c>
      <c r="E565" s="706" t="s">
        <v>336</v>
      </c>
      <c r="F565" s="706" t="s">
        <v>1135</v>
      </c>
      <c r="G565" s="706">
        <v>0</v>
      </c>
      <c r="H565" s="706">
        <v>0</v>
      </c>
      <c r="I565" s="706">
        <v>0</v>
      </c>
      <c r="J565" s="706">
        <v>0</v>
      </c>
      <c r="K565" s="706">
        <v>410.14</v>
      </c>
      <c r="L565" s="706">
        <v>391.57</v>
      </c>
      <c r="M565" s="706">
        <v>391.57</v>
      </c>
      <c r="N565" s="706">
        <v>0</v>
      </c>
      <c r="O565" s="706">
        <v>-20461.14</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G33116</v>
      </c>
      <c r="AK565" s="905" t="str">
        <f t="shared" si="55"/>
        <v>PROVISION USA LMB</v>
      </c>
      <c r="AL565" s="905">
        <f>IFERROR(INDEX(G565:R565,1,MATCH(Parametres!$B$3,G$1:R$1,0)-1)*IF(OR(F565="L",F565="S",F565="I"),-1,1),"")</f>
        <v>-391.57</v>
      </c>
      <c r="AM565" s="905">
        <f t="shared" si="50"/>
        <v>391.57</v>
      </c>
      <c r="AN565" s="905">
        <f>INDEX(G565:R565,1,MATCH(Parametres!$B$3,G$1:R$1,0))*IF(OR(F565="L",F565="S",F565="I"),-1,1)</f>
        <v>0</v>
      </c>
      <c r="AO565" s="487" t="str">
        <f>+VLOOKUP($AJ565,Data_Validation!$A:$D,1,0)</f>
        <v>G33116</v>
      </c>
      <c r="AP565" s="487" t="str">
        <f>+VLOOKUP($AJ565,Data_Validation!$A:$D,3,0)</f>
        <v>Bilan</v>
      </c>
      <c r="AQ565" s="487" t="str">
        <f>+VLOOKUP($AJ565,Data_Validation!$A:$D,4,0)</f>
        <v>Autres Courus</v>
      </c>
      <c r="AR565" s="487" t="s">
        <v>299</v>
      </c>
      <c r="AS565" s="487">
        <f>+VLOOKUP($AJ565,Data_Validation!$A:$E,5,0)</f>
        <v>0</v>
      </c>
      <c r="AT565" s="904" t="str">
        <f t="shared" si="51"/>
        <v>G33116</v>
      </c>
      <c r="AU565" s="488" t="str">
        <f t="shared" si="52"/>
        <v>PROVISION USA LMB</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2176</v>
      </c>
      <c r="D566" s="706" t="s">
        <v>2177</v>
      </c>
      <c r="E566" s="706" t="s">
        <v>336</v>
      </c>
      <c r="F566" s="706" t="s">
        <v>1135</v>
      </c>
      <c r="G566" s="706">
        <v>0</v>
      </c>
      <c r="H566" s="706">
        <v>0</v>
      </c>
      <c r="I566" s="706">
        <v>0</v>
      </c>
      <c r="J566" s="706">
        <v>0</v>
      </c>
      <c r="K566" s="706">
        <v>1108.44</v>
      </c>
      <c r="L566" s="706">
        <v>0</v>
      </c>
      <c r="M566" s="706">
        <v>0</v>
      </c>
      <c r="N566" s="706">
        <v>0</v>
      </c>
      <c r="O566" s="706">
        <v>4367.3100000000004</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G33117</v>
      </c>
      <c r="AK566" s="905" t="str">
        <f t="shared" si="55"/>
        <v>PROVISION USA BMW</v>
      </c>
      <c r="AL566" s="905">
        <f>IFERROR(INDEX(G566:R566,1,MATCH(Parametres!$B$3,G$1:R$1,0)-1)*IF(OR(F566="L",F566="S",F566="I"),-1,1),"")</f>
        <v>0</v>
      </c>
      <c r="AM566" s="905">
        <f t="shared" si="50"/>
        <v>0</v>
      </c>
      <c r="AN566" s="905">
        <f>INDEX(G566:R566,1,MATCH(Parametres!$B$3,G$1:R$1,0))*IF(OR(F566="L",F566="S",F566="I"),-1,1)</f>
        <v>0</v>
      </c>
      <c r="AO566" s="487" t="str">
        <f>+VLOOKUP($AJ566,Data_Validation!$A:$D,1,0)</f>
        <v>G33117</v>
      </c>
      <c r="AP566" s="487" t="str">
        <f>+VLOOKUP($AJ566,Data_Validation!$A:$D,3,0)</f>
        <v>Bilan</v>
      </c>
      <c r="AQ566" s="487" t="str">
        <f>+VLOOKUP($AJ566,Data_Validation!$A:$D,4,0)</f>
        <v>Autres Courus</v>
      </c>
      <c r="AR566" s="487" t="s">
        <v>299</v>
      </c>
      <c r="AS566" s="487">
        <f>+VLOOKUP($AJ566,Data_Validation!$A:$E,5,0)</f>
        <v>0</v>
      </c>
      <c r="AT566" s="904" t="str">
        <f t="shared" si="51"/>
        <v>G33117</v>
      </c>
      <c r="AU566" s="488" t="str">
        <f t="shared" si="52"/>
        <v>PROVISION USA BMW</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3433</v>
      </c>
      <c r="D567" s="706" t="s">
        <v>3434</v>
      </c>
      <c r="E567" s="706" t="s">
        <v>336</v>
      </c>
      <c r="F567" s="706" t="s">
        <v>1135</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G33119</v>
      </c>
      <c r="AK567" s="905" t="str">
        <f t="shared" si="55"/>
        <v>RESERVE WHOLESALE - AJOUT</v>
      </c>
      <c r="AL567" s="905">
        <f>IFERROR(INDEX(G567:R567,1,MATCH(Parametres!$B$3,G$1:R$1,0)-1)*IF(OR(F567="L",F567="S",F567="I"),-1,1),"")</f>
        <v>0</v>
      </c>
      <c r="AM567" s="905">
        <f t="shared" si="50"/>
        <v>0</v>
      </c>
      <c r="AN567" s="905">
        <f>INDEX(G567:R567,1,MATCH(Parametres!$B$3,G$1:R$1,0))*IF(OR(F567="L",F567="S",F567="I"),-1,1)</f>
        <v>0</v>
      </c>
      <c r="AO567" s="487" t="e">
        <f>+VLOOKUP($AJ567,Data_Validation!$A:$D,1,0)</f>
        <v>#N/A</v>
      </c>
      <c r="AP567" s="487" t="e">
        <f>+VLOOKUP($AJ567,Data_Validation!$A:$D,3,0)</f>
        <v>#N/A</v>
      </c>
      <c r="AQ567" s="487" t="e">
        <f>+VLOOKUP($AJ567,Data_Validation!$A:$D,4,0)</f>
        <v>#N/A</v>
      </c>
      <c r="AR567" s="487" t="s">
        <v>299</v>
      </c>
      <c r="AS567" s="487" t="e">
        <f>+VLOOKUP($AJ567,Data_Validation!$A:$E,5,0)</f>
        <v>#N/A</v>
      </c>
      <c r="AT567" s="904" t="str">
        <f t="shared" si="51"/>
        <v>G33119</v>
      </c>
      <c r="AU567" s="488" t="str">
        <f t="shared" si="52"/>
        <v>RESERVE WHOLESALE - AJOUT</v>
      </c>
      <c r="AV567" s="899">
        <f>IFERROR(INDEX(V567:AG567,1,MATCH(Parametres!$B$3,V$1:AG$1,0)-1)*IF(OR(C567="L",C567="S",C567="I"),-1,1),"")</f>
        <v>0</v>
      </c>
      <c r="AW567" s="899">
        <f t="shared" si="53"/>
        <v>0</v>
      </c>
      <c r="AX567" s="899">
        <f>INDEX(V567:AG567,1,MATCH(Parametres!$B$3,V$1:AG$1,0))*IF(OR(C567="L",C567="S",C567="I"),-1,1)</f>
        <v>0</v>
      </c>
      <c r="AY567" s="487" t="s">
        <v>337</v>
      </c>
      <c r="AZ567" s="487" t="e">
        <f>+VLOOKUP($AJ567,Data_Validation!$A:$E,5,0)</f>
        <v>#N/A</v>
      </c>
    </row>
    <row r="568" spans="1:52" ht="15" customHeight="1">
      <c r="A568" s="706" t="s">
        <v>1148</v>
      </c>
      <c r="B568" s="706">
        <v>2026</v>
      </c>
      <c r="C568" s="706" t="s">
        <v>3417</v>
      </c>
      <c r="D568" s="706" t="s">
        <v>3418</v>
      </c>
      <c r="E568" s="706" t="s">
        <v>333</v>
      </c>
      <c r="F568" s="706" t="s">
        <v>1135</v>
      </c>
      <c r="G568" s="706">
        <v>0</v>
      </c>
      <c r="H568" s="706">
        <v>0</v>
      </c>
      <c r="I568" s="706">
        <v>0</v>
      </c>
      <c r="J568" s="706">
        <v>0</v>
      </c>
      <c r="K568" s="706">
        <v>0</v>
      </c>
      <c r="L568" s="706">
        <v>0</v>
      </c>
      <c r="M568" s="706">
        <v>-23333.35</v>
      </c>
      <c r="N568" s="706">
        <v>-18666.68</v>
      </c>
      <c r="O568" s="706">
        <v>-18666.68</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G33120</v>
      </c>
      <c r="AK568" s="905" t="str">
        <f t="shared" si="55"/>
        <v>HONORAIRE VERIFICATION</v>
      </c>
      <c r="AL568" s="905">
        <f>IFERROR(INDEX(G568:R568,1,MATCH(Parametres!$B$3,G$1:R$1,0)-1)*IF(OR(F568="L",F568="S",F568="I"),-1,1),"")</f>
        <v>23333.35</v>
      </c>
      <c r="AM568" s="905">
        <f t="shared" si="50"/>
        <v>-4666.6699999999983</v>
      </c>
      <c r="AN568" s="905">
        <f>INDEX(G568:R568,1,MATCH(Parametres!$B$3,G$1:R$1,0))*IF(OR(F568="L",F568="S",F568="I"),-1,1)</f>
        <v>18666.68</v>
      </c>
      <c r="AO568" s="487" t="str">
        <f>+VLOOKUP($AJ568,Data_Validation!$A:$D,1,0)</f>
        <v>G33120</v>
      </c>
      <c r="AP568" s="487" t="str">
        <f>+VLOOKUP($AJ568,Data_Validation!$A:$D,3,0)</f>
        <v>Bilan</v>
      </c>
      <c r="AQ568" s="487" t="str">
        <f>+VLOOKUP($AJ568,Data_Validation!$A:$D,4,0)</f>
        <v>Autres Courus</v>
      </c>
      <c r="AR568" s="487" t="s">
        <v>299</v>
      </c>
      <c r="AS568" s="487">
        <f>+VLOOKUP($AJ568,Data_Validation!$A:$E,5,0)</f>
        <v>0</v>
      </c>
      <c r="AT568" s="904" t="str">
        <f t="shared" si="51"/>
        <v>G33120</v>
      </c>
      <c r="AU568" s="488" t="str">
        <f t="shared" si="52"/>
        <v>HONORAIRE VERIFICATION</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2178</v>
      </c>
      <c r="D569" s="706" t="s">
        <v>2179</v>
      </c>
      <c r="E569" s="706" t="s">
        <v>1139</v>
      </c>
      <c r="F569" s="706" t="s">
        <v>1135</v>
      </c>
      <c r="G569" s="706">
        <v>4200</v>
      </c>
      <c r="H569" s="706">
        <v>1950</v>
      </c>
      <c r="I569" s="706">
        <v>4700</v>
      </c>
      <c r="J569" s="706">
        <v>8700</v>
      </c>
      <c r="K569" s="706">
        <v>12824</v>
      </c>
      <c r="L569" s="706">
        <v>12824</v>
      </c>
      <c r="M569" s="706">
        <v>12824</v>
      </c>
      <c r="N569" s="706">
        <v>6575</v>
      </c>
      <c r="O569" s="706">
        <v>6575</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G33150</v>
      </c>
      <c r="AK569" s="905" t="str">
        <f t="shared" si="55"/>
        <v>SIMPLICITÉ RABAIS À PAYER</v>
      </c>
      <c r="AL569" s="905">
        <f>IFERROR(INDEX(G569:R569,1,MATCH(Parametres!$B$3,G$1:R$1,0)-1)*IF(OR(F569="L",F569="S",F569="I"),-1,1),"")</f>
        <v>-12824</v>
      </c>
      <c r="AM569" s="905">
        <f t="shared" si="50"/>
        <v>6249</v>
      </c>
      <c r="AN569" s="905">
        <f>INDEX(G569:R569,1,MATCH(Parametres!$B$3,G$1:R$1,0))*IF(OR(F569="L",F569="S",F569="I"),-1,1)</f>
        <v>-6575</v>
      </c>
      <c r="AO569" s="487" t="str">
        <f>+VLOOKUP($AJ569,Data_Validation!$A:$D,1,0)</f>
        <v>G33150</v>
      </c>
      <c r="AP569" s="487" t="str">
        <f>+VLOOKUP($AJ569,Data_Validation!$A:$D,3,0)</f>
        <v>Bilan</v>
      </c>
      <c r="AQ569" s="487" t="str">
        <f>+VLOOKUP($AJ569,Data_Validation!$A:$D,4,0)</f>
        <v>Autres Courus</v>
      </c>
      <c r="AR569" s="487" t="s">
        <v>299</v>
      </c>
      <c r="AS569" s="487">
        <f>+VLOOKUP($AJ569,Data_Validation!$A:$E,5,0)</f>
        <v>0</v>
      </c>
      <c r="AT569" s="904" t="str">
        <f t="shared" si="51"/>
        <v>G33150</v>
      </c>
      <c r="AU569" s="488" t="str">
        <f t="shared" si="52"/>
        <v>SIMPLICITÉ RABAIS À PAYER</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2180</v>
      </c>
      <c r="D570" s="706" t="s">
        <v>2181</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G33200</v>
      </c>
      <c r="AK570" s="905" t="str">
        <f t="shared" si="55"/>
        <v>RACHAT ACTIONS PRIVILEGIE</v>
      </c>
      <c r="AL570" s="905">
        <f>IFERROR(INDEX(G570:R570,1,MATCH(Parametres!$B$3,G$1:R$1,0)-1)*IF(OR(F570="L",F570="S",F570="I"),-1,1),"")</f>
        <v>0</v>
      </c>
      <c r="AM570" s="905">
        <f t="shared" si="50"/>
        <v>0</v>
      </c>
      <c r="AN570" s="905">
        <f>INDEX(G570:R570,1,MATCH(Parametres!$B$3,G$1:R$1,0))*IF(OR(F570="L",F570="S",F570="I"),-1,1)</f>
        <v>0</v>
      </c>
      <c r="AO570" s="487" t="e">
        <f>+VLOOKUP($AJ570,Data_Validation!$A:$D,1,0)</f>
        <v>#N/A</v>
      </c>
      <c r="AP570" s="487" t="e">
        <f>+VLOOKUP($AJ570,Data_Validation!$A:$D,3,0)</f>
        <v>#N/A</v>
      </c>
      <c r="AQ570" s="487" t="e">
        <f>+VLOOKUP($AJ570,Data_Validation!$A:$D,4,0)</f>
        <v>#N/A</v>
      </c>
      <c r="AR570" s="487" t="s">
        <v>299</v>
      </c>
      <c r="AS570" s="487" t="e">
        <f>+VLOOKUP($AJ570,Data_Validation!$A:$E,5,0)</f>
        <v>#N/A</v>
      </c>
      <c r="AT570" s="904" t="str">
        <f t="shared" si="51"/>
        <v>G33200</v>
      </c>
      <c r="AU570" s="488" t="str">
        <f t="shared" si="52"/>
        <v>RACHAT ACTIONS PRIVILEGIE</v>
      </c>
      <c r="AV570" s="899">
        <f>IFERROR(INDEX(V570:AG570,1,MATCH(Parametres!$B$3,V$1:AG$1,0)-1)*IF(OR(C570="L",C570="S",C570="I"),-1,1),"")</f>
        <v>0</v>
      </c>
      <c r="AW570" s="899">
        <f t="shared" si="53"/>
        <v>0</v>
      </c>
      <c r="AX570" s="899">
        <f>INDEX(V570:AG570,1,MATCH(Parametres!$B$3,V$1:AG$1,0))*IF(OR(C570="L",C570="S",C570="I"),-1,1)</f>
        <v>0</v>
      </c>
      <c r="AY570" s="487" t="s">
        <v>337</v>
      </c>
      <c r="AZ570" s="487" t="e">
        <f>+VLOOKUP($AJ570,Data_Validation!$A:$E,5,0)</f>
        <v>#N/A</v>
      </c>
    </row>
    <row r="571" spans="1:52" ht="15" customHeight="1">
      <c r="A571" s="706" t="s">
        <v>1148</v>
      </c>
      <c r="B571" s="706">
        <v>2026</v>
      </c>
      <c r="C571" s="706" t="s">
        <v>3444</v>
      </c>
      <c r="D571" s="706" t="s">
        <v>3445</v>
      </c>
      <c r="E571" s="706" t="s">
        <v>333</v>
      </c>
      <c r="F571" s="706" t="s">
        <v>1135</v>
      </c>
      <c r="G571" s="706">
        <v>0</v>
      </c>
      <c r="H571" s="706">
        <v>0</v>
      </c>
      <c r="I571" s="706">
        <v>0</v>
      </c>
      <c r="J571" s="706">
        <v>0</v>
      </c>
      <c r="K571" s="706">
        <v>0</v>
      </c>
      <c r="L571" s="706">
        <v>0</v>
      </c>
      <c r="M571" s="706">
        <v>0</v>
      </c>
      <c r="N571" s="706">
        <v>144000</v>
      </c>
      <c r="O571" s="706">
        <v>144000</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G33250</v>
      </c>
      <c r="AK571" s="905" t="str">
        <f t="shared" si="55"/>
        <v>RISTOURNE AXALTA</v>
      </c>
      <c r="AL571" s="905">
        <f>IFERROR(INDEX(G571:R571,1,MATCH(Parametres!$B$3,G$1:R$1,0)-1)*IF(OR(F571="L",F571="S",F571="I"),-1,1),"")</f>
        <v>0</v>
      </c>
      <c r="AM571" s="905">
        <f t="shared" si="50"/>
        <v>-144000</v>
      </c>
      <c r="AN571" s="905">
        <f>INDEX(G571:R571,1,MATCH(Parametres!$B$3,G$1:R$1,0))*IF(OR(F571="L",F571="S",F571="I"),-1,1)</f>
        <v>-144000</v>
      </c>
      <c r="AO571" s="487" t="str">
        <f>+VLOOKUP($AJ571,Data_Validation!$A:$D,1,0)</f>
        <v>G33250</v>
      </c>
      <c r="AP571" s="487" t="str">
        <f>+VLOOKUP($AJ571,Data_Validation!$A:$D,3,0)</f>
        <v>Bilan</v>
      </c>
      <c r="AQ571" s="487" t="str">
        <f>+VLOOKUP($AJ571,Data_Validation!$A:$D,4,0)</f>
        <v>Autres Courus</v>
      </c>
      <c r="AR571" s="487" t="s">
        <v>299</v>
      </c>
      <c r="AS571" s="487">
        <f>+VLOOKUP($AJ571,Data_Validation!$A:$E,5,0)</f>
        <v>0</v>
      </c>
      <c r="AT571" s="904" t="str">
        <f t="shared" si="51"/>
        <v>G33250</v>
      </c>
      <c r="AU571" s="488" t="str">
        <f t="shared" si="52"/>
        <v>RISTOURNE AXALTA</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2182</v>
      </c>
      <c r="D572" s="706" t="s">
        <v>2183</v>
      </c>
      <c r="E572" s="706" t="s">
        <v>333</v>
      </c>
      <c r="F572" s="706" t="s">
        <v>1135</v>
      </c>
      <c r="G572" s="706">
        <v>-30962</v>
      </c>
      <c r="H572" s="706">
        <v>-30962</v>
      </c>
      <c r="I572" s="706">
        <v>-30962</v>
      </c>
      <c r="J572" s="706">
        <v>-30962</v>
      </c>
      <c r="K572" s="706">
        <v>-30962</v>
      </c>
      <c r="L572" s="706">
        <v>-30962</v>
      </c>
      <c r="M572" s="706">
        <v>88167</v>
      </c>
      <c r="N572" s="706">
        <v>88167</v>
      </c>
      <c r="O572" s="706">
        <v>88167</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G33300</v>
      </c>
      <c r="AK572" s="905" t="str">
        <f t="shared" si="55"/>
        <v>ACTIF D'IMPOTS FUTURS</v>
      </c>
      <c r="AL572" s="905">
        <f>IFERROR(INDEX(G572:R572,1,MATCH(Parametres!$B$3,G$1:R$1,0)-1)*IF(OR(F572="L",F572="S",F572="I"),-1,1),"")</f>
        <v>-88167</v>
      </c>
      <c r="AM572" s="905">
        <f t="shared" si="50"/>
        <v>0</v>
      </c>
      <c r="AN572" s="905">
        <f>INDEX(G572:R572,1,MATCH(Parametres!$B$3,G$1:R$1,0))*IF(OR(F572="L",F572="S",F572="I"),-1,1)</f>
        <v>-88167</v>
      </c>
      <c r="AO572" s="487" t="str">
        <f>+VLOOKUP($AJ572,Data_Validation!$A:$D,1,0)</f>
        <v>G33300</v>
      </c>
      <c r="AP572" s="487" t="str">
        <f>+VLOOKUP($AJ572,Data_Validation!$A:$D,3,0)</f>
        <v>Bilan</v>
      </c>
      <c r="AQ572" s="487" t="str">
        <f>+VLOOKUP($AJ572,Data_Validation!$A:$D,4,0)</f>
        <v>Impôts Futurs à payer</v>
      </c>
      <c r="AR572" s="487" t="s">
        <v>299</v>
      </c>
      <c r="AS572" s="487">
        <f>+VLOOKUP($AJ572,Data_Validation!$A:$E,5,0)</f>
        <v>0</v>
      </c>
      <c r="AT572" s="904" t="str">
        <f t="shared" si="51"/>
        <v>G33300</v>
      </c>
      <c r="AU572" s="488" t="str">
        <f t="shared" si="52"/>
        <v>ACTIF D'IMPOTS FUTURS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2184</v>
      </c>
      <c r="D573" s="706" t="s">
        <v>2185</v>
      </c>
      <c r="E573" s="706" t="s">
        <v>333</v>
      </c>
      <c r="F573" s="706" t="s">
        <v>1135</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G33400</v>
      </c>
      <c r="AK573" s="905" t="str">
        <f t="shared" si="55"/>
        <v>MARGE DE CRÉDIT &amp; LOYER</v>
      </c>
      <c r="AL573" s="905">
        <f>IFERROR(INDEX(G573:R573,1,MATCH(Parametres!$B$3,G$1:R$1,0)-1)*IF(OR(F573="L",F573="S",F573="I"),-1,1),"")</f>
        <v>0</v>
      </c>
      <c r="AM573" s="905">
        <f t="shared" si="50"/>
        <v>0</v>
      </c>
      <c r="AN573" s="905">
        <f>INDEX(G573:R573,1,MATCH(Parametres!$B$3,G$1:R$1,0))*IF(OR(F573="L",F573="S",F573="I"),-1,1)</f>
        <v>0</v>
      </c>
      <c r="AO573" s="487" t="str">
        <f>+VLOOKUP($AJ573,Data_Validation!$A:$D,1,0)</f>
        <v>G33400</v>
      </c>
      <c r="AP573" s="487" t="str">
        <f>+VLOOKUP($AJ573,Data_Validation!$A:$D,3,0)</f>
        <v>Bilan</v>
      </c>
      <c r="AQ573" s="487" t="str">
        <f>+VLOOKUP($AJ573,Data_Validation!$A:$D,4,0)</f>
        <v>Marge de crédit</v>
      </c>
      <c r="AR573" s="487" t="s">
        <v>299</v>
      </c>
      <c r="AS573" s="487">
        <f>+VLOOKUP($AJ573,Data_Validation!$A:$E,5,0)</f>
        <v>0</v>
      </c>
      <c r="AT573" s="904" t="str">
        <f t="shared" si="51"/>
        <v>G33400</v>
      </c>
      <c r="AU573" s="488" t="str">
        <f t="shared" si="52"/>
        <v>MARGE DE CRÉDIT &amp; LOYER</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2186</v>
      </c>
      <c r="D574" s="706" t="s">
        <v>2187</v>
      </c>
      <c r="E574" s="706" t="s">
        <v>333</v>
      </c>
      <c r="F574" s="706" t="s">
        <v>1135</v>
      </c>
      <c r="G574" s="706">
        <v>-62787</v>
      </c>
      <c r="H574" s="706">
        <v>-62787</v>
      </c>
      <c r="I574" s="706">
        <v>-62787</v>
      </c>
      <c r="J574" s="706">
        <v>-62787</v>
      </c>
      <c r="K574" s="706">
        <v>-62787</v>
      </c>
      <c r="L574" s="706">
        <v>-62787</v>
      </c>
      <c r="M574" s="706">
        <v>-156705</v>
      </c>
      <c r="N574" s="706">
        <v>-156705</v>
      </c>
      <c r="O574" s="706">
        <v>-156705</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G33600</v>
      </c>
      <c r="AK574" s="905" t="str">
        <f t="shared" si="55"/>
        <v>RRI</v>
      </c>
      <c r="AL574" s="905">
        <f>IFERROR(INDEX(G574:R574,1,MATCH(Parametres!$B$3,G$1:R$1,0)-1)*IF(OR(F574="L",F574="S",F574="I"),-1,1),"")</f>
        <v>156705</v>
      </c>
      <c r="AM574" s="905">
        <f t="shared" si="50"/>
        <v>0</v>
      </c>
      <c r="AN574" s="905">
        <f>INDEX(G574:R574,1,MATCH(Parametres!$B$3,G$1:R$1,0))*IF(OR(F574="L",F574="S",F574="I"),-1,1)</f>
        <v>156705</v>
      </c>
      <c r="AO574" s="487" t="str">
        <f>+VLOOKUP($AJ574,Data_Validation!$A:$D,1,0)</f>
        <v>G33600</v>
      </c>
      <c r="AP574" s="487" t="str">
        <f>+VLOOKUP($AJ574,Data_Validation!$A:$D,3,0)</f>
        <v>Bilan</v>
      </c>
      <c r="AQ574" s="487" t="str">
        <f>+VLOOKUP($AJ574,Data_Validation!$A:$D,4,0)</f>
        <v>Frais Payés d'Avance</v>
      </c>
      <c r="AR574" s="487" t="s">
        <v>299</v>
      </c>
      <c r="AS574" s="487">
        <f>+VLOOKUP($AJ574,Data_Validation!$A:$E,5,0)</f>
        <v>0</v>
      </c>
      <c r="AT574" s="904" t="str">
        <f t="shared" si="51"/>
        <v>G33600</v>
      </c>
      <c r="AU574" s="488" t="str">
        <f t="shared" si="52"/>
        <v>RRI</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2188</v>
      </c>
      <c r="D575" s="706" t="s">
        <v>2189</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G34000</v>
      </c>
      <c r="AK575" s="905" t="str">
        <f t="shared" si="55"/>
        <v>PROV.CREANCES DOUTEUSES</v>
      </c>
      <c r="AL575" s="905">
        <f>IFERROR(INDEX(G575:R575,1,MATCH(Parametres!$B$3,G$1:R$1,0)-1)*IF(OR(F575="L",F575="S",F575="I"),-1,1),"")</f>
        <v>0</v>
      </c>
      <c r="AM575" s="905">
        <f t="shared" si="50"/>
        <v>0</v>
      </c>
      <c r="AN575" s="905">
        <f>INDEX(G575:R575,1,MATCH(Parametres!$B$3,G$1:R$1,0))*IF(OR(F575="L",F575="S",F575="I"),-1,1)</f>
        <v>0</v>
      </c>
      <c r="AO575" s="487" t="str">
        <f>+VLOOKUP($AJ575,Data_Validation!$A:$D,1,0)</f>
        <v>G34000</v>
      </c>
      <c r="AP575" s="487">
        <f>+VLOOKUP($AJ575,Data_Validation!$A:$D,3,0)</f>
        <v>0</v>
      </c>
      <c r="AQ575" s="487">
        <f>+VLOOKUP($AJ575,Data_Validation!$A:$D,4,0)</f>
        <v>0</v>
      </c>
      <c r="AR575" s="487" t="s">
        <v>299</v>
      </c>
      <c r="AS575" s="487">
        <f>+VLOOKUP($AJ575,Data_Validation!$A:$E,5,0)</f>
        <v>0</v>
      </c>
      <c r="AT575" s="904" t="str">
        <f t="shared" si="51"/>
        <v>G34000</v>
      </c>
      <c r="AU575" s="488" t="str">
        <f t="shared" si="52"/>
        <v>PROV.CREANCES DOUTEUSES</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2190</v>
      </c>
      <c r="D576" s="706" t="s">
        <v>2191</v>
      </c>
      <c r="E576" s="706" t="s">
        <v>333</v>
      </c>
      <c r="F576" s="706" t="s">
        <v>1135</v>
      </c>
      <c r="G576" s="706">
        <v>1394309.58</v>
      </c>
      <c r="H576" s="706">
        <v>1394309.58</v>
      </c>
      <c r="I576" s="706">
        <v>1399339.58</v>
      </c>
      <c r="J576" s="706">
        <v>1414429.58</v>
      </c>
      <c r="K576" s="706">
        <v>1419459.58</v>
      </c>
      <c r="L576" s="706">
        <v>1424489.58</v>
      </c>
      <c r="M576" s="706">
        <v>1435855.58</v>
      </c>
      <c r="N576" s="706">
        <v>1440885.58</v>
      </c>
      <c r="O576" s="706">
        <v>1440885.58</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G35200</v>
      </c>
      <c r="AK576" s="905" t="str">
        <f t="shared" si="55"/>
        <v>AMORT.ACC.MACHINERIE,EQUI</v>
      </c>
      <c r="AL576" s="905">
        <f>IFERROR(INDEX(G576:R576,1,MATCH(Parametres!$B$3,G$1:R$1,0)-1)*IF(OR(F576="L",F576="S",F576="I"),-1,1),"")</f>
        <v>-1435855.58</v>
      </c>
      <c r="AM576" s="905">
        <f t="shared" si="50"/>
        <v>-5030</v>
      </c>
      <c r="AN576" s="905">
        <f>INDEX(G576:R576,1,MATCH(Parametres!$B$3,G$1:R$1,0))*IF(OR(F576="L",F576="S",F576="I"),-1,1)</f>
        <v>-1440885.58</v>
      </c>
      <c r="AO576" s="487" t="str">
        <f>+VLOOKUP($AJ576,Data_Validation!$A:$D,1,0)</f>
        <v>G35200</v>
      </c>
      <c r="AP576" s="487" t="str">
        <f>+VLOOKUP($AJ576,Data_Validation!$A:$D,3,0)</f>
        <v>Bilan</v>
      </c>
      <c r="AQ576" s="487" t="str">
        <f>+VLOOKUP($AJ576,Data_Validation!$A:$D,4,0)</f>
        <v>Équipements Service</v>
      </c>
      <c r="AR576" s="487" t="s">
        <v>299</v>
      </c>
      <c r="AS576" s="487">
        <f>+VLOOKUP($AJ576,Data_Validation!$A:$E,5,0)</f>
        <v>0</v>
      </c>
      <c r="AT576" s="904" t="str">
        <f t="shared" si="51"/>
        <v>G35200</v>
      </c>
      <c r="AU576" s="488" t="str">
        <f t="shared" si="52"/>
        <v>AMORT.ACC.MACHINERIE,EQUI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2192</v>
      </c>
      <c r="D577" s="706" t="s">
        <v>2193</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G35210</v>
      </c>
      <c r="AK577" s="905" t="str">
        <f t="shared" si="55"/>
        <v>AMORT.ACC.MACHINERIE,CARR</v>
      </c>
      <c r="AL577" s="905">
        <f>IFERROR(INDEX(G577:R577,1,MATCH(Parametres!$B$3,G$1:R$1,0)-1)*IF(OR(F577="L",F577="S",F577="I"),-1,1),"")</f>
        <v>0</v>
      </c>
      <c r="AM577" s="905">
        <f t="shared" si="50"/>
        <v>0</v>
      </c>
      <c r="AN577" s="905">
        <f>INDEX(G577:R577,1,MATCH(Parametres!$B$3,G$1:R$1,0))*IF(OR(F577="L",F577="S",F577="I"),-1,1)</f>
        <v>0</v>
      </c>
      <c r="AO577" s="487" t="str">
        <f>+VLOOKUP($AJ577,Data_Validation!$A:$D,1,0)</f>
        <v>G35210</v>
      </c>
      <c r="AP577" s="487" t="str">
        <f>+VLOOKUP($AJ577,Data_Validation!$A:$D,3,0)</f>
        <v>Bilan</v>
      </c>
      <c r="AQ577" s="487" t="str">
        <f>+VLOOKUP($AJ577,Data_Validation!$A:$D,4,0)</f>
        <v>Équipements Service</v>
      </c>
      <c r="AR577" s="487" t="s">
        <v>299</v>
      </c>
      <c r="AS577" s="487">
        <f>+VLOOKUP($AJ577,Data_Validation!$A:$E,5,0)</f>
        <v>0</v>
      </c>
      <c r="AT577" s="904" t="str">
        <f t="shared" si="51"/>
        <v>G35210</v>
      </c>
      <c r="AU577" s="488" t="str">
        <f t="shared" si="52"/>
        <v>AMORT.ACC.MACHINERIE,CARR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2194</v>
      </c>
      <c r="D578" s="706" t="s">
        <v>2195</v>
      </c>
      <c r="E578" s="706" t="s">
        <v>333</v>
      </c>
      <c r="F578" s="706" t="s">
        <v>1135</v>
      </c>
      <c r="G578" s="706">
        <v>1161.79</v>
      </c>
      <c r="H578" s="706">
        <v>1256.79</v>
      </c>
      <c r="I578" s="706">
        <v>1351.79</v>
      </c>
      <c r="J578" s="706">
        <v>1446.79</v>
      </c>
      <c r="K578" s="706">
        <v>1541.79</v>
      </c>
      <c r="L578" s="706">
        <v>1636.79</v>
      </c>
      <c r="M578" s="706">
        <v>599.79</v>
      </c>
      <c r="N578" s="706">
        <v>694.79</v>
      </c>
      <c r="O578" s="706">
        <v>694.79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G35300</v>
      </c>
      <c r="AK578" s="905" t="str">
        <f t="shared" si="55"/>
        <v>AMORT.PNEUSACC.DEMO/COURT</v>
      </c>
      <c r="AL578" s="905">
        <f>IFERROR(INDEX(G578:R578,1,MATCH(Parametres!$B$3,G$1:R$1,0)-1)*IF(OR(F578="L",F578="S",F578="I"),-1,1),"")</f>
        <v>-599.79</v>
      </c>
      <c r="AM578" s="905">
        <f t="shared" si="50"/>
        <v>-95</v>
      </c>
      <c r="AN578" s="905">
        <f>INDEX(G578:R578,1,MATCH(Parametres!$B$3,G$1:R$1,0))*IF(OR(F578="L",F578="S",F578="I"),-1,1)</f>
        <v>-694.79</v>
      </c>
      <c r="AO578" s="487" t="str">
        <f>+VLOOKUP($AJ578,Data_Validation!$A:$D,1,0)</f>
        <v>G35300</v>
      </c>
      <c r="AP578" s="487" t="str">
        <f>+VLOOKUP($AJ578,Data_Validation!$A:$D,3,0)</f>
        <v>Bilan</v>
      </c>
      <c r="AQ578" s="487" t="str">
        <f>+VLOOKUP($AJ578,Data_Validation!$A:$D,4,0)</f>
        <v>Équipements Service</v>
      </c>
      <c r="AR578" s="487" t="s">
        <v>299</v>
      </c>
      <c r="AS578" s="487">
        <f>+VLOOKUP($AJ578,Data_Validation!$A:$E,5,0)</f>
        <v>0</v>
      </c>
      <c r="AT578" s="904" t="str">
        <f t="shared" si="51"/>
        <v>G35300</v>
      </c>
      <c r="AU578" s="488" t="str">
        <f t="shared" si="52"/>
        <v>AMORT.PNEUSACC.DEMO/COURT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2196</v>
      </c>
      <c r="D579" s="706" t="s">
        <v>2197</v>
      </c>
      <c r="E579" s="706" t="s">
        <v>333</v>
      </c>
      <c r="F579" s="706" t="s">
        <v>1135</v>
      </c>
      <c r="G579" s="706">
        <v>315824.27</v>
      </c>
      <c r="H579" s="706">
        <v>316649.27</v>
      </c>
      <c r="I579" s="706">
        <v>317474.27</v>
      </c>
      <c r="J579" s="706">
        <v>318299.27</v>
      </c>
      <c r="K579" s="706">
        <v>319124.27</v>
      </c>
      <c r="L579" s="706">
        <v>319949.27</v>
      </c>
      <c r="M579" s="706">
        <v>321922.27</v>
      </c>
      <c r="N579" s="706">
        <v>322747.27</v>
      </c>
      <c r="O579" s="706">
        <v>322747.27</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G35400</v>
      </c>
      <c r="AK579" s="905" t="str">
        <f t="shared" si="55"/>
        <v>AMORT.ACC.&amp; EQUIP.BUR</v>
      </c>
      <c r="AL579" s="905">
        <f>IFERROR(INDEX(G579:R579,1,MATCH(Parametres!$B$3,G$1:R$1,0)-1)*IF(OR(F579="L",F579="S",F579="I"),-1,1),"")</f>
        <v>-321922.27</v>
      </c>
      <c r="AM579" s="905">
        <f t="shared" si="50"/>
        <v>-825</v>
      </c>
      <c r="AN579" s="905">
        <f>INDEX(G579:R579,1,MATCH(Parametres!$B$3,G$1:R$1,0))*IF(OR(F579="L",F579="S",F579="I"),-1,1)</f>
        <v>-322747.27</v>
      </c>
      <c r="AO579" s="487" t="str">
        <f>+VLOOKUP($AJ579,Data_Validation!$A:$D,1,0)</f>
        <v>G35400</v>
      </c>
      <c r="AP579" s="487" t="str">
        <f>+VLOOKUP($AJ579,Data_Validation!$A:$D,3,0)</f>
        <v>Bilan</v>
      </c>
      <c r="AQ579" s="487" t="str">
        <f>+VLOOKUP($AJ579,Data_Validation!$A:$D,4,0)</f>
        <v>Mobilier</v>
      </c>
      <c r="AR579" s="487" t="s">
        <v>299</v>
      </c>
      <c r="AS579" s="487">
        <f>+VLOOKUP($AJ579,Data_Validation!$A:$E,5,0)</f>
        <v>0</v>
      </c>
      <c r="AT579" s="904" t="str">
        <f t="shared" si="51"/>
        <v>G35400</v>
      </c>
      <c r="AU579" s="488" t="str">
        <f t="shared" si="52"/>
        <v>AMORT.ACC.&amp; EQUIP.BUR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2198</v>
      </c>
      <c r="D580" s="706" t="s">
        <v>2199</v>
      </c>
      <c r="E580" s="706" t="s">
        <v>333</v>
      </c>
      <c r="F580" s="706" t="s">
        <v>1135</v>
      </c>
      <c r="G580" s="706">
        <v>78325.710000000006</v>
      </c>
      <c r="H580" s="706">
        <v>80075.710000000006</v>
      </c>
      <c r="I580" s="706">
        <v>81825.710000000006</v>
      </c>
      <c r="J580" s="706">
        <v>83575.710000000006</v>
      </c>
      <c r="K580" s="706">
        <v>85325.71</v>
      </c>
      <c r="L580" s="706">
        <v>87075.71</v>
      </c>
      <c r="M580" s="706">
        <v>88825.71</v>
      </c>
      <c r="N580" s="706">
        <v>90575.71</v>
      </c>
      <c r="O580" s="706">
        <v>90575.71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G35500</v>
      </c>
      <c r="AK580" s="905" t="str">
        <f t="shared" si="55"/>
        <v>AMORT.CUMULE VEHICULE SER</v>
      </c>
      <c r="AL580" s="905">
        <f>IFERROR(INDEX(G580:R580,1,MATCH(Parametres!$B$3,G$1:R$1,0)-1)*IF(OR(F580="L",F580="S",F580="I"),-1,1),"")</f>
        <v>-88825.71</v>
      </c>
      <c r="AM580" s="905">
        <f t="shared" ref="AM580:AM643" si="56">AN580-AL580</f>
        <v>-1750</v>
      </c>
      <c r="AN580" s="905">
        <f>INDEX(G580:R580,1,MATCH(Parametres!$B$3,G$1:R$1,0))*IF(OR(F580="L",F580="S",F580="I"),-1,1)</f>
        <v>-90575.71</v>
      </c>
      <c r="AO580" s="487" t="str">
        <f>+VLOOKUP($AJ580,Data_Validation!$A:$D,1,0)</f>
        <v>G35500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G35500</v>
      </c>
      <c r="AU580" s="488" t="str">
        <f t="shared" ref="AU580:AU643" si="58">D580</f>
        <v>AMORT.CUMULE VEHICULE SER</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2200</v>
      </c>
      <c r="D581" s="706" t="s">
        <v>2201</v>
      </c>
      <c r="E581" s="706" t="s">
        <v>333</v>
      </c>
      <c r="F581" s="706" t="s">
        <v>1135</v>
      </c>
      <c r="G581" s="706">
        <v>62858.9</v>
      </c>
      <c r="H581" s="706">
        <v>65058.9</v>
      </c>
      <c r="I581" s="706">
        <v>67258.899999999994</v>
      </c>
      <c r="J581" s="706">
        <v>69458.899999999994</v>
      </c>
      <c r="K581" s="706">
        <v>71658.899999999994</v>
      </c>
      <c r="L581" s="706">
        <v>73858.899999999994</v>
      </c>
      <c r="M581" s="706">
        <v>88802.9</v>
      </c>
      <c r="N581" s="706">
        <v>91002.9</v>
      </c>
      <c r="O581" s="706">
        <v>91002.9</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G35600</v>
      </c>
      <c r="AK581" s="905" t="str">
        <f t="shared" si="55"/>
        <v>AMORT.ACC.AMEL. LOCAT.</v>
      </c>
      <c r="AL581" s="905">
        <f>IFERROR(INDEX(G581:R581,1,MATCH(Parametres!$B$3,G$1:R$1,0)-1)*IF(OR(F581="L",F581="S",F581="I"),-1,1),"")</f>
        <v>-88802.9</v>
      </c>
      <c r="AM581" s="905">
        <f t="shared" si="56"/>
        <v>-2200</v>
      </c>
      <c r="AN581" s="905">
        <f>INDEX(G581:R581,1,MATCH(Parametres!$B$3,G$1:R$1,0))*IF(OR(F581="L",F581="S",F581="I"),-1,1)</f>
        <v>-91002.9</v>
      </c>
      <c r="AO581" s="487" t="str">
        <f>+VLOOKUP($AJ581,Data_Validation!$A:$D,1,0)</f>
        <v>G35600</v>
      </c>
      <c r="AP581" s="487" t="str">
        <f>+VLOOKUP($AJ581,Data_Validation!$A:$D,3,0)</f>
        <v>Bilan</v>
      </c>
      <c r="AQ581" s="487" t="str">
        <f>+VLOOKUP($AJ581,Data_Validation!$A:$D,4,0)</f>
        <v>Améliorations Locatives</v>
      </c>
      <c r="AR581" s="487" t="s">
        <v>299</v>
      </c>
      <c r="AS581" s="487">
        <f>+VLOOKUP($AJ581,Data_Validation!$A:$E,5,0)</f>
        <v>0</v>
      </c>
      <c r="AT581" s="904" t="str">
        <f t="shared" si="57"/>
        <v>G35600</v>
      </c>
      <c r="AU581" s="488" t="str">
        <f t="shared" si="58"/>
        <v>AMORT.ACC.AMEL. LOCAT.</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2202</v>
      </c>
      <c r="D582" s="706" t="s">
        <v>2203</v>
      </c>
      <c r="E582" s="706" t="s">
        <v>333</v>
      </c>
      <c r="F582" s="706" t="s">
        <v>1135</v>
      </c>
      <c r="G582" s="706">
        <v>187329.09</v>
      </c>
      <c r="H582" s="706">
        <v>188099.09</v>
      </c>
      <c r="I582" s="706">
        <v>188869.09</v>
      </c>
      <c r="J582" s="706">
        <v>189639.09</v>
      </c>
      <c r="K582" s="706">
        <v>190409.09</v>
      </c>
      <c r="L582" s="706">
        <v>191179.09</v>
      </c>
      <c r="M582" s="706">
        <v>202845.09</v>
      </c>
      <c r="N582" s="706">
        <v>203615.09</v>
      </c>
      <c r="O582" s="706">
        <v>203615.09</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G35700</v>
      </c>
      <c r="AK582" s="905" t="str">
        <f t="shared" si="55"/>
        <v>AMORT. MATERIEL INFORM.</v>
      </c>
      <c r="AL582" s="905">
        <f>IFERROR(INDEX(G582:R582,1,MATCH(Parametres!$B$3,G$1:R$1,0)-1)*IF(OR(F582="L",F582="S",F582="I"),-1,1),"")</f>
        <v>-202845.09</v>
      </c>
      <c r="AM582" s="905">
        <f t="shared" si="56"/>
        <v>-770</v>
      </c>
      <c r="AN582" s="905">
        <f>INDEX(G582:R582,1,MATCH(Parametres!$B$3,G$1:R$1,0))*IF(OR(F582="L",F582="S",F582="I"),-1,1)</f>
        <v>-203615.09</v>
      </c>
      <c r="AO582" s="487" t="str">
        <f>+VLOOKUP($AJ582,Data_Validation!$A:$D,1,0)</f>
        <v>G35700</v>
      </c>
      <c r="AP582" s="487" t="str">
        <f>+VLOOKUP($AJ582,Data_Validation!$A:$D,3,0)</f>
        <v>Bilan</v>
      </c>
      <c r="AQ582" s="487" t="str">
        <f>+VLOOKUP($AJ582,Data_Validation!$A:$D,4,0)</f>
        <v>Équipements Informatique</v>
      </c>
      <c r="AR582" s="487" t="s">
        <v>299</v>
      </c>
      <c r="AS582" s="487">
        <f>+VLOOKUP($AJ582,Data_Validation!$A:$E,5,0)</f>
        <v>0</v>
      </c>
      <c r="AT582" s="904" t="str">
        <f t="shared" si="57"/>
        <v>G35700</v>
      </c>
      <c r="AU582" s="488" t="str">
        <f t="shared" si="58"/>
        <v>AMORT. MATERIEL INFORM.</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2204</v>
      </c>
      <c r="D583" s="706" t="s">
        <v>2205</v>
      </c>
      <c r="E583" s="706" t="s">
        <v>333</v>
      </c>
      <c r="F583" s="706" t="s">
        <v>1135</v>
      </c>
      <c r="G583" s="706">
        <v>49409.61</v>
      </c>
      <c r="H583" s="706">
        <v>49549.61</v>
      </c>
      <c r="I583" s="706">
        <v>49689.61</v>
      </c>
      <c r="J583" s="706">
        <v>49829.61</v>
      </c>
      <c r="K583" s="706">
        <v>49969.61</v>
      </c>
      <c r="L583" s="706">
        <v>50109.61</v>
      </c>
      <c r="M583" s="706">
        <v>50249.61</v>
      </c>
      <c r="N583" s="706">
        <v>50389.61</v>
      </c>
      <c r="O583" s="706">
        <v>50389.61</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G35800</v>
      </c>
      <c r="AK583" s="905" t="str">
        <f t="shared" si="55"/>
        <v>AMORT.CUMULÉ ENSEIGNES</v>
      </c>
      <c r="AL583" s="905">
        <f>IFERROR(INDEX(G583:R583,1,MATCH(Parametres!$B$3,G$1:R$1,0)-1)*IF(OR(F583="L",F583="S",F583="I"),-1,1),"")</f>
        <v>-50249.61</v>
      </c>
      <c r="AM583" s="905">
        <f t="shared" si="56"/>
        <v>-140</v>
      </c>
      <c r="AN583" s="905">
        <f>INDEX(G583:R583,1,MATCH(Parametres!$B$3,G$1:R$1,0))*IF(OR(F583="L",F583="S",F583="I"),-1,1)</f>
        <v>-50389.61</v>
      </c>
      <c r="AO583" s="487" t="str">
        <f>+VLOOKUP($AJ583,Data_Validation!$A:$D,1,0)</f>
        <v>G35800</v>
      </c>
      <c r="AP583" s="487" t="str">
        <f>+VLOOKUP($AJ583,Data_Validation!$A:$D,3,0)</f>
        <v>Bilan</v>
      </c>
      <c r="AQ583" s="487" t="str">
        <f>+VLOOKUP($AJ583,Data_Validation!$A:$D,4,0)</f>
        <v>Enseigne</v>
      </c>
      <c r="AR583" s="487" t="s">
        <v>299</v>
      </c>
      <c r="AS583" s="487">
        <f>+VLOOKUP($AJ583,Data_Validation!$A:$E,5,0)</f>
        <v>0</v>
      </c>
      <c r="AT583" s="904" t="str">
        <f t="shared" si="57"/>
        <v>G35800</v>
      </c>
      <c r="AU583" s="488" t="str">
        <f t="shared" si="58"/>
        <v>AMORT.CUMULÉ ENSEIGNES</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2206</v>
      </c>
      <c r="D584" s="706" t="s">
        <v>2207</v>
      </c>
      <c r="E584" s="706" t="s">
        <v>333</v>
      </c>
      <c r="F584" s="706" t="s">
        <v>1135</v>
      </c>
      <c r="G584" s="706">
        <v>0</v>
      </c>
      <c r="H584" s="706">
        <v>0</v>
      </c>
      <c r="I584" s="706">
        <v>0</v>
      </c>
      <c r="J584" s="706">
        <v>0</v>
      </c>
      <c r="K584" s="706">
        <v>0</v>
      </c>
      <c r="L584" s="706">
        <v>0</v>
      </c>
      <c r="M584" s="706">
        <v>0</v>
      </c>
      <c r="N584" s="706">
        <v>0</v>
      </c>
      <c r="O584" s="706">
        <v>0</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G35900</v>
      </c>
      <c r="AK584" s="905" t="str">
        <f t="shared" si="55"/>
        <v>ASPHALTE AMORT.CUMULÉ</v>
      </c>
      <c r="AL584" s="905">
        <f>IFERROR(INDEX(G584:R584,1,MATCH(Parametres!$B$3,G$1:R$1,0)-1)*IF(OR(F584="L",F584="S",F584="I"),-1,1),"")</f>
        <v>0</v>
      </c>
      <c r="AM584" s="905">
        <f t="shared" si="56"/>
        <v>0</v>
      </c>
      <c r="AN584" s="905">
        <f>INDEX(G584:R584,1,MATCH(Parametres!$B$3,G$1:R$1,0))*IF(OR(F584="L",F584="S",F584="I"),-1,1)</f>
        <v>0</v>
      </c>
      <c r="AO584" s="487" t="str">
        <f>+VLOOKUP($AJ584,Data_Validation!$A:$D,1,0)</f>
        <v>G35900</v>
      </c>
      <c r="AP584" s="487">
        <f>+VLOOKUP($AJ584,Data_Validation!$A:$D,3,0)</f>
        <v>0</v>
      </c>
      <c r="AQ584" s="487">
        <f>+VLOOKUP($AJ584,Data_Validation!$A:$D,4,0)</f>
        <v>0</v>
      </c>
      <c r="AR584" s="487" t="s">
        <v>299</v>
      </c>
      <c r="AS584" s="487">
        <f>+VLOOKUP($AJ584,Data_Validation!$A:$E,5,0)</f>
        <v>0</v>
      </c>
      <c r="AT584" s="904" t="str">
        <f t="shared" si="57"/>
        <v>G35900</v>
      </c>
      <c r="AU584" s="488" t="str">
        <f t="shared" si="58"/>
        <v>ASPHALTE AMORT.CUMULÉ</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2208</v>
      </c>
      <c r="D585" s="706" t="s">
        <v>2209</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G36000</v>
      </c>
      <c r="AK585" s="905" t="str">
        <f t="shared" si="55"/>
        <v>CAPITAL-ACTIONS</v>
      </c>
      <c r="AL585" s="905">
        <f>IFERROR(INDEX(G585:R585,1,MATCH(Parametres!$B$3,G$1:R$1,0)-1)*IF(OR(F585="L",F585="S",F585="I"),-1,1),"")</f>
        <v>0</v>
      </c>
      <c r="AM585" s="905">
        <f t="shared" si="56"/>
        <v>0</v>
      </c>
      <c r="AN585" s="905">
        <f>INDEX(G585:R585,1,MATCH(Parametres!$B$3,G$1:R$1,0))*IF(OR(F585="L",F585="S",F585="I"),-1,1)</f>
        <v>0</v>
      </c>
      <c r="AO585" s="487" t="str">
        <f>+VLOOKUP($AJ585,Data_Validation!$A:$D,1,0)</f>
        <v>G36000</v>
      </c>
      <c r="AP585" s="487" t="str">
        <f>+VLOOKUP($AJ585,Data_Validation!$A:$D,3,0)</f>
        <v>Bilan</v>
      </c>
      <c r="AQ585" s="487" t="str">
        <f>+VLOOKUP($AJ585,Data_Validation!$A:$D,4,0)</f>
        <v>Capital Actions</v>
      </c>
      <c r="AR585" s="487" t="s">
        <v>299</v>
      </c>
      <c r="AS585" s="487">
        <f>+VLOOKUP($AJ585,Data_Validation!$A:$E,5,0)</f>
        <v>0</v>
      </c>
      <c r="AT585" s="904" t="str">
        <f t="shared" si="57"/>
        <v>G36000</v>
      </c>
      <c r="AU585" s="488" t="str">
        <f t="shared" si="58"/>
        <v>CAPITAL-ACTIONS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2210</v>
      </c>
      <c r="D586" s="706" t="s">
        <v>2211</v>
      </c>
      <c r="E586" s="706" t="s">
        <v>333</v>
      </c>
      <c r="F586" s="706" t="s">
        <v>1135</v>
      </c>
      <c r="G586" s="706">
        <v>15</v>
      </c>
      <c r="H586" s="706">
        <v>15</v>
      </c>
      <c r="I586" s="706">
        <v>15</v>
      </c>
      <c r="J586" s="706">
        <v>15</v>
      </c>
      <c r="K586" s="706">
        <v>15</v>
      </c>
      <c r="L586" s="706">
        <v>15</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G36001</v>
      </c>
      <c r="AK586" s="905" t="str">
        <f t="shared" si="55"/>
        <v>ACTIONS A</v>
      </c>
      <c r="AL586" s="905">
        <f>IFERROR(INDEX(G586:R586,1,MATCH(Parametres!$B$3,G$1:R$1,0)-1)*IF(OR(F586="L",F586="S",F586="I"),-1,1),"")</f>
        <v>0</v>
      </c>
      <c r="AM586" s="905">
        <f t="shared" si="56"/>
        <v>0</v>
      </c>
      <c r="AN586" s="905">
        <f>INDEX(G586:R586,1,MATCH(Parametres!$B$3,G$1:R$1,0))*IF(OR(F586="L",F586="S",F586="I"),-1,1)</f>
        <v>0</v>
      </c>
      <c r="AO586" s="487" t="str">
        <f>+VLOOKUP($AJ586,Data_Validation!$A:$D,1,0)</f>
        <v>G36001</v>
      </c>
      <c r="AP586" s="487" t="str">
        <f>+VLOOKUP($AJ586,Data_Validation!$A:$D,3,0)</f>
        <v>Bilan</v>
      </c>
      <c r="AQ586" s="487" t="str">
        <f>+VLOOKUP($AJ586,Data_Validation!$A:$D,4,0)</f>
        <v>Capital Actions</v>
      </c>
      <c r="AR586" s="487" t="s">
        <v>299</v>
      </c>
      <c r="AS586" s="487">
        <f>+VLOOKUP($AJ586,Data_Validation!$A:$E,5,0)</f>
        <v>0</v>
      </c>
      <c r="AT586" s="904" t="str">
        <f t="shared" si="57"/>
        <v>G36001</v>
      </c>
      <c r="AU586" s="488" t="str">
        <f t="shared" si="58"/>
        <v>ACTIONS A</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2212</v>
      </c>
      <c r="D587" s="706" t="s">
        <v>2213</v>
      </c>
      <c r="E587" s="706" t="s">
        <v>333</v>
      </c>
      <c r="F587" s="706" t="s">
        <v>1135</v>
      </c>
      <c r="G587" s="706">
        <v>85</v>
      </c>
      <c r="H587" s="706">
        <v>85</v>
      </c>
      <c r="I587" s="706">
        <v>85</v>
      </c>
      <c r="J587" s="706">
        <v>85</v>
      </c>
      <c r="K587" s="706">
        <v>85</v>
      </c>
      <c r="L587" s="706">
        <v>85</v>
      </c>
      <c r="M587" s="706">
        <v>85</v>
      </c>
      <c r="N587" s="706">
        <v>85</v>
      </c>
      <c r="O587" s="706">
        <v>85</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G36002</v>
      </c>
      <c r="AK587" s="905" t="str">
        <f t="shared" si="55"/>
        <v>ACTIONS B</v>
      </c>
      <c r="AL587" s="905">
        <f>IFERROR(INDEX(G587:R587,1,MATCH(Parametres!$B$3,G$1:R$1,0)-1)*IF(OR(F587="L",F587="S",F587="I"),-1,1),"")</f>
        <v>-85</v>
      </c>
      <c r="AM587" s="905">
        <f t="shared" si="56"/>
        <v>0</v>
      </c>
      <c r="AN587" s="905">
        <f>INDEX(G587:R587,1,MATCH(Parametres!$B$3,G$1:R$1,0))*IF(OR(F587="L",F587="S",F587="I"),-1,1)</f>
        <v>-85</v>
      </c>
      <c r="AO587" s="487" t="str">
        <f>+VLOOKUP($AJ587,Data_Validation!$A:$D,1,0)</f>
        <v>G36002</v>
      </c>
      <c r="AP587" s="487" t="str">
        <f>+VLOOKUP($AJ587,Data_Validation!$A:$D,3,0)</f>
        <v>Bilan</v>
      </c>
      <c r="AQ587" s="487" t="str">
        <f>+VLOOKUP($AJ587,Data_Validation!$A:$D,4,0)</f>
        <v>Capital Actions</v>
      </c>
      <c r="AR587" s="487" t="s">
        <v>299</v>
      </c>
      <c r="AS587" s="487">
        <f>+VLOOKUP($AJ587,Data_Validation!$A:$E,5,0)</f>
        <v>0</v>
      </c>
      <c r="AT587" s="904" t="str">
        <f t="shared" si="57"/>
        <v>G36002</v>
      </c>
      <c r="AU587" s="488" t="str">
        <f t="shared" si="58"/>
        <v>ACTIONS B</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2214</v>
      </c>
      <c r="D588" s="706" t="s">
        <v>2215</v>
      </c>
      <c r="E588" s="706" t="s">
        <v>333</v>
      </c>
      <c r="F588" s="706" t="s">
        <v>1135</v>
      </c>
      <c r="G588" s="706">
        <v>85</v>
      </c>
      <c r="H588" s="706">
        <v>85</v>
      </c>
      <c r="I588" s="706">
        <v>85</v>
      </c>
      <c r="J588" s="706">
        <v>85</v>
      </c>
      <c r="K588" s="706">
        <v>85</v>
      </c>
      <c r="L588" s="706">
        <v>85</v>
      </c>
      <c r="M588" s="706">
        <v>85</v>
      </c>
      <c r="N588" s="706">
        <v>85</v>
      </c>
      <c r="O588" s="706">
        <v>85</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G36003</v>
      </c>
      <c r="AK588" s="905" t="str">
        <f t="shared" si="55"/>
        <v>ACTIONS C</v>
      </c>
      <c r="AL588" s="905">
        <f>IFERROR(INDEX(G588:R588,1,MATCH(Parametres!$B$3,G$1:R$1,0)-1)*IF(OR(F588="L",F588="S",F588="I"),-1,1),"")</f>
        <v>-85</v>
      </c>
      <c r="AM588" s="905">
        <f t="shared" si="56"/>
        <v>0</v>
      </c>
      <c r="AN588" s="905">
        <f>INDEX(G588:R588,1,MATCH(Parametres!$B$3,G$1:R$1,0))*IF(OR(F588="L",F588="S",F588="I"),-1,1)</f>
        <v>-85</v>
      </c>
      <c r="AO588" s="487" t="str">
        <f>+VLOOKUP($AJ588,Data_Validation!$A:$D,1,0)</f>
        <v>G36003</v>
      </c>
      <c r="AP588" s="487" t="str">
        <f>+VLOOKUP($AJ588,Data_Validation!$A:$D,3,0)</f>
        <v>Bilan</v>
      </c>
      <c r="AQ588" s="487" t="str">
        <f>+VLOOKUP($AJ588,Data_Validation!$A:$D,4,0)</f>
        <v>Capital Actions</v>
      </c>
      <c r="AR588" s="487" t="s">
        <v>299</v>
      </c>
      <c r="AS588" s="487">
        <f>+VLOOKUP($AJ588,Data_Validation!$A:$E,5,0)</f>
        <v>0</v>
      </c>
      <c r="AT588" s="904" t="str">
        <f t="shared" si="57"/>
        <v>G36003</v>
      </c>
      <c r="AU588" s="488" t="str">
        <f t="shared" si="58"/>
        <v>ACTIONS C</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2216</v>
      </c>
      <c r="D589" s="706" t="s">
        <v>2217</v>
      </c>
      <c r="E589" s="706" t="s">
        <v>333</v>
      </c>
      <c r="F589" s="706" t="s">
        <v>1135</v>
      </c>
      <c r="G589" s="706">
        <v>51</v>
      </c>
      <c r="H589" s="706">
        <v>51</v>
      </c>
      <c r="I589" s="706">
        <v>51</v>
      </c>
      <c r="J589" s="706">
        <v>51</v>
      </c>
      <c r="K589" s="706">
        <v>51</v>
      </c>
      <c r="L589" s="706">
        <v>51</v>
      </c>
      <c r="M589" s="706">
        <v>51</v>
      </c>
      <c r="N589" s="706">
        <v>51</v>
      </c>
      <c r="O589" s="706">
        <v>51</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G36004</v>
      </c>
      <c r="AK589" s="905" t="str">
        <f t="shared" si="55"/>
        <v>ACTIONS E</v>
      </c>
      <c r="AL589" s="905">
        <f>IFERROR(INDEX(G589:R589,1,MATCH(Parametres!$B$3,G$1:R$1,0)-1)*IF(OR(F589="L",F589="S",F589="I"),-1,1),"")</f>
        <v>-51</v>
      </c>
      <c r="AM589" s="905">
        <f t="shared" si="56"/>
        <v>0</v>
      </c>
      <c r="AN589" s="905">
        <f>INDEX(G589:R589,1,MATCH(Parametres!$B$3,G$1:R$1,0))*IF(OR(F589="L",F589="S",F589="I"),-1,1)</f>
        <v>-51</v>
      </c>
      <c r="AO589" s="487" t="str">
        <f>+VLOOKUP($AJ589,Data_Validation!$A:$D,1,0)</f>
        <v>G36004</v>
      </c>
      <c r="AP589" s="487" t="str">
        <f>+VLOOKUP($AJ589,Data_Validation!$A:$D,3,0)</f>
        <v>Bilan</v>
      </c>
      <c r="AQ589" s="487" t="str">
        <f>+VLOOKUP($AJ589,Data_Validation!$A:$D,4,0)</f>
        <v>Capital Actions</v>
      </c>
      <c r="AR589" s="487" t="s">
        <v>299</v>
      </c>
      <c r="AS589" s="487">
        <f>+VLOOKUP($AJ589,Data_Validation!$A:$E,5,0)</f>
        <v>0</v>
      </c>
      <c r="AT589" s="904" t="str">
        <f t="shared" si="57"/>
        <v>G36004</v>
      </c>
      <c r="AU589" s="488" t="str">
        <f t="shared" si="58"/>
        <v>ACTIONS E</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2218</v>
      </c>
      <c r="D590" s="706" t="s">
        <v>2219</v>
      </c>
      <c r="E590" s="706" t="s">
        <v>333</v>
      </c>
      <c r="F590" s="706" t="s">
        <v>1135</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G36005</v>
      </c>
      <c r="AK590" s="905" t="str">
        <f t="shared" si="55"/>
        <v>VALEUR RACHETABLE ACT E</v>
      </c>
      <c r="AL590" s="905">
        <f>IFERROR(INDEX(G590:R590,1,MATCH(Parametres!$B$3,G$1:R$1,0)-1)*IF(OR(F590="L",F590="S",F590="I"),-1,1),"")</f>
        <v>0</v>
      </c>
      <c r="AM590" s="1047">
        <f t="shared" si="56"/>
        <v>0</v>
      </c>
      <c r="AN590" s="905">
        <f>INDEX(G590:R590,1,MATCH(Parametres!$B$3,G$1:R$1,0))*IF(OR(F590="L",F590="S",F590="I"),-1,1)</f>
        <v>0</v>
      </c>
      <c r="AO590" s="487" t="str">
        <f>+VLOOKUP($AJ590,Data_Validation!$A:$D,1,0)</f>
        <v>G36005</v>
      </c>
      <c r="AP590" s="487" t="str">
        <f>+VLOOKUP($AJ590,Data_Validation!$A:$D,3,0)</f>
        <v>Bilan</v>
      </c>
      <c r="AQ590" s="487" t="str">
        <f>+VLOOKUP($AJ590,Data_Validation!$A:$D,4,0)</f>
        <v>Capital Actions</v>
      </c>
      <c r="AR590" s="487" t="s">
        <v>299</v>
      </c>
      <c r="AS590" s="487">
        <f>+VLOOKUP($AJ590,Data_Validation!$A:$E,5,0)</f>
        <v>0</v>
      </c>
      <c r="AT590" s="904" t="str">
        <f t="shared" si="57"/>
        <v>G36005</v>
      </c>
      <c r="AU590" s="488" t="str">
        <f t="shared" si="58"/>
        <v>VALEUR RACHETABLE ACT 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3327</v>
      </c>
      <c r="D591" s="706" t="s">
        <v>3328</v>
      </c>
      <c r="E591" s="706" t="s">
        <v>333</v>
      </c>
      <c r="F591" s="706" t="s">
        <v>1135</v>
      </c>
      <c r="G591" s="706">
        <v>0</v>
      </c>
      <c r="H591" s="706">
        <v>0</v>
      </c>
      <c r="I591" s="706">
        <v>0</v>
      </c>
      <c r="J591" s="706">
        <v>0</v>
      </c>
      <c r="K591" s="706">
        <v>0</v>
      </c>
      <c r="L591" s="706">
        <v>0</v>
      </c>
      <c r="M591" s="706">
        <v>1349853</v>
      </c>
      <c r="N591" s="706">
        <v>1349853</v>
      </c>
      <c r="O591" s="706">
        <v>1349853</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G36006</v>
      </c>
      <c r="AK591" s="905" t="str">
        <f t="shared" si="55"/>
        <v>ACTIONS F</v>
      </c>
      <c r="AL591" s="905">
        <f>IFERROR(INDEX(G591:R591,1,MATCH(Parametres!$B$3,G$1:R$1,0)-1)*IF(OR(F591="L",F591="S",F591="I"),-1,1),"")</f>
        <v>-1349853</v>
      </c>
      <c r="AM591" s="905">
        <f t="shared" si="56"/>
        <v>0</v>
      </c>
      <c r="AN591" s="905">
        <f>INDEX(G591:R591,1,MATCH(Parametres!$B$3,G$1:R$1,0))*IF(OR(F591="L",F591="S",F591="I"),-1,1)</f>
        <v>-1349853</v>
      </c>
      <c r="AO591" s="487" t="str">
        <f>+VLOOKUP($AJ591,Data_Validation!$A:$D,1,0)</f>
        <v>G36006</v>
      </c>
      <c r="AP591" s="487" t="str">
        <f>+VLOOKUP($AJ591,Data_Validation!$A:$D,3,0)</f>
        <v>Bilan</v>
      </c>
      <c r="AQ591" s="487" t="str">
        <f>+VLOOKUP($AJ591,Data_Validation!$A:$D,4,0)</f>
        <v>Capital Actions</v>
      </c>
      <c r="AR591" s="487" t="s">
        <v>299</v>
      </c>
      <c r="AS591" s="487">
        <f>+VLOOKUP($AJ591,Data_Validation!$A:$E,5,0)</f>
        <v>0</v>
      </c>
      <c r="AT591" s="904" t="str">
        <f t="shared" si="57"/>
        <v>G36006</v>
      </c>
      <c r="AU591" s="488" t="str">
        <f t="shared" si="58"/>
        <v>ACTIONS F</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2220</v>
      </c>
      <c r="D592" s="706" t="s">
        <v>2221</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G36009</v>
      </c>
      <c r="AK592" s="905" t="str">
        <f t="shared" si="55"/>
        <v>AJUST CAPITAL-ACTIONS</v>
      </c>
      <c r="AL592" s="905">
        <f>IFERROR(INDEX(G592:R592,1,MATCH(Parametres!$B$3,G$1:R$1,0)-1)*IF(OR(F592="L",F592="S",F592="I"),-1,1),"")</f>
        <v>0</v>
      </c>
      <c r="AM592" s="905">
        <f t="shared" si="56"/>
        <v>0</v>
      </c>
      <c r="AN592" s="905">
        <f>INDEX(G592:R592,1,MATCH(Parametres!$B$3,G$1:R$1,0))*IF(OR(F592="L",F592="S",F592="I"),-1,1)</f>
        <v>0</v>
      </c>
      <c r="AO592" s="487" t="str">
        <f>+VLOOKUP($AJ592,Data_Validation!$A:$D,1,0)</f>
        <v>G36009</v>
      </c>
      <c r="AP592" s="487" t="str">
        <f>+VLOOKUP($AJ592,Data_Validation!$A:$D,3,0)</f>
        <v>Bilan</v>
      </c>
      <c r="AQ592" s="487" t="str">
        <f>+VLOOKUP($AJ592,Data_Validation!$A:$D,4,0)</f>
        <v>Capital Actions</v>
      </c>
      <c r="AR592" s="487" t="s">
        <v>299</v>
      </c>
      <c r="AS592" s="487">
        <f>+VLOOKUP($AJ592,Data_Validation!$A:$E,5,0)</f>
        <v>0</v>
      </c>
      <c r="AT592" s="904" t="str">
        <f t="shared" si="57"/>
        <v>G36009</v>
      </c>
      <c r="AU592" s="488" t="str">
        <f t="shared" si="58"/>
        <v>AJUST CAPITAL-ACTIONS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3329</v>
      </c>
      <c r="D593" s="706" t="s">
        <v>3330</v>
      </c>
      <c r="E593" s="706" t="s">
        <v>333</v>
      </c>
      <c r="F593" s="706" t="s">
        <v>1135</v>
      </c>
      <c r="G593" s="706">
        <v>0</v>
      </c>
      <c r="H593" s="706">
        <v>0</v>
      </c>
      <c r="I593" s="706">
        <v>0</v>
      </c>
      <c r="J593" s="706">
        <v>0</v>
      </c>
      <c r="K593" s="706">
        <v>0</v>
      </c>
      <c r="L593" s="706">
        <v>0</v>
      </c>
      <c r="M593" s="706">
        <v>-1349838</v>
      </c>
      <c r="N593" s="706">
        <v>-1349838</v>
      </c>
      <c r="O593" s="706">
        <v>-1349838</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G36100</v>
      </c>
      <c r="AK593" s="905" t="str">
        <f t="shared" si="55"/>
        <v>AJUST ACTIONS RACHETABLE</v>
      </c>
      <c r="AL593" s="905">
        <f>IFERROR(INDEX(G593:R593,1,MATCH(Parametres!$B$3,G$1:R$1,0)-1)*IF(OR(F593="L",F593="S",F593="I"),-1,1),"")</f>
        <v>1349838</v>
      </c>
      <c r="AM593" s="905">
        <f t="shared" si="56"/>
        <v>0</v>
      </c>
      <c r="AN593" s="905">
        <f>INDEX(G593:R593,1,MATCH(Parametres!$B$3,G$1:R$1,0))*IF(OR(F593="L",F593="S",F593="I"),-1,1)</f>
        <v>1349838</v>
      </c>
      <c r="AO593" s="487" t="str">
        <f>+VLOOKUP($AJ593,Data_Validation!$A:$D,1,0)</f>
        <v>G36100</v>
      </c>
      <c r="AP593" s="487" t="str">
        <f>+VLOOKUP($AJ593,Data_Validation!$A:$D,3,0)</f>
        <v>Bilan</v>
      </c>
      <c r="AQ593" s="487" t="str">
        <f>+VLOOKUP($AJ593,Data_Validation!$A:$D,4,0)</f>
        <v>Capital Actions</v>
      </c>
      <c r="AR593" s="487" t="s">
        <v>299</v>
      </c>
      <c r="AS593" s="487">
        <f>+VLOOKUP($AJ593,Data_Validation!$A:$E,5,0)</f>
        <v>0</v>
      </c>
      <c r="AT593" s="904" t="str">
        <f t="shared" si="57"/>
        <v>G36100</v>
      </c>
      <c r="AU593" s="488" t="str">
        <f t="shared" si="58"/>
        <v>AJUST ACTIONS RACHETABLE</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2222</v>
      </c>
      <c r="D594" s="706" t="s">
        <v>2223</v>
      </c>
      <c r="E594" s="706" t="s">
        <v>333</v>
      </c>
      <c r="F594" s="706" t="s">
        <v>1135</v>
      </c>
      <c r="G594" s="706">
        <v>9723956.0099999998</v>
      </c>
      <c r="H594" s="706">
        <v>9723956.0099999998</v>
      </c>
      <c r="I594" s="706">
        <v>9723956.0099999998</v>
      </c>
      <c r="J594" s="706">
        <v>9723956.0099999998</v>
      </c>
      <c r="K594" s="706">
        <v>9723956.0099999998</v>
      </c>
      <c r="L594" s="706">
        <v>9723956.0099999998</v>
      </c>
      <c r="M594" s="706">
        <v>8651948</v>
      </c>
      <c r="N594" s="706">
        <v>8651948</v>
      </c>
      <c r="O594" s="706">
        <v>8651948</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G37000</v>
      </c>
      <c r="AK594" s="905" t="str">
        <f t="shared" si="55"/>
        <v>BENEFICES NON REPARTIS</v>
      </c>
      <c r="AL594" s="905">
        <f>IFERROR(INDEX(G594:R594,1,MATCH(Parametres!$B$3,G$1:R$1,0)-1)*IF(OR(F594="L",F594="S",F594="I"),-1,1),"")</f>
        <v>-8651948</v>
      </c>
      <c r="AM594" s="905">
        <f t="shared" si="56"/>
        <v>0</v>
      </c>
      <c r="AN594" s="905">
        <f>INDEX(G594:R594,1,MATCH(Parametres!$B$3,G$1:R$1,0))*IF(OR(F594="L",F594="S",F594="I"),-1,1)</f>
        <v>-8651948</v>
      </c>
      <c r="AO594" s="487" t="str">
        <f>+VLOOKUP($AJ594,Data_Validation!$A:$D,1,0)</f>
        <v>G37000</v>
      </c>
      <c r="AP594" s="487" t="str">
        <f>+VLOOKUP($AJ594,Data_Validation!$A:$D,3,0)</f>
        <v>Bilan</v>
      </c>
      <c r="AQ594" s="487" t="str">
        <f>+VLOOKUP($AJ594,Data_Validation!$A:$D,4,0)</f>
        <v>Bénéfices non répartis</v>
      </c>
      <c r="AR594" s="487" t="s">
        <v>299</v>
      </c>
      <c r="AS594" s="487">
        <f>+VLOOKUP($AJ594,Data_Validation!$A:$E,5,0)</f>
        <v>0</v>
      </c>
      <c r="AT594" s="904" t="str">
        <f t="shared" si="57"/>
        <v>G37000</v>
      </c>
      <c r="AU594" s="488" t="str">
        <f t="shared" si="58"/>
        <v>BENEFICES NON REPARTIS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2224</v>
      </c>
      <c r="D595" s="706" t="s">
        <v>2225</v>
      </c>
      <c r="E595" s="706" t="s">
        <v>333</v>
      </c>
      <c r="F595" s="706" t="s">
        <v>1135</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G37500</v>
      </c>
      <c r="AK595" s="905" t="str">
        <f t="shared" ref="AK595:AK658" si="61">D595</f>
        <v>DIVIDENDES RECUS</v>
      </c>
      <c r="AL595" s="905">
        <f>IFERROR(INDEX(G595:R595,1,MATCH(Parametres!$B$3,G$1:R$1,0)-1)*IF(OR(F595="L",F595="S",F595="I"),-1,1),"")</f>
        <v>0</v>
      </c>
      <c r="AM595" s="905">
        <f t="shared" si="56"/>
        <v>0</v>
      </c>
      <c r="AN595" s="905">
        <f>INDEX(G595:R595,1,MATCH(Parametres!$B$3,G$1:R$1,0))*IF(OR(F595="L",F595="S",F595="I"),-1,1)</f>
        <v>0</v>
      </c>
      <c r="AO595" s="487" t="str">
        <f>+VLOOKUP($AJ595,Data_Validation!$A:$D,1,0)</f>
        <v>G37500</v>
      </c>
      <c r="AP595" s="487">
        <f>+VLOOKUP($AJ595,Data_Validation!$A:$D,3,0)</f>
        <v>0</v>
      </c>
      <c r="AQ595" s="487">
        <f>+VLOOKUP($AJ595,Data_Validation!$A:$D,4,0)</f>
        <v>0</v>
      </c>
      <c r="AR595" s="487" t="s">
        <v>299</v>
      </c>
      <c r="AS595" s="487">
        <f>+VLOOKUP($AJ595,Data_Validation!$A:$E,5,0)</f>
        <v>0</v>
      </c>
      <c r="AT595" s="904" t="str">
        <f t="shared" si="57"/>
        <v>G37500</v>
      </c>
      <c r="AU595" s="488" t="str">
        <f t="shared" si="58"/>
        <v>DIVIDENDES RECUS</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customHeight="1">
      <c r="A596" s="706" t="s">
        <v>1148</v>
      </c>
      <c r="B596" s="706">
        <v>2026</v>
      </c>
      <c r="C596" s="706" t="s">
        <v>2226</v>
      </c>
      <c r="D596" s="706" t="s">
        <v>2227</v>
      </c>
      <c r="E596" s="706" t="s">
        <v>333</v>
      </c>
      <c r="F596" s="706" t="s">
        <v>1135</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G38000</v>
      </c>
      <c r="AK596" s="905" t="str">
        <f t="shared" si="61"/>
        <v>PLACEMENTS</v>
      </c>
      <c r="AL596" s="905">
        <f>IFERROR(INDEX(G596:R596,1,MATCH(Parametres!$B$3,G$1:R$1,0)-1)*IF(OR(F596="L",F596="S",F596="I"),-1,1),"")</f>
        <v>0</v>
      </c>
      <c r="AM596" s="905">
        <f t="shared" si="56"/>
        <v>0</v>
      </c>
      <c r="AN596" s="905">
        <f>INDEX(G596:R596,1,MATCH(Parametres!$B$3,G$1:R$1,0))*IF(OR(F596="L",F596="S",F596="I"),-1,1)</f>
        <v>0</v>
      </c>
      <c r="AO596" s="487" t="e">
        <f>+VLOOKUP($AJ596,Data_Validation!$A:$D,1,0)</f>
        <v>#N/A</v>
      </c>
      <c r="AP596" s="487" t="e">
        <f>+VLOOKUP($AJ596,Data_Validation!$A:$D,3,0)</f>
        <v>#N/A</v>
      </c>
      <c r="AQ596" s="487" t="e">
        <f>+VLOOKUP($AJ596,Data_Validation!$A:$D,4,0)</f>
        <v>#N/A</v>
      </c>
      <c r="AR596" s="487" t="s">
        <v>299</v>
      </c>
      <c r="AS596" s="487" t="e">
        <f>+VLOOKUP($AJ596,Data_Validation!$A:$E,5,0)</f>
        <v>#N/A</v>
      </c>
      <c r="AT596" s="904" t="str">
        <f t="shared" si="57"/>
        <v>G38000</v>
      </c>
      <c r="AU596" s="488" t="str">
        <f t="shared" si="58"/>
        <v>PLACEMENTS</v>
      </c>
      <c r="AV596" s="899">
        <f>IFERROR(INDEX(V596:AG596,1,MATCH(Parametres!$B$3,V$1:AG$1,0)-1)*IF(OR(C596="L",C596="S",C596="I"),-1,1),"")</f>
        <v>0</v>
      </c>
      <c r="AW596" s="899">
        <f t="shared" si="59"/>
        <v>0</v>
      </c>
      <c r="AX596" s="899">
        <f>INDEX(V596:AG596,1,MATCH(Parametres!$B$3,V$1:AG$1,0))*IF(OR(C596="L",C596="S",C596="I"),-1,1)</f>
        <v>0</v>
      </c>
      <c r="AY596" s="487" t="s">
        <v>337</v>
      </c>
      <c r="AZ596" s="487" t="e">
        <f>+VLOOKUP($AJ596,Data_Validation!$A:$E,5,0)</f>
        <v>#N/A</v>
      </c>
    </row>
    <row r="597" spans="1:52" ht="15" customHeight="1">
      <c r="A597" s="706" t="s">
        <v>1148</v>
      </c>
      <c r="B597" s="706">
        <v>2026</v>
      </c>
      <c r="C597" s="706" t="s">
        <v>2228</v>
      </c>
      <c r="D597" s="706" t="s">
        <v>2229</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G40000</v>
      </c>
      <c r="AK597" s="905" t="str">
        <f t="shared" si="61"/>
        <v>VENTE VOLT</v>
      </c>
      <c r="AL597" s="905">
        <f>IFERROR(INDEX(G597:R597,1,MATCH(Parametres!$B$3,G$1:R$1,0)-1)*IF(OR(F597="L",F597="S",F597="I"),-1,1),"")</f>
        <v>0</v>
      </c>
      <c r="AM597" s="905">
        <f t="shared" si="56"/>
        <v>0</v>
      </c>
      <c r="AN597" s="905">
        <f>INDEX(G597:R597,1,MATCH(Parametres!$B$3,G$1:R$1,0))*IF(OR(F597="L",F597="S",F597="I"),-1,1)</f>
        <v>0</v>
      </c>
      <c r="AO597" s="487" t="str">
        <f>+VLOOKUP($AJ597,Data_Validation!$A:$D,1,0)</f>
        <v>G40000</v>
      </c>
      <c r="AP597" s="487" t="str">
        <f>+VLOOKUP($AJ597,Data_Validation!$A:$D,3,0)</f>
        <v>Véhicules neufs</v>
      </c>
      <c r="AQ597" s="487" t="str">
        <f>+VLOOKUP($AJ597,Data_Validation!$A:$D,4,0)</f>
        <v>Autos détail</v>
      </c>
      <c r="AR597" s="487" t="s">
        <v>299</v>
      </c>
      <c r="AS597" s="487" t="str">
        <f>+VLOOKUP($AJ597,Data_Validation!$A:$E,5,0)</f>
        <v>Oui</v>
      </c>
      <c r="AT597" s="904" t="str">
        <f t="shared" si="57"/>
        <v>G40000</v>
      </c>
      <c r="AU597" s="488" t="str">
        <f t="shared" si="58"/>
        <v>VENTE VOLT</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2230</v>
      </c>
      <c r="D598" s="706" t="s">
        <v>2231</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G40004</v>
      </c>
      <c r="AK598" s="905" t="str">
        <f t="shared" si="61"/>
        <v>VENTE BUICK REGAL</v>
      </c>
      <c r="AL598" s="905">
        <f>IFERROR(INDEX(G598:R598,1,MATCH(Parametres!$B$3,G$1:R$1,0)-1)*IF(OR(F598="L",F598="S",F598="I"),-1,1),"")</f>
        <v>0</v>
      </c>
      <c r="AM598" s="905">
        <f t="shared" si="56"/>
        <v>0</v>
      </c>
      <c r="AN598" s="905">
        <f>INDEX(G598:R598,1,MATCH(Parametres!$B$3,G$1:R$1,0))*IF(OR(F598="L",F598="S",F598="I"),-1,1)</f>
        <v>0</v>
      </c>
      <c r="AO598" s="487" t="str">
        <f>+VLOOKUP($AJ598,Data_Validation!$A:$D,1,0)</f>
        <v>G40004</v>
      </c>
      <c r="AP598" s="487" t="str">
        <f>+VLOOKUP($AJ598,Data_Validation!$A:$D,3,0)</f>
        <v>Véhicules neufs</v>
      </c>
      <c r="AQ598" s="487" t="str">
        <f>+VLOOKUP($AJ598,Data_Validation!$A:$D,4,0)</f>
        <v>Autos détail</v>
      </c>
      <c r="AR598" s="487" t="s">
        <v>299</v>
      </c>
      <c r="AS598" s="487" t="str">
        <f>+VLOOKUP($AJ598,Data_Validation!$A:$E,5,0)</f>
        <v>Oui</v>
      </c>
      <c r="AT598" s="904" t="str">
        <f t="shared" si="57"/>
        <v>G40004</v>
      </c>
      <c r="AU598" s="488" t="str">
        <f t="shared" si="58"/>
        <v>VENTE BUICK REGAL</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customHeight="1">
      <c r="A599" s="706" t="s">
        <v>1148</v>
      </c>
      <c r="B599" s="706">
        <v>2026</v>
      </c>
      <c r="C599" s="706" t="s">
        <v>2232</v>
      </c>
      <c r="D599" s="706" t="s">
        <v>2233</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G40100</v>
      </c>
      <c r="AK599" s="905" t="str">
        <f t="shared" si="61"/>
        <v>VTES-MALIBU</v>
      </c>
      <c r="AL599" s="905">
        <f>IFERROR(INDEX(G599:R599,1,MATCH(Parametres!$B$3,G$1:R$1,0)-1)*IF(OR(F599="L",F599="S",F599="I"),-1,1),"")</f>
        <v>0</v>
      </c>
      <c r="AM599" s="905">
        <f t="shared" si="56"/>
        <v>0</v>
      </c>
      <c r="AN599" s="905">
        <f>INDEX(G599:R599,1,MATCH(Parametres!$B$3,G$1:R$1,0))*IF(OR(F599="L",F599="S",F599="I"),-1,1)</f>
        <v>0</v>
      </c>
      <c r="AO599" s="487" t="str">
        <f>+VLOOKUP($AJ599,Data_Validation!$A:$D,1,0)</f>
        <v>G40100</v>
      </c>
      <c r="AP599" s="487" t="str">
        <f>+VLOOKUP($AJ599,Data_Validation!$A:$D,3,0)</f>
        <v>Véhicules neufs</v>
      </c>
      <c r="AQ599" s="487" t="str">
        <f>+VLOOKUP($AJ599,Data_Validation!$A:$D,4,0)</f>
        <v>Autos détail</v>
      </c>
      <c r="AR599" s="487" t="s">
        <v>299</v>
      </c>
      <c r="AS599" s="487" t="str">
        <f>+VLOOKUP($AJ599,Data_Validation!$A:$E,5,0)</f>
        <v>Oui</v>
      </c>
      <c r="AT599" s="904" t="str">
        <f t="shared" si="57"/>
        <v>G40100</v>
      </c>
      <c r="AU599" s="488" t="str">
        <f t="shared" si="58"/>
        <v>VTES-MALIBU</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2234</v>
      </c>
      <c r="D600" s="706" t="s">
        <v>2235</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G40101</v>
      </c>
      <c r="AK600" s="905" t="str">
        <f t="shared" si="61"/>
        <v>VENTE BUICK LACROSSE</v>
      </c>
      <c r="AL600" s="905">
        <f>IFERROR(INDEX(G600:R600,1,MATCH(Parametres!$B$3,G$1:R$1,0)-1)*IF(OR(F600="L",F600="S",F600="I"),-1,1),"")</f>
        <v>0</v>
      </c>
      <c r="AM600" s="905">
        <f t="shared" si="56"/>
        <v>0</v>
      </c>
      <c r="AN600" s="905">
        <f>INDEX(G600:R600,1,MATCH(Parametres!$B$3,G$1:R$1,0))*IF(OR(F600="L",F600="S",F600="I"),-1,1)</f>
        <v>0</v>
      </c>
      <c r="AO600" s="487" t="str">
        <f>+VLOOKUP($AJ600,Data_Validation!$A:$D,1,0)</f>
        <v>G40101</v>
      </c>
      <c r="AP600" s="487" t="str">
        <f>+VLOOKUP($AJ600,Data_Validation!$A:$D,3,0)</f>
        <v>Véhicules neufs</v>
      </c>
      <c r="AQ600" s="487" t="str">
        <f>+VLOOKUP($AJ600,Data_Validation!$A:$D,4,0)</f>
        <v>Autos détail</v>
      </c>
      <c r="AR600" s="487" t="s">
        <v>299</v>
      </c>
      <c r="AS600" s="487" t="str">
        <f>+VLOOKUP($AJ600,Data_Validation!$A:$E,5,0)</f>
        <v>Oui</v>
      </c>
      <c r="AT600" s="904" t="str">
        <f t="shared" si="57"/>
        <v>G40101</v>
      </c>
      <c r="AU600" s="488" t="str">
        <f t="shared" si="58"/>
        <v>VENTE BUICK LACROSSE</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customHeight="1">
      <c r="A601" s="706" t="s">
        <v>1148</v>
      </c>
      <c r="B601" s="706">
        <v>2026</v>
      </c>
      <c r="C601" s="706" t="s">
        <v>2236</v>
      </c>
      <c r="D601" s="706" t="s">
        <v>2237</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G40120</v>
      </c>
      <c r="AK601" s="905" t="str">
        <f t="shared" si="61"/>
        <v>VTES-MALIBU          -LOC</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G40120</v>
      </c>
      <c r="AU601" s="488" t="str">
        <f t="shared" si="58"/>
        <v>VTES-MALIBU          -LOC</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customHeight="1">
      <c r="A602" s="706" t="s">
        <v>1148</v>
      </c>
      <c r="B602" s="706">
        <v>2026</v>
      </c>
      <c r="C602" s="706" t="s">
        <v>2238</v>
      </c>
      <c r="D602" s="706" t="s">
        <v>2239</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G40200</v>
      </c>
      <c r="AK602" s="905" t="str">
        <f t="shared" si="61"/>
        <v>VTES-MALIBU MAXX</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G40200</v>
      </c>
      <c r="AU602" s="488" t="str">
        <f t="shared" si="58"/>
        <v>VTES-MALIBU MAXX</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2240</v>
      </c>
      <c r="D603" s="706" t="s">
        <v>2241</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G40201</v>
      </c>
      <c r="AK603" s="905" t="str">
        <f t="shared" si="61"/>
        <v>VENTES - SONIC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G40201</v>
      </c>
      <c r="AU603" s="488" t="str">
        <f t="shared" si="58"/>
        <v>VENTES - SONIC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2242</v>
      </c>
      <c r="D604" s="706" t="s">
        <v>2243</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G40204</v>
      </c>
      <c r="AK604" s="905" t="str">
        <f t="shared" si="61"/>
        <v>VENTES - VERANO</v>
      </c>
      <c r="AL604" s="905">
        <f>IFERROR(INDEX(G604:R604,1,MATCH(Parametres!$B$3,G$1:R$1,0)-1)*IF(OR(F604="L",F604="S",F604="I"),-1,1),"")</f>
        <v>0</v>
      </c>
      <c r="AM604" s="905">
        <f t="shared" si="56"/>
        <v>0</v>
      </c>
      <c r="AN604" s="905">
        <f>INDEX(G604:R604,1,MATCH(Parametres!$B$3,G$1:R$1,0))*IF(OR(F604="L",F604="S",F604="I"),-1,1)</f>
        <v>0</v>
      </c>
      <c r="AO604" s="487" t="str">
        <f>+VLOOKUP($AJ604,Data_Validation!$A:$D,1,0)</f>
        <v>G40204</v>
      </c>
      <c r="AP604" s="487" t="str">
        <f>+VLOOKUP($AJ604,Data_Validation!$A:$D,3,0)</f>
        <v>Véhicules neufs</v>
      </c>
      <c r="AQ604" s="487" t="str">
        <f>+VLOOKUP($AJ604,Data_Validation!$A:$D,4,0)</f>
        <v>Autos détail</v>
      </c>
      <c r="AR604" s="487" t="s">
        <v>299</v>
      </c>
      <c r="AS604" s="487" t="str">
        <f>+VLOOKUP($AJ604,Data_Validation!$A:$E,5,0)</f>
        <v>Oui</v>
      </c>
      <c r="AT604" s="904" t="str">
        <f t="shared" si="57"/>
        <v>G40204</v>
      </c>
      <c r="AU604" s="488" t="str">
        <f t="shared" si="58"/>
        <v>VENTES - VERANO</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2244</v>
      </c>
      <c r="D605" s="706" t="s">
        <v>2245</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G40300</v>
      </c>
      <c r="AK605" s="905" t="str">
        <f t="shared" si="61"/>
        <v>VTES-IMPALA</v>
      </c>
      <c r="AL605" s="905">
        <f>IFERROR(INDEX(G605:R605,1,MATCH(Parametres!$B$3,G$1:R$1,0)-1)*IF(OR(F605="L",F605="S",F605="I"),-1,1),"")</f>
        <v>0</v>
      </c>
      <c r="AM605" s="905">
        <f t="shared" si="56"/>
        <v>0</v>
      </c>
      <c r="AN605" s="905">
        <f>INDEX(G605:R605,1,MATCH(Parametres!$B$3,G$1:R$1,0))*IF(OR(F605="L",F605="S",F605="I"),-1,1)</f>
        <v>0</v>
      </c>
      <c r="AO605" s="487" t="str">
        <f>+VLOOKUP($AJ605,Data_Validation!$A:$D,1,0)</f>
        <v>G40300</v>
      </c>
      <c r="AP605" s="487" t="str">
        <f>+VLOOKUP($AJ605,Data_Validation!$A:$D,3,0)</f>
        <v>Véhicules neufs</v>
      </c>
      <c r="AQ605" s="487" t="str">
        <f>+VLOOKUP($AJ605,Data_Validation!$A:$D,4,0)</f>
        <v>Autos détail</v>
      </c>
      <c r="AR605" s="487" t="s">
        <v>299</v>
      </c>
      <c r="AS605" s="487" t="str">
        <f>+VLOOKUP($AJ605,Data_Validation!$A:$E,5,0)</f>
        <v>Oui</v>
      </c>
      <c r="AT605" s="904" t="str">
        <f t="shared" si="57"/>
        <v>G40300</v>
      </c>
      <c r="AU605" s="488" t="str">
        <f t="shared" si="58"/>
        <v>VTES-IMPALA</v>
      </c>
      <c r="AV605" s="899">
        <f>IFERROR(INDEX(V605:AG605,1,MATCH(Parametres!$B$3,V$1:AG$1,0)-1)*IF(OR(C605="L",C605="S",C605="I"),-1,1),"")</f>
        <v>0</v>
      </c>
      <c r="AW605" s="899">
        <f t="shared" si="59"/>
        <v>0</v>
      </c>
      <c r="AX605" s="899">
        <f>INDEX(V605:AG605,1,MATCH(Parametres!$B$3,V$1:AG$1,0))*IF(OR(C605="L",C605="S",C605="I"),-1,1)</f>
        <v>0</v>
      </c>
      <c r="AY605" s="487" t="s">
        <v>337</v>
      </c>
      <c r="AZ605" s="487" t="str">
        <f>+VLOOKUP($AJ605,Data_Validation!$A:$E,5,0)</f>
        <v>Oui</v>
      </c>
    </row>
    <row r="606" spans="1:52" ht="15" customHeight="1">
      <c r="A606" s="706" t="s">
        <v>1148</v>
      </c>
      <c r="B606" s="706">
        <v>2026</v>
      </c>
      <c r="C606" s="706" t="s">
        <v>2246</v>
      </c>
      <c r="D606" s="706" t="s">
        <v>2247</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G40320</v>
      </c>
      <c r="AK606" s="905" t="str">
        <f t="shared" si="61"/>
        <v>VTES-IMPALA          -LOC</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G40320</v>
      </c>
      <c r="AU606" s="488" t="str">
        <f t="shared" si="58"/>
        <v>VTES-IMPALA          -LOC</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2248</v>
      </c>
      <c r="D607" s="706" t="s">
        <v>2249</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G40400</v>
      </c>
      <c r="AK607" s="905" t="str">
        <f t="shared" si="61"/>
        <v>VENTES / SPARK</v>
      </c>
      <c r="AL607" s="905">
        <f>IFERROR(INDEX(G607:R607,1,MATCH(Parametres!$B$3,G$1:R$1,0)-1)*IF(OR(F607="L",F607="S",F607="I"),-1,1),"")</f>
        <v>0</v>
      </c>
      <c r="AM607" s="905">
        <f t="shared" si="56"/>
        <v>0</v>
      </c>
      <c r="AN607" s="905">
        <f>INDEX(G607:R607,1,MATCH(Parametres!$B$3,G$1:R$1,0))*IF(OR(F607="L",F607="S",F607="I"),-1,1)</f>
        <v>0</v>
      </c>
      <c r="AO607" s="487" t="str">
        <f>+VLOOKUP($AJ607,Data_Validation!$A:$D,1,0)</f>
        <v>G40400</v>
      </c>
      <c r="AP607" s="487" t="str">
        <f>+VLOOKUP($AJ607,Data_Validation!$A:$D,3,0)</f>
        <v>Véhicules neufs</v>
      </c>
      <c r="AQ607" s="487" t="str">
        <f>+VLOOKUP($AJ607,Data_Validation!$A:$D,4,0)</f>
        <v>Autos détail</v>
      </c>
      <c r="AR607" s="487" t="s">
        <v>299</v>
      </c>
      <c r="AS607" s="487" t="str">
        <f>+VLOOKUP($AJ607,Data_Validation!$A:$E,5,0)</f>
        <v>Oui</v>
      </c>
      <c r="AT607" s="904" t="str">
        <f t="shared" si="57"/>
        <v>G40400</v>
      </c>
      <c r="AU607" s="488" t="str">
        <f t="shared" si="58"/>
        <v>VENTES / SPARK</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customHeight="1">
      <c r="A608" s="706" t="s">
        <v>1148</v>
      </c>
      <c r="B608" s="706">
        <v>2026</v>
      </c>
      <c r="C608" s="706" t="s">
        <v>2250</v>
      </c>
      <c r="D608" s="706" t="s">
        <v>2251</v>
      </c>
      <c r="E608" s="706" t="s">
        <v>1149</v>
      </c>
      <c r="F608" s="706" t="s">
        <v>1149</v>
      </c>
      <c r="G608" s="706">
        <v>0</v>
      </c>
      <c r="H608" s="706">
        <v>0</v>
      </c>
      <c r="I608" s="706">
        <v>0</v>
      </c>
      <c r="J608" s="706">
        <v>102018.5</v>
      </c>
      <c r="K608" s="706">
        <v>203641.5</v>
      </c>
      <c r="L608" s="706">
        <v>349904.5</v>
      </c>
      <c r="M608" s="706">
        <v>449377.5</v>
      </c>
      <c r="N608" s="706">
        <v>449377.5</v>
      </c>
      <c r="O608" s="706">
        <v>449377.5</v>
      </c>
      <c r="P608" s="706">
        <v>0</v>
      </c>
      <c r="Q608" s="706">
        <v>0</v>
      </c>
      <c r="R608" s="706">
        <v>0</v>
      </c>
      <c r="S608" s="706">
        <v>56172.19</v>
      </c>
      <c r="T608" s="706">
        <v>56172.19</v>
      </c>
      <c r="U608" s="706">
        <v>0</v>
      </c>
      <c r="V608" s="706">
        <v>0</v>
      </c>
      <c r="W608" s="706">
        <v>0</v>
      </c>
      <c r="X608" s="706">
        <v>0</v>
      </c>
      <c r="Y608" s="706">
        <v>1</v>
      </c>
      <c r="Z608" s="706">
        <v>2</v>
      </c>
      <c r="AA608" s="706">
        <v>3</v>
      </c>
      <c r="AB608" s="706">
        <v>4</v>
      </c>
      <c r="AC608" s="706">
        <v>4</v>
      </c>
      <c r="AD608" s="706">
        <v>4</v>
      </c>
      <c r="AE608" s="706">
        <v>0</v>
      </c>
      <c r="AF608" s="706">
        <v>0</v>
      </c>
      <c r="AG608" s="706">
        <v>0</v>
      </c>
      <c r="AH608" s="706">
        <v>1</v>
      </c>
      <c r="AI608" s="706">
        <v>1</v>
      </c>
      <c r="AJ608" s="905" t="str">
        <f t="shared" si="60"/>
        <v>G40500</v>
      </c>
      <c r="AK608" s="905" t="str">
        <f t="shared" si="61"/>
        <v>VTES-CORVETTE</v>
      </c>
      <c r="AL608" s="905">
        <f>IFERROR(INDEX(G608:R608,1,MATCH(Parametres!$B$3,G$1:R$1,0)-1)*IF(OR(F608="L",F608="S",F608="I"),-1,1),"")</f>
        <v>-449377.5</v>
      </c>
      <c r="AM608" s="905">
        <f t="shared" si="56"/>
        <v>0</v>
      </c>
      <c r="AN608" s="905">
        <f>INDEX(G608:R608,1,MATCH(Parametres!$B$3,G$1:R$1,0))*IF(OR(F608="L",F608="S",F608="I"),-1,1)</f>
        <v>-449377.5</v>
      </c>
      <c r="AO608" s="487" t="str">
        <f>+VLOOKUP($AJ608,Data_Validation!$A:$D,1,0)</f>
        <v>G40500</v>
      </c>
      <c r="AP608" s="487" t="str">
        <f>+VLOOKUP($AJ608,Data_Validation!$A:$D,3,0)</f>
        <v>Véhicules neufs</v>
      </c>
      <c r="AQ608" s="487" t="str">
        <f>+VLOOKUP($AJ608,Data_Validation!$A:$D,4,0)</f>
        <v>Autos détail</v>
      </c>
      <c r="AR608" s="487" t="s">
        <v>299</v>
      </c>
      <c r="AS608" s="487" t="str">
        <f>+VLOOKUP($AJ608,Data_Validation!$A:$E,5,0)</f>
        <v>Oui</v>
      </c>
      <c r="AT608" s="904" t="str">
        <f t="shared" si="57"/>
        <v>G40500</v>
      </c>
      <c r="AU608" s="488" t="str">
        <f t="shared" si="58"/>
        <v>VTES-CORVETTE</v>
      </c>
      <c r="AV608" s="899">
        <f>IFERROR(INDEX(V608:AG608,1,MATCH(Parametres!$B$3,V$1:AG$1,0)-1)*IF(OR(C608="L",C608="S",C608="I"),-1,1),"")</f>
        <v>4</v>
      </c>
      <c r="AW608" s="899">
        <f t="shared" si="59"/>
        <v>0</v>
      </c>
      <c r="AX608" s="899">
        <f>INDEX(V608:AG608,1,MATCH(Parametres!$B$3,V$1:AG$1,0))*IF(OR(C608="L",C608="S",C608="I"),-1,1)</f>
        <v>4</v>
      </c>
      <c r="AY608" s="487" t="s">
        <v>337</v>
      </c>
      <c r="AZ608" s="487" t="str">
        <f>+VLOOKUP($AJ608,Data_Validation!$A:$E,5,0)</f>
        <v>Oui</v>
      </c>
    </row>
    <row r="609" spans="1:52" ht="15" customHeight="1">
      <c r="A609" s="706" t="s">
        <v>1148</v>
      </c>
      <c r="B609" s="706">
        <v>2026</v>
      </c>
      <c r="C609" s="706" t="s">
        <v>2252</v>
      </c>
      <c r="D609" s="706" t="s">
        <v>2253</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G40600</v>
      </c>
      <c r="AK609" s="905" t="str">
        <f t="shared" si="61"/>
        <v>VTES-AVEO</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G40600</v>
      </c>
      <c r="AU609" s="488" t="str">
        <f t="shared" si="58"/>
        <v>VTES-AVEO</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2254</v>
      </c>
      <c r="D610" s="706" t="s">
        <v>2255</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G40620</v>
      </c>
      <c r="AK610" s="905" t="str">
        <f t="shared" si="61"/>
        <v>VTES-AVEO            -LOC</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G40620</v>
      </c>
      <c r="AU610" s="488" t="str">
        <f t="shared" si="58"/>
        <v>VTES-AVEO            -LOC</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2256</v>
      </c>
      <c r="D611" s="706" t="s">
        <v>2257</v>
      </c>
      <c r="E611" s="706" t="s">
        <v>1149</v>
      </c>
      <c r="F611" s="706" t="s">
        <v>1149</v>
      </c>
      <c r="G611" s="706">
        <v>0</v>
      </c>
      <c r="H611" s="706">
        <v>0</v>
      </c>
      <c r="I611" s="706">
        <v>0</v>
      </c>
      <c r="J611" s="706">
        <v>0</v>
      </c>
      <c r="K611" s="706">
        <v>46018</v>
      </c>
      <c r="L611" s="706">
        <v>46018</v>
      </c>
      <c r="M611" s="706">
        <v>46018</v>
      </c>
      <c r="N611" s="706">
        <v>174813.7</v>
      </c>
      <c r="O611" s="706">
        <v>174813.7</v>
      </c>
      <c r="P611" s="706">
        <v>0</v>
      </c>
      <c r="Q611" s="706">
        <v>0</v>
      </c>
      <c r="R611" s="706">
        <v>0</v>
      </c>
      <c r="S611" s="706">
        <v>21851.71</v>
      </c>
      <c r="T611" s="706">
        <v>21851.71</v>
      </c>
      <c r="U611" s="706">
        <v>0</v>
      </c>
      <c r="V611" s="706">
        <v>0</v>
      </c>
      <c r="W611" s="706">
        <v>0</v>
      </c>
      <c r="X611" s="706">
        <v>0</v>
      </c>
      <c r="Y611" s="706">
        <v>0</v>
      </c>
      <c r="Z611" s="706">
        <v>1</v>
      </c>
      <c r="AA611" s="706">
        <v>1</v>
      </c>
      <c r="AB611" s="706">
        <v>1</v>
      </c>
      <c r="AC611" s="706">
        <v>4</v>
      </c>
      <c r="AD611" s="706">
        <v>4</v>
      </c>
      <c r="AE611" s="706">
        <v>0</v>
      </c>
      <c r="AF611" s="706">
        <v>0</v>
      </c>
      <c r="AG611" s="706">
        <v>0</v>
      </c>
      <c r="AH611" s="706">
        <v>1</v>
      </c>
      <c r="AI611" s="706">
        <v>1</v>
      </c>
      <c r="AJ611" s="905" t="str">
        <f t="shared" si="60"/>
        <v>G40700</v>
      </c>
      <c r="AK611" s="905" t="str">
        <f t="shared" si="61"/>
        <v>VENTES BOLT - EV</v>
      </c>
      <c r="AL611" s="905">
        <f>IFERROR(INDEX(G611:R611,1,MATCH(Parametres!$B$3,G$1:R$1,0)-1)*IF(OR(F611="L",F611="S",F611="I"),-1,1),"")</f>
        <v>-46018</v>
      </c>
      <c r="AM611" s="905">
        <f t="shared" si="56"/>
        <v>-128795.70000000001</v>
      </c>
      <c r="AN611" s="905">
        <f>INDEX(G611:R611,1,MATCH(Parametres!$B$3,G$1:R$1,0))*IF(OR(F611="L",F611="S",F611="I"),-1,1)</f>
        <v>-174813.7</v>
      </c>
      <c r="AO611" s="487" t="str">
        <f>+VLOOKUP($AJ611,Data_Validation!$A:$D,1,0)</f>
        <v>G40700</v>
      </c>
      <c r="AP611" s="487" t="str">
        <f>+VLOOKUP($AJ611,Data_Validation!$A:$D,3,0)</f>
        <v>Véhicules neufs</v>
      </c>
      <c r="AQ611" s="487" t="str">
        <f>+VLOOKUP($AJ611,Data_Validation!$A:$D,4,0)</f>
        <v>Camions electriques</v>
      </c>
      <c r="AR611" s="487" t="s">
        <v>299</v>
      </c>
      <c r="AS611" s="487" t="str">
        <f>+VLOOKUP($AJ611,Data_Validation!$A:$E,5,0)</f>
        <v>Oui</v>
      </c>
      <c r="AT611" s="904" t="str">
        <f t="shared" si="57"/>
        <v>G40700</v>
      </c>
      <c r="AU611" s="488" t="str">
        <f t="shared" si="58"/>
        <v>VENTES BOLT - EV</v>
      </c>
      <c r="AV611" s="899">
        <f>IFERROR(INDEX(V611:AG611,1,MATCH(Parametres!$B$3,V$1:AG$1,0)-1)*IF(OR(C611="L",C611="S",C611="I"),-1,1),"")</f>
        <v>1</v>
      </c>
      <c r="AW611" s="899">
        <f t="shared" si="59"/>
        <v>3</v>
      </c>
      <c r="AX611" s="899">
        <f>INDEX(V611:AG611,1,MATCH(Parametres!$B$3,V$1:AG$1,0))*IF(OR(C611="L",C611="S",C611="I"),-1,1)</f>
        <v>4</v>
      </c>
      <c r="AY611" s="487" t="s">
        <v>337</v>
      </c>
      <c r="AZ611" s="487" t="str">
        <f>+VLOOKUP($AJ611,Data_Validation!$A:$E,5,0)</f>
        <v>Oui</v>
      </c>
    </row>
    <row r="612" spans="1:52" ht="15" customHeight="1">
      <c r="A612" s="706" t="s">
        <v>1148</v>
      </c>
      <c r="B612" s="706">
        <v>2026</v>
      </c>
      <c r="C612" s="706" t="s">
        <v>2258</v>
      </c>
      <c r="D612" s="706" t="s">
        <v>2259</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G40720</v>
      </c>
      <c r="AK612" s="905" t="str">
        <f t="shared" si="61"/>
        <v>VTES-OPTRA           -LOC</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G40720</v>
      </c>
      <c r="AU612" s="488" t="str">
        <f t="shared" si="58"/>
        <v>VTES-OPTRA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2260</v>
      </c>
      <c r="D613" s="706" t="s">
        <v>2261</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G40800</v>
      </c>
      <c r="AK613" s="905" t="str">
        <f t="shared" si="61"/>
        <v>VTES-EPICA</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G40800</v>
      </c>
      <c r="AU613" s="488" t="str">
        <f t="shared" si="58"/>
        <v>VTES-EPICA</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2262</v>
      </c>
      <c r="D614" s="706" t="s">
        <v>2263</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G40820</v>
      </c>
      <c r="AK614" s="905" t="str">
        <f t="shared" si="61"/>
        <v>VTES-EPICA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G40820</v>
      </c>
      <c r="AU614" s="488" t="str">
        <f t="shared" si="58"/>
        <v>VTES-EPICA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customHeight="1">
      <c r="A615" s="706" t="s">
        <v>1148</v>
      </c>
      <c r="B615" s="706">
        <v>2026</v>
      </c>
      <c r="C615" s="706" t="s">
        <v>2264</v>
      </c>
      <c r="D615" s="706" t="s">
        <v>2265</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G40900</v>
      </c>
      <c r="AK615" s="905" t="str">
        <f t="shared" si="61"/>
        <v>VTES-COBALT</v>
      </c>
      <c r="AL615" s="905">
        <f>IFERROR(INDEX(G615:R615,1,MATCH(Parametres!$B$3,G$1:R$1,0)-1)*IF(OR(F615="L",F615="S",F615="I"),-1,1),"")</f>
        <v>0</v>
      </c>
      <c r="AM615" s="905">
        <f t="shared" si="56"/>
        <v>0</v>
      </c>
      <c r="AN615" s="905">
        <f>INDEX(G615:R615,1,MATCH(Parametres!$B$3,G$1:R$1,0))*IF(OR(F615="L",F615="S",F615="I"),-1,1)</f>
        <v>0</v>
      </c>
      <c r="AO615" s="487" t="str">
        <f>+VLOOKUP($AJ615,Data_Validation!$A:$D,1,0)</f>
        <v>G40900</v>
      </c>
      <c r="AP615" s="487" t="str">
        <f>+VLOOKUP($AJ615,Data_Validation!$A:$D,3,0)</f>
        <v>Véhicules neufs</v>
      </c>
      <c r="AQ615" s="487" t="str">
        <f>+VLOOKUP($AJ615,Data_Validation!$A:$D,4,0)</f>
        <v>Autos détail</v>
      </c>
      <c r="AR615" s="487" t="s">
        <v>299</v>
      </c>
      <c r="AS615" s="487" t="str">
        <f>+VLOOKUP($AJ615,Data_Validation!$A:$E,5,0)</f>
        <v>Oui</v>
      </c>
      <c r="AT615" s="904" t="str">
        <f t="shared" si="57"/>
        <v>G40900</v>
      </c>
      <c r="AU615" s="488" t="str">
        <f t="shared" si="58"/>
        <v>VTES-COBALT</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customHeight="1">
      <c r="A616" s="706" t="s">
        <v>1148</v>
      </c>
      <c r="B616" s="706">
        <v>2026</v>
      </c>
      <c r="C616" s="706" t="s">
        <v>2266</v>
      </c>
      <c r="D616" s="706" t="s">
        <v>2267</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G40920</v>
      </c>
      <c r="AK616" s="905" t="str">
        <f t="shared" si="61"/>
        <v>VTES-COBALT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G40920</v>
      </c>
      <c r="AU616" s="488" t="str">
        <f t="shared" si="58"/>
        <v>VTES-COBALT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customHeight="1">
      <c r="A617" s="706" t="s">
        <v>1148</v>
      </c>
      <c r="B617" s="706">
        <v>2026</v>
      </c>
      <c r="C617" s="706" t="s">
        <v>2268</v>
      </c>
      <c r="D617" s="706" t="s">
        <v>2269</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G41000</v>
      </c>
      <c r="AK617" s="905" t="str">
        <f t="shared" si="61"/>
        <v>VENTES CAMARO</v>
      </c>
      <c r="AL617" s="905">
        <f>IFERROR(INDEX(G617:R617,1,MATCH(Parametres!$B$3,G$1:R$1,0)-1)*IF(OR(F617="L",F617="S",F617="I"),-1,1),"")</f>
        <v>0</v>
      </c>
      <c r="AM617" s="905">
        <f t="shared" si="56"/>
        <v>0</v>
      </c>
      <c r="AN617" s="905">
        <f>INDEX(G617:R617,1,MATCH(Parametres!$B$3,G$1:R$1,0))*IF(OR(F617="L",F617="S",F617="I"),-1,1)</f>
        <v>0</v>
      </c>
      <c r="AO617" s="487" t="str">
        <f>+VLOOKUP($AJ617,Data_Validation!$A:$D,1,0)</f>
        <v>G41000</v>
      </c>
      <c r="AP617" s="487" t="str">
        <f>+VLOOKUP($AJ617,Data_Validation!$A:$D,3,0)</f>
        <v>Véhicules neufs</v>
      </c>
      <c r="AQ617" s="487" t="str">
        <f>+VLOOKUP($AJ617,Data_Validation!$A:$D,4,0)</f>
        <v>Autos détail</v>
      </c>
      <c r="AR617" s="487" t="s">
        <v>299</v>
      </c>
      <c r="AS617" s="487" t="str">
        <f>+VLOOKUP($AJ617,Data_Validation!$A:$E,5,0)</f>
        <v>Oui</v>
      </c>
      <c r="AT617" s="904" t="str">
        <f t="shared" si="57"/>
        <v>G41000</v>
      </c>
      <c r="AU617" s="488" t="str">
        <f t="shared" si="58"/>
        <v>VENTES CAMARO</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2270</v>
      </c>
      <c r="D618" s="706" t="s">
        <v>2271</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G41100</v>
      </c>
      <c r="AK618" s="905" t="str">
        <f t="shared" si="61"/>
        <v>VENTES CRUZE</v>
      </c>
      <c r="AL618" s="905">
        <f>IFERROR(INDEX(G618:R618,1,MATCH(Parametres!$B$3,G$1:R$1,0)-1)*IF(OR(F618="L",F618="S",F618="I"),-1,1),"")</f>
        <v>0</v>
      </c>
      <c r="AM618" s="1047">
        <f t="shared" si="56"/>
        <v>0</v>
      </c>
      <c r="AN618" s="905">
        <f>INDEX(G618:R618,1,MATCH(Parametres!$B$3,G$1:R$1,0))*IF(OR(F618="L",F618="S",F618="I"),-1,1)</f>
        <v>0</v>
      </c>
      <c r="AO618" s="487" t="str">
        <f>+VLOOKUP($AJ618,Data_Validation!$A:$D,1,0)</f>
        <v>G41100</v>
      </c>
      <c r="AP618" s="487" t="str">
        <f>+VLOOKUP($AJ618,Data_Validation!$A:$D,3,0)</f>
        <v>Véhicules neufs</v>
      </c>
      <c r="AQ618" s="487" t="str">
        <f>+VLOOKUP($AJ618,Data_Validation!$A:$D,4,0)</f>
        <v>Autos détail</v>
      </c>
      <c r="AR618" s="487" t="s">
        <v>299</v>
      </c>
      <c r="AS618" s="487" t="str">
        <f>+VLOOKUP($AJ618,Data_Validation!$A:$E,5,0)</f>
        <v>Oui</v>
      </c>
      <c r="AT618" s="904" t="str">
        <f t="shared" si="57"/>
        <v>G41100</v>
      </c>
      <c r="AU618" s="488" t="str">
        <f t="shared" si="58"/>
        <v>VENTES CRUZE</v>
      </c>
      <c r="AV618" s="899">
        <f>IFERROR(INDEX(V618:AG618,1,MATCH(Parametres!$B$3,V$1:AG$1,0)-1)*IF(OR(C618="L",C618="S",C618="I"),-1,1),"")</f>
        <v>0</v>
      </c>
      <c r="AW618" s="899">
        <f t="shared" si="59"/>
        <v>0</v>
      </c>
      <c r="AX618" s="899">
        <f>INDEX(V618:AG618,1,MATCH(Parametres!$B$3,V$1:AG$1,0))*IF(OR(C618="L",C618="S",C618="I"),-1,1)</f>
        <v>0</v>
      </c>
      <c r="AY618" s="487" t="s">
        <v>337</v>
      </c>
      <c r="AZ618" s="487" t="str">
        <f>+VLOOKUP($AJ618,Data_Validation!$A:$E,5,0)</f>
        <v>Oui</v>
      </c>
    </row>
    <row r="619" spans="1:52" ht="15" customHeight="1">
      <c r="A619" s="706" t="s">
        <v>1148</v>
      </c>
      <c r="B619" s="706">
        <v>2026</v>
      </c>
      <c r="C619" s="706" t="s">
        <v>2272</v>
      </c>
      <c r="D619" s="706" t="s">
        <v>2273</v>
      </c>
      <c r="E619" s="706" t="s">
        <v>333</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G41600</v>
      </c>
      <c r="AK619" s="905" t="str">
        <f t="shared" si="61"/>
        <v>*PROGRAMME GENERAL MOTORS</v>
      </c>
      <c r="AL619" s="905">
        <f>IFERROR(INDEX(G619:R619,1,MATCH(Parametres!$B$3,G$1:R$1,0)-1)*IF(OR(F619="L",F619="S",F619="I"),-1,1),"")</f>
        <v>0</v>
      </c>
      <c r="AM619" s="905">
        <f t="shared" si="56"/>
        <v>0</v>
      </c>
      <c r="AN619" s="905">
        <f>INDEX(G619:R619,1,MATCH(Parametres!$B$3,G$1:R$1,0))*IF(OR(F619="L",F619="S",F619="I"),-1,1)</f>
        <v>0</v>
      </c>
      <c r="AO619" s="487" t="str">
        <f>+VLOOKUP($AJ619,Data_Validation!$A:$D,1,0)</f>
        <v>G41600</v>
      </c>
      <c r="AP619" s="487">
        <f>+VLOOKUP($AJ619,Data_Validation!$A:$D,3,0)</f>
        <v>0</v>
      </c>
      <c r="AQ619" s="487">
        <f>+VLOOKUP($AJ619,Data_Validation!$A:$D,4,0)</f>
        <v>0</v>
      </c>
      <c r="AR619" s="487" t="s">
        <v>299</v>
      </c>
      <c r="AS619" s="487">
        <f>+VLOOKUP($AJ619,Data_Validation!$A:$E,5,0)</f>
        <v>0</v>
      </c>
      <c r="AT619" s="904" t="str">
        <f t="shared" si="57"/>
        <v>G41600</v>
      </c>
      <c r="AU619" s="488" t="str">
        <f t="shared" si="58"/>
        <v>*PROGRAMME GENERAL MOTORS</v>
      </c>
      <c r="AV619" s="899">
        <f>IFERROR(INDEX(V619:AG619,1,MATCH(Parametres!$B$3,V$1:AG$1,0)-1)*IF(OR(C619="L",C619="S",C619="I"),-1,1),"")</f>
        <v>0</v>
      </c>
      <c r="AW619" s="899">
        <f t="shared" si="59"/>
        <v>0</v>
      </c>
      <c r="AX619" s="899">
        <f>INDEX(V619:AG619,1,MATCH(Parametres!$B$3,V$1:AG$1,0))*IF(OR(C619="L",C619="S",C619="I"),-1,1)</f>
        <v>0</v>
      </c>
      <c r="AY619" s="487" t="s">
        <v>337</v>
      </c>
      <c r="AZ619" s="487">
        <f>+VLOOKUP($AJ619,Data_Validation!$A:$E,5,0)</f>
        <v>0</v>
      </c>
    </row>
    <row r="620" spans="1:52" ht="15" customHeight="1">
      <c r="A620" s="706" t="s">
        <v>1148</v>
      </c>
      <c r="B620" s="706">
        <v>2026</v>
      </c>
      <c r="C620" s="706" t="s">
        <v>2274</v>
      </c>
      <c r="D620" s="706" t="s">
        <v>2275</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G41700</v>
      </c>
      <c r="AK620" s="905" t="str">
        <f t="shared" si="61"/>
        <v>VTES-CHEV AUTOS AUTRES</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G41700</v>
      </c>
      <c r="AU620" s="488" t="str">
        <f t="shared" si="58"/>
        <v>VTES-CHEV AUTOS AUTRES</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2276</v>
      </c>
      <c r="D621" s="706" t="s">
        <v>2277</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G41720</v>
      </c>
      <c r="AK621" s="905" t="str">
        <f t="shared" si="61"/>
        <v>VTES-CHEV AUTOS AUTRE-LOC</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G41720</v>
      </c>
      <c r="AU621" s="488" t="str">
        <f t="shared" si="58"/>
        <v>VTES-CHEV AUTOS AUTRE-LOC</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2278</v>
      </c>
      <c r="D622" s="706" t="s">
        <v>2279</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20</v>
      </c>
      <c r="W622" s="706">
        <v>54</v>
      </c>
      <c r="X622" s="706">
        <v>104</v>
      </c>
      <c r="Y622" s="706">
        <v>159</v>
      </c>
      <c r="Z622" s="706">
        <v>186</v>
      </c>
      <c r="AA622" s="706">
        <v>230</v>
      </c>
      <c r="AB622" s="706">
        <v>272</v>
      </c>
      <c r="AC622" s="706">
        <v>320</v>
      </c>
      <c r="AD622" s="706">
        <v>342</v>
      </c>
      <c r="AE622" s="706">
        <v>0</v>
      </c>
      <c r="AF622" s="706">
        <v>0</v>
      </c>
      <c r="AG622" s="706">
        <v>0</v>
      </c>
      <c r="AH622" s="706">
        <v>40</v>
      </c>
      <c r="AI622" s="706">
        <v>40</v>
      </c>
      <c r="AJ622" s="905" t="str">
        <f t="shared" si="60"/>
        <v>G41799</v>
      </c>
      <c r="AK622" s="905" t="str">
        <f t="shared" si="61"/>
        <v>VTES-ECHANGE CONCESSIONN.</v>
      </c>
      <c r="AL622" s="905">
        <f>IFERROR(INDEX(G622:R622,1,MATCH(Parametres!$B$3,G$1:R$1,0)-1)*IF(OR(F622="L",F622="S",F622="I"),-1,1),"")</f>
        <v>0</v>
      </c>
      <c r="AM622" s="905">
        <f t="shared" si="56"/>
        <v>0</v>
      </c>
      <c r="AN622" s="905">
        <f>INDEX(G622:R622,1,MATCH(Parametres!$B$3,G$1:R$1,0))*IF(OR(F622="L",F622="S",F622="I"),-1,1)</f>
        <v>0</v>
      </c>
      <c r="AO622" s="487" t="str">
        <f>+VLOOKUP($AJ622,Data_Validation!$A:$D,1,0)</f>
        <v>G41799</v>
      </c>
      <c r="AP622" s="487">
        <f>+VLOOKUP($AJ622,Data_Validation!$A:$D,3,0)</f>
        <v>0</v>
      </c>
      <c r="AQ622" s="487">
        <f>+VLOOKUP($AJ622,Data_Validation!$A:$D,4,0)</f>
        <v>0</v>
      </c>
      <c r="AR622" s="487" t="s">
        <v>299</v>
      </c>
      <c r="AS622" s="487">
        <f>+VLOOKUP($AJ622,Data_Validation!$A:$E,5,0)</f>
        <v>0</v>
      </c>
      <c r="AT622" s="904" t="str">
        <f t="shared" si="57"/>
        <v>G41799</v>
      </c>
      <c r="AU622" s="488" t="str">
        <f t="shared" si="58"/>
        <v>VTES-ECHANGE CONCESSIONN.</v>
      </c>
      <c r="AV622" s="899">
        <f>IFERROR(INDEX(V622:AG622,1,MATCH(Parametres!$B$3,V$1:AG$1,0)-1)*IF(OR(C622="L",C622="S",C622="I"),-1,1),"")</f>
        <v>272</v>
      </c>
      <c r="AW622" s="899">
        <f t="shared" si="59"/>
        <v>48</v>
      </c>
      <c r="AX622" s="899">
        <f>INDEX(V622:AG622,1,MATCH(Parametres!$B$3,V$1:AG$1,0))*IF(OR(C622="L",C622="S",C622="I"),-1,1)</f>
        <v>320</v>
      </c>
      <c r="AY622" s="487" t="s">
        <v>337</v>
      </c>
      <c r="AZ622" s="487">
        <f>+VLOOKUP($AJ622,Data_Validation!$A:$E,5,0)</f>
        <v>0</v>
      </c>
    </row>
    <row r="623" spans="1:52" ht="15" customHeight="1">
      <c r="A623" s="706" t="s">
        <v>1148</v>
      </c>
      <c r="B623" s="706">
        <v>2026</v>
      </c>
      <c r="C623" s="706" t="s">
        <v>2280</v>
      </c>
      <c r="D623" s="706" t="s">
        <v>2281</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G41800</v>
      </c>
      <c r="AK623" s="905" t="str">
        <f t="shared" si="61"/>
        <v>AUTRES CHEVROLET</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G41800</v>
      </c>
      <c r="AU623" s="488" t="str">
        <f t="shared" si="58"/>
        <v>AUTRES CHEVROLET</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2282</v>
      </c>
      <c r="D624" s="706" t="s">
        <v>2283</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G42000</v>
      </c>
      <c r="AK624" s="905" t="str">
        <f t="shared" si="61"/>
        <v>VTES-PARCS VOITURES</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G42000</v>
      </c>
      <c r="AU624" s="488" t="str">
        <f t="shared" si="58"/>
        <v>VTES-PARCS VOITURES</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2284</v>
      </c>
      <c r="D625" s="706" t="s">
        <v>2285</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G42100</v>
      </c>
      <c r="AK625" s="905" t="str">
        <f t="shared" si="61"/>
        <v>VTES-VOITURES INTERNE</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G42100</v>
      </c>
      <c r="AU625" s="488" t="str">
        <f t="shared" si="58"/>
        <v>VTES-VOITURES INTERNE</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2286</v>
      </c>
      <c r="D626" s="706" t="s">
        <v>2287</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G42300</v>
      </c>
      <c r="AK626" s="905" t="str">
        <f t="shared" si="61"/>
        <v>VTES-VENTURES-UPLAND VAN</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G42300</v>
      </c>
      <c r="AU626" s="488" t="str">
        <f t="shared" si="58"/>
        <v>VTES-VENTURES-UPLAND VAN</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2288</v>
      </c>
      <c r="D627" s="706" t="s">
        <v>2289</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G42312</v>
      </c>
      <c r="AK627" s="905" t="str">
        <f t="shared" si="61"/>
        <v>VTES-KODIAK/TOPKICK 4/5</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G42312</v>
      </c>
      <c r="AU627" s="488" t="str">
        <f t="shared" si="58"/>
        <v>VTES-KODIAK/TOPKICK 4/5</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2290</v>
      </c>
      <c r="D628" s="706" t="s">
        <v>2291</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G42320</v>
      </c>
      <c r="AK628" s="905" t="str">
        <f t="shared" si="61"/>
        <v>VTES-VENTURE-UPLANDER-LOC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G42320</v>
      </c>
      <c r="AU628" s="488" t="str">
        <f t="shared" si="58"/>
        <v>VTES-VENTURE-UPLANDER-LOC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2292</v>
      </c>
      <c r="D629" s="706" t="s">
        <v>2293</v>
      </c>
      <c r="E629" s="706" t="s">
        <v>1149</v>
      </c>
      <c r="F629" s="706" t="s">
        <v>1149</v>
      </c>
      <c r="G629" s="706">
        <v>93796.43</v>
      </c>
      <c r="H629" s="706">
        <v>93796.43</v>
      </c>
      <c r="I629" s="706">
        <v>93796.43</v>
      </c>
      <c r="J629" s="706">
        <v>240565.64</v>
      </c>
      <c r="K629" s="706">
        <v>330422.31</v>
      </c>
      <c r="L629" s="706">
        <v>330422.31</v>
      </c>
      <c r="M629" s="706">
        <v>469151.31</v>
      </c>
      <c r="N629" s="706">
        <v>573703.9</v>
      </c>
      <c r="O629" s="706">
        <v>573703.9</v>
      </c>
      <c r="P629" s="706">
        <v>0</v>
      </c>
      <c r="Q629" s="706">
        <v>0</v>
      </c>
      <c r="R629" s="706">
        <v>0</v>
      </c>
      <c r="S629" s="706">
        <v>71712.990000000005</v>
      </c>
      <c r="T629" s="706">
        <v>71712.990000000005</v>
      </c>
      <c r="U629" s="706">
        <v>0</v>
      </c>
      <c r="V629" s="706">
        <v>2</v>
      </c>
      <c r="W629" s="706">
        <v>2</v>
      </c>
      <c r="X629" s="706">
        <v>2</v>
      </c>
      <c r="Y629" s="706">
        <v>5</v>
      </c>
      <c r="Z629" s="706">
        <v>7</v>
      </c>
      <c r="AA629" s="706">
        <v>7</v>
      </c>
      <c r="AB629" s="706">
        <v>10</v>
      </c>
      <c r="AC629" s="706">
        <v>12</v>
      </c>
      <c r="AD629" s="706">
        <v>12</v>
      </c>
      <c r="AE629" s="706">
        <v>0</v>
      </c>
      <c r="AF629" s="706">
        <v>0</v>
      </c>
      <c r="AG629" s="706">
        <v>0</v>
      </c>
      <c r="AH629" s="706">
        <v>2</v>
      </c>
      <c r="AI629" s="706">
        <v>2</v>
      </c>
      <c r="AJ629" s="905" t="str">
        <f t="shared" si="60"/>
        <v>G42400</v>
      </c>
      <c r="AK629" s="905" t="str">
        <f t="shared" si="61"/>
        <v>VTES-TERRAIN</v>
      </c>
      <c r="AL629" s="905">
        <f>IFERROR(INDEX(G629:R629,1,MATCH(Parametres!$B$3,G$1:R$1,0)-1)*IF(OR(F629="L",F629="S",F629="I"),-1,1),"")</f>
        <v>-469151.31</v>
      </c>
      <c r="AM629" s="905">
        <f t="shared" si="56"/>
        <v>-104552.59000000003</v>
      </c>
      <c r="AN629" s="905">
        <f>INDEX(G629:R629,1,MATCH(Parametres!$B$3,G$1:R$1,0))*IF(OR(F629="L",F629="S",F629="I"),-1,1)</f>
        <v>-573703.9</v>
      </c>
      <c r="AO629" s="487" t="str">
        <f>+VLOOKUP($AJ629,Data_Validation!$A:$D,1,0)</f>
        <v>G42400</v>
      </c>
      <c r="AP629" s="487" t="str">
        <f>+VLOOKUP($AJ629,Data_Validation!$A:$D,3,0)</f>
        <v>Véhicules neufs</v>
      </c>
      <c r="AQ629" s="487" t="str">
        <f>+VLOOKUP($AJ629,Data_Validation!$A:$D,4,0)</f>
        <v>Camions détail</v>
      </c>
      <c r="AR629" s="487" t="s">
        <v>299</v>
      </c>
      <c r="AS629" s="487" t="str">
        <f>+VLOOKUP($AJ629,Data_Validation!$A:$E,5,0)</f>
        <v>Oui</v>
      </c>
      <c r="AT629" s="904" t="str">
        <f t="shared" si="57"/>
        <v>G42400</v>
      </c>
      <c r="AU629" s="488" t="str">
        <f t="shared" si="58"/>
        <v>VTES-TERRAIN</v>
      </c>
      <c r="AV629" s="899">
        <f>IFERROR(INDEX(V629:AG629,1,MATCH(Parametres!$B$3,V$1:AG$1,0)-1)*IF(OR(C629="L",C629="S",C629="I"),-1,1),"")</f>
        <v>10</v>
      </c>
      <c r="AW629" s="899">
        <f t="shared" si="59"/>
        <v>2</v>
      </c>
      <c r="AX629" s="899">
        <f>INDEX(V629:AG629,1,MATCH(Parametres!$B$3,V$1:AG$1,0))*IF(OR(C629="L",C629="S",C629="I"),-1,1)</f>
        <v>12</v>
      </c>
      <c r="AY629" s="487" t="s">
        <v>337</v>
      </c>
      <c r="AZ629" s="487" t="str">
        <f>+VLOOKUP($AJ629,Data_Validation!$A:$E,5,0)</f>
        <v>Oui</v>
      </c>
    </row>
    <row r="630" spans="1:52" ht="15" customHeight="1">
      <c r="A630" s="706" t="s">
        <v>1148</v>
      </c>
      <c r="B630" s="706">
        <v>2026</v>
      </c>
      <c r="C630" s="706" t="s">
        <v>2294</v>
      </c>
      <c r="D630" s="706" t="s">
        <v>2295</v>
      </c>
      <c r="E630" s="706" t="s">
        <v>1149</v>
      </c>
      <c r="F630" s="706" t="s">
        <v>1149</v>
      </c>
      <c r="G630" s="706">
        <v>0</v>
      </c>
      <c r="H630" s="706">
        <v>0</v>
      </c>
      <c r="I630" s="706">
        <v>0</v>
      </c>
      <c r="J630" s="706">
        <v>0</v>
      </c>
      <c r="K630" s="706">
        <v>409811.5</v>
      </c>
      <c r="L630" s="706">
        <v>668670.41</v>
      </c>
      <c r="M630" s="706">
        <v>1186449.53</v>
      </c>
      <c r="N630" s="706">
        <v>1792442.06</v>
      </c>
      <c r="O630" s="706">
        <v>2505623.38</v>
      </c>
      <c r="P630" s="706">
        <v>0</v>
      </c>
      <c r="Q630" s="706">
        <v>0</v>
      </c>
      <c r="R630" s="706">
        <v>0</v>
      </c>
      <c r="S630" s="706">
        <v>224055.26</v>
      </c>
      <c r="T630" s="706">
        <v>224055.26</v>
      </c>
      <c r="U630" s="706">
        <v>0</v>
      </c>
      <c r="V630" s="706">
        <v>0</v>
      </c>
      <c r="W630" s="706">
        <v>0</v>
      </c>
      <c r="X630" s="706">
        <v>0</v>
      </c>
      <c r="Y630" s="706">
        <v>0</v>
      </c>
      <c r="Z630" s="706">
        <v>9</v>
      </c>
      <c r="AA630" s="706">
        <v>15</v>
      </c>
      <c r="AB630" s="706">
        <v>27</v>
      </c>
      <c r="AC630" s="706">
        <v>41</v>
      </c>
      <c r="AD630" s="706">
        <v>57</v>
      </c>
      <c r="AE630" s="706">
        <v>0</v>
      </c>
      <c r="AF630" s="706">
        <v>0</v>
      </c>
      <c r="AG630" s="706">
        <v>0</v>
      </c>
      <c r="AH630" s="706">
        <v>5</v>
      </c>
      <c r="AI630" s="706">
        <v>5</v>
      </c>
      <c r="AJ630" s="905" t="str">
        <f t="shared" si="60"/>
        <v>G42401</v>
      </c>
      <c r="AK630" s="905" t="str">
        <f t="shared" si="61"/>
        <v>VENTES - BOLT EUV</v>
      </c>
      <c r="AL630" s="905">
        <f>IFERROR(INDEX(G630:R630,1,MATCH(Parametres!$B$3,G$1:R$1,0)-1)*IF(OR(F630="L",F630="S",F630="I"),-1,1),"")</f>
        <v>-1186449.53</v>
      </c>
      <c r="AM630" s="905">
        <f t="shared" si="56"/>
        <v>-605992.53</v>
      </c>
      <c r="AN630" s="905">
        <f>INDEX(G630:R630,1,MATCH(Parametres!$B$3,G$1:R$1,0))*IF(OR(F630="L",F630="S",F630="I"),-1,1)</f>
        <v>-1792442.06</v>
      </c>
      <c r="AO630" s="487" t="str">
        <f>+VLOOKUP($AJ630,Data_Validation!$A:$D,1,0)</f>
        <v>G42401</v>
      </c>
      <c r="AP630" s="487" t="str">
        <f>+VLOOKUP($AJ630,Data_Validation!$A:$D,3,0)</f>
        <v>Véhicules neufs</v>
      </c>
      <c r="AQ630" s="487" t="str">
        <f>+VLOOKUP($AJ630,Data_Validation!$A:$D,4,0)</f>
        <v>Camions electriques</v>
      </c>
      <c r="AR630" s="487" t="s">
        <v>299</v>
      </c>
      <c r="AS630" s="487" t="str">
        <f>+VLOOKUP($AJ630,Data_Validation!$A:$E,5,0)</f>
        <v>Oui</v>
      </c>
      <c r="AT630" s="904" t="str">
        <f t="shared" si="57"/>
        <v>G42401</v>
      </c>
      <c r="AU630" s="488" t="str">
        <f t="shared" si="58"/>
        <v>VENTES - BOLT EUV</v>
      </c>
      <c r="AV630" s="899">
        <f>IFERROR(INDEX(V630:AG630,1,MATCH(Parametres!$B$3,V$1:AG$1,0)-1)*IF(OR(C630="L",C630="S",C630="I"),-1,1),"")</f>
        <v>27</v>
      </c>
      <c r="AW630" s="899">
        <f t="shared" si="59"/>
        <v>14</v>
      </c>
      <c r="AX630" s="899">
        <f>INDEX(V630:AG630,1,MATCH(Parametres!$B$3,V$1:AG$1,0))*IF(OR(C630="L",C630="S",C630="I"),-1,1)</f>
        <v>41</v>
      </c>
      <c r="AY630" s="487" t="s">
        <v>337</v>
      </c>
      <c r="AZ630" s="487" t="str">
        <f>+VLOOKUP($AJ630,Data_Validation!$A:$E,5,0)</f>
        <v>Oui</v>
      </c>
    </row>
    <row r="631" spans="1:52" ht="15" customHeight="1">
      <c r="A631" s="706" t="s">
        <v>1148</v>
      </c>
      <c r="B631" s="706">
        <v>2026</v>
      </c>
      <c r="C631" s="706" t="s">
        <v>2296</v>
      </c>
      <c r="D631" s="706" t="s">
        <v>2297</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G42412</v>
      </c>
      <c r="AK631" s="905" t="str">
        <f t="shared" si="61"/>
        <v>VTES-TOPKICK 6/7/8 C</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G42412</v>
      </c>
      <c r="AU631" s="488" t="str">
        <f t="shared" si="58"/>
        <v>VTES-TOPKICK 6/7/8 C</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2298</v>
      </c>
      <c r="D632" s="706" t="s">
        <v>2299</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G42500</v>
      </c>
      <c r="AK632" s="905" t="str">
        <f t="shared" si="61"/>
        <v>VTES-G EXPRESS</v>
      </c>
      <c r="AL632" s="905">
        <f>IFERROR(INDEX(G632:R632,1,MATCH(Parametres!$B$3,G$1:R$1,0)-1)*IF(OR(F632="L",F632="S",F632="I"),-1,1),"")</f>
        <v>0</v>
      </c>
      <c r="AM632" s="905">
        <f t="shared" si="56"/>
        <v>0</v>
      </c>
      <c r="AN632" s="905">
        <f>INDEX(G632:R632,1,MATCH(Parametres!$B$3,G$1:R$1,0))*IF(OR(F632="L",F632="S",F632="I"),-1,1)</f>
        <v>0</v>
      </c>
      <c r="AO632" s="487" t="str">
        <f>+VLOOKUP($AJ632,Data_Validation!$A:$D,1,0)</f>
        <v>G42500</v>
      </c>
      <c r="AP632" s="487" t="str">
        <f>+VLOOKUP($AJ632,Data_Validation!$A:$D,3,0)</f>
        <v>Véhicules neufs</v>
      </c>
      <c r="AQ632" s="487" t="str">
        <f>+VLOOKUP($AJ632,Data_Validation!$A:$D,4,0)</f>
        <v>Camions détail</v>
      </c>
      <c r="AR632" s="487" t="s">
        <v>299</v>
      </c>
      <c r="AS632" s="487" t="str">
        <f>+VLOOKUP($AJ632,Data_Validation!$A:$E,5,0)</f>
        <v>Oui</v>
      </c>
      <c r="AT632" s="904" t="str">
        <f t="shared" si="57"/>
        <v>G42500</v>
      </c>
      <c r="AU632" s="488" t="str">
        <f t="shared" si="58"/>
        <v>VTES-G EXPRESS</v>
      </c>
      <c r="AV632" s="899">
        <f>IFERROR(INDEX(V632:AG632,1,MATCH(Parametres!$B$3,V$1:AG$1,0)-1)*IF(OR(C632="L",C632="S",C632="I"),-1,1),"")</f>
        <v>0</v>
      </c>
      <c r="AW632" s="899">
        <f t="shared" si="59"/>
        <v>0</v>
      </c>
      <c r="AX632" s="899">
        <f>INDEX(V632:AG632,1,MATCH(Parametres!$B$3,V$1:AG$1,0))*IF(OR(C632="L",C632="S",C632="I"),-1,1)</f>
        <v>0</v>
      </c>
      <c r="AY632" s="487" t="s">
        <v>337</v>
      </c>
      <c r="AZ632" s="487" t="str">
        <f>+VLOOKUP($AJ632,Data_Validation!$A:$E,5,0)</f>
        <v>Oui</v>
      </c>
    </row>
    <row r="633" spans="1:52" ht="15" customHeight="1">
      <c r="A633" s="706" t="s">
        <v>1148</v>
      </c>
      <c r="B633" s="706">
        <v>2026</v>
      </c>
      <c r="C633" s="706" t="s">
        <v>2300</v>
      </c>
      <c r="D633" s="706" t="s">
        <v>2301</v>
      </c>
      <c r="E633" s="706" t="s">
        <v>1149</v>
      </c>
      <c r="F633" s="706" t="s">
        <v>1149</v>
      </c>
      <c r="G633" s="706">
        <v>0</v>
      </c>
      <c r="H633" s="706">
        <v>0</v>
      </c>
      <c r="I633" s="706">
        <v>0</v>
      </c>
      <c r="J633" s="706">
        <v>0</v>
      </c>
      <c r="K633" s="706">
        <v>50150</v>
      </c>
      <c r="L633" s="706">
        <v>50150</v>
      </c>
      <c r="M633" s="706">
        <v>50150</v>
      </c>
      <c r="N633" s="706">
        <v>50150</v>
      </c>
      <c r="O633" s="706">
        <v>50150</v>
      </c>
      <c r="P633" s="706">
        <v>0</v>
      </c>
      <c r="Q633" s="706">
        <v>0</v>
      </c>
      <c r="R633" s="706">
        <v>0</v>
      </c>
      <c r="S633" s="706">
        <v>6268.75</v>
      </c>
      <c r="T633" s="706">
        <v>6268.75</v>
      </c>
      <c r="U633" s="706">
        <v>0</v>
      </c>
      <c r="V633" s="706">
        <v>0</v>
      </c>
      <c r="W633" s="706">
        <v>0</v>
      </c>
      <c r="X633" s="706">
        <v>0</v>
      </c>
      <c r="Y633" s="706">
        <v>0</v>
      </c>
      <c r="Z633" s="706">
        <v>1</v>
      </c>
      <c r="AA633" s="706">
        <v>1</v>
      </c>
      <c r="AB633" s="706">
        <v>1</v>
      </c>
      <c r="AC633" s="706">
        <v>1</v>
      </c>
      <c r="AD633" s="706">
        <v>1</v>
      </c>
      <c r="AE633" s="706">
        <v>0</v>
      </c>
      <c r="AF633" s="706">
        <v>0</v>
      </c>
      <c r="AG633" s="706">
        <v>0</v>
      </c>
      <c r="AH633" s="706">
        <v>0</v>
      </c>
      <c r="AI633" s="706">
        <v>0</v>
      </c>
      <c r="AJ633" s="905" t="str">
        <f t="shared" si="60"/>
        <v>G42502</v>
      </c>
      <c r="AK633" s="905" t="str">
        <f t="shared" si="61"/>
        <v>VENTES SAVANA</v>
      </c>
      <c r="AL633" s="905">
        <f>IFERROR(INDEX(G633:R633,1,MATCH(Parametres!$B$3,G$1:R$1,0)-1)*IF(OR(F633="L",F633="S",F633="I"),-1,1),"")</f>
        <v>-50150</v>
      </c>
      <c r="AM633" s="905">
        <f t="shared" si="56"/>
        <v>0</v>
      </c>
      <c r="AN633" s="905">
        <f>INDEX(G633:R633,1,MATCH(Parametres!$B$3,G$1:R$1,0))*IF(OR(F633="L",F633="S",F633="I"),-1,1)</f>
        <v>-50150</v>
      </c>
      <c r="AO633" s="487" t="str">
        <f>+VLOOKUP($AJ633,Data_Validation!$A:$D,1,0)</f>
        <v>G42502</v>
      </c>
      <c r="AP633" s="487" t="str">
        <f>+VLOOKUP($AJ633,Data_Validation!$A:$D,3,0)</f>
        <v>Véhicules neufs</v>
      </c>
      <c r="AQ633" s="487" t="str">
        <f>+VLOOKUP($AJ633,Data_Validation!$A:$D,4,0)</f>
        <v>Camions electriques</v>
      </c>
      <c r="AR633" s="487" t="s">
        <v>299</v>
      </c>
      <c r="AS633" s="487" t="str">
        <f>+VLOOKUP($AJ633,Data_Validation!$A:$E,5,0)</f>
        <v>Oui</v>
      </c>
      <c r="AT633" s="904" t="str">
        <f t="shared" si="57"/>
        <v>G42502</v>
      </c>
      <c r="AU633" s="488" t="str">
        <f t="shared" si="58"/>
        <v>VENTES SAVANA</v>
      </c>
      <c r="AV633" s="899">
        <f>IFERROR(INDEX(V633:AG633,1,MATCH(Parametres!$B$3,V$1:AG$1,0)-1)*IF(OR(C633="L",C633="S",C633="I"),-1,1),"")</f>
        <v>1</v>
      </c>
      <c r="AW633" s="899">
        <f t="shared" si="59"/>
        <v>0</v>
      </c>
      <c r="AX633" s="899">
        <f>INDEX(V633:AG633,1,MATCH(Parametres!$B$3,V$1:AG$1,0))*IF(OR(C633="L",C633="S",C633="I"),-1,1)</f>
        <v>1</v>
      </c>
      <c r="AY633" s="487" t="s">
        <v>337</v>
      </c>
      <c r="AZ633" s="487" t="str">
        <f>+VLOOKUP($AJ633,Data_Validation!$A:$E,5,0)</f>
        <v>Oui</v>
      </c>
    </row>
    <row r="634" spans="1:52" ht="15" customHeight="1">
      <c r="A634" s="706" t="s">
        <v>1148</v>
      </c>
      <c r="B634" s="706">
        <v>2026</v>
      </c>
      <c r="C634" s="706" t="s">
        <v>2302</v>
      </c>
      <c r="D634" s="706" t="s">
        <v>2303</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G42512</v>
      </c>
      <c r="AK634" s="905" t="str">
        <f t="shared" si="61"/>
        <v>VTES-TOPKICK 6/7/8 T</v>
      </c>
      <c r="AL634" s="905">
        <f>IFERROR(INDEX(G634:R634,1,MATCH(Parametres!$B$3,G$1:R$1,0)-1)*IF(OR(F634="L",F634="S",F634="I"),-1,1),"")</f>
        <v>0</v>
      </c>
      <c r="AM634" s="905">
        <f t="shared" si="56"/>
        <v>0</v>
      </c>
      <c r="AN634" s="905">
        <f>INDEX(G634:R634,1,MATCH(Parametres!$B$3,G$1:R$1,0))*IF(OR(F634="L",F634="S",F634="I"),-1,1)</f>
        <v>0</v>
      </c>
      <c r="AO634" s="487" t="e">
        <f>+VLOOKUP($AJ634,Data_Validation!$A:$D,1,0)</f>
        <v>#N/A</v>
      </c>
      <c r="AP634" s="487" t="e">
        <f>+VLOOKUP($AJ634,Data_Validation!$A:$D,3,0)</f>
        <v>#N/A</v>
      </c>
      <c r="AQ634" s="487" t="e">
        <f>+VLOOKUP($AJ634,Data_Validation!$A:$D,4,0)</f>
        <v>#N/A</v>
      </c>
      <c r="AR634" s="487" t="s">
        <v>299</v>
      </c>
      <c r="AS634" s="487" t="e">
        <f>+VLOOKUP($AJ634,Data_Validation!$A:$E,5,0)</f>
        <v>#N/A</v>
      </c>
      <c r="AT634" s="904" t="str">
        <f t="shared" si="57"/>
        <v>G42512</v>
      </c>
      <c r="AU634" s="488" t="str">
        <f t="shared" si="58"/>
        <v>VTES-TOPKICK 6/7/8 T</v>
      </c>
      <c r="AV634" s="899">
        <f>IFERROR(INDEX(V634:AG634,1,MATCH(Parametres!$B$3,V$1:AG$1,0)-1)*IF(OR(C634="L",C634="S",C634="I"),-1,1),"")</f>
        <v>0</v>
      </c>
      <c r="AW634" s="899">
        <f t="shared" si="59"/>
        <v>0</v>
      </c>
      <c r="AX634" s="899">
        <f>INDEX(V634:AG634,1,MATCH(Parametres!$B$3,V$1:AG$1,0))*IF(OR(C634="L",C634="S",C634="I"),-1,1)</f>
        <v>0</v>
      </c>
      <c r="AY634" s="487" t="s">
        <v>337</v>
      </c>
      <c r="AZ634" s="487" t="e">
        <f>+VLOOKUP($AJ634,Data_Validation!$A:$E,5,0)</f>
        <v>#N/A</v>
      </c>
    </row>
    <row r="635" spans="1:52" ht="15" customHeight="1">
      <c r="A635" s="706" t="s">
        <v>1148</v>
      </c>
      <c r="B635" s="706">
        <v>2026</v>
      </c>
      <c r="C635" s="706" t="s">
        <v>2304</v>
      </c>
      <c r="D635" s="706" t="s">
        <v>2305</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G42520</v>
      </c>
      <c r="AK635" s="905" t="str">
        <f t="shared" si="61"/>
        <v>VTES-G EXPRESS       -LOC</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G42520</v>
      </c>
      <c r="AU635" s="488" t="str">
        <f t="shared" si="58"/>
        <v>VTES-G EXPRESS       -LOC</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customHeight="1">
      <c r="A636" s="706" t="s">
        <v>1148</v>
      </c>
      <c r="B636" s="706">
        <v>2026</v>
      </c>
      <c r="C636" s="706" t="s">
        <v>2306</v>
      </c>
      <c r="D636" s="706" t="s">
        <v>2307</v>
      </c>
      <c r="E636" s="706" t="s">
        <v>1149</v>
      </c>
      <c r="F636" s="706" t="s">
        <v>1149</v>
      </c>
      <c r="G636" s="706">
        <v>0</v>
      </c>
      <c r="H636" s="706">
        <v>133245.68</v>
      </c>
      <c r="I636" s="706">
        <v>133245.68</v>
      </c>
      <c r="J636" s="706">
        <v>190253.68</v>
      </c>
      <c r="K636" s="706">
        <v>249977.68</v>
      </c>
      <c r="L636" s="706">
        <v>306489.21000000002</v>
      </c>
      <c r="M636" s="706">
        <v>419411.99</v>
      </c>
      <c r="N636" s="706">
        <v>537227.49</v>
      </c>
      <c r="O636" s="706">
        <v>537227.49</v>
      </c>
      <c r="P636" s="706">
        <v>0</v>
      </c>
      <c r="Q636" s="706">
        <v>0</v>
      </c>
      <c r="R636" s="706">
        <v>0</v>
      </c>
      <c r="S636" s="706">
        <v>67153.440000000002</v>
      </c>
      <c r="T636" s="706">
        <v>67153.440000000002</v>
      </c>
      <c r="U636" s="706">
        <v>0</v>
      </c>
      <c r="V636" s="706">
        <v>0</v>
      </c>
      <c r="W636" s="706">
        <v>2</v>
      </c>
      <c r="X636" s="706">
        <v>2</v>
      </c>
      <c r="Y636" s="706">
        <v>3</v>
      </c>
      <c r="Z636" s="706">
        <v>4</v>
      </c>
      <c r="AA636" s="706">
        <v>5</v>
      </c>
      <c r="AB636" s="706">
        <v>7</v>
      </c>
      <c r="AC636" s="706">
        <v>9</v>
      </c>
      <c r="AD636" s="706">
        <v>9</v>
      </c>
      <c r="AE636" s="706">
        <v>0</v>
      </c>
      <c r="AF636" s="706">
        <v>0</v>
      </c>
      <c r="AG636" s="706">
        <v>0</v>
      </c>
      <c r="AH636" s="706">
        <v>1</v>
      </c>
      <c r="AI636" s="706">
        <v>1</v>
      </c>
      <c r="AJ636" s="905" t="str">
        <f t="shared" si="60"/>
        <v>G42600</v>
      </c>
      <c r="AK636" s="905" t="str">
        <f t="shared" si="61"/>
        <v>VTES-S-PICKUP/COLORADO</v>
      </c>
      <c r="AL636" s="905">
        <f>IFERROR(INDEX(G636:R636,1,MATCH(Parametres!$B$3,G$1:R$1,0)-1)*IF(OR(F636="L",F636="S",F636="I"),-1,1),"")</f>
        <v>-419411.99</v>
      </c>
      <c r="AM636" s="905">
        <f t="shared" si="56"/>
        <v>-117815.5</v>
      </c>
      <c r="AN636" s="905">
        <f>INDEX(G636:R636,1,MATCH(Parametres!$B$3,G$1:R$1,0))*IF(OR(F636="L",F636="S",F636="I"),-1,1)</f>
        <v>-537227.49</v>
      </c>
      <c r="AO636" s="487" t="str">
        <f>+VLOOKUP($AJ636,Data_Validation!$A:$D,1,0)</f>
        <v>G42600</v>
      </c>
      <c r="AP636" s="487" t="str">
        <f>+VLOOKUP($AJ636,Data_Validation!$A:$D,3,0)</f>
        <v>Véhicules neufs</v>
      </c>
      <c r="AQ636" s="487" t="str">
        <f>+VLOOKUP($AJ636,Data_Validation!$A:$D,4,0)</f>
        <v>Camions détail</v>
      </c>
      <c r="AR636" s="487" t="s">
        <v>299</v>
      </c>
      <c r="AS636" s="487" t="str">
        <f>+VLOOKUP($AJ636,Data_Validation!$A:$E,5,0)</f>
        <v>Oui</v>
      </c>
      <c r="AT636" s="904" t="str">
        <f t="shared" si="57"/>
        <v>G42600</v>
      </c>
      <c r="AU636" s="488" t="str">
        <f t="shared" si="58"/>
        <v>VTES-S-PICKUP/COLORADO</v>
      </c>
      <c r="AV636" s="899">
        <f>IFERROR(INDEX(V636:AG636,1,MATCH(Parametres!$B$3,V$1:AG$1,0)-1)*IF(OR(C636="L",C636="S",C636="I"),-1,1),"")</f>
        <v>7</v>
      </c>
      <c r="AW636" s="899">
        <f t="shared" si="59"/>
        <v>2</v>
      </c>
      <c r="AX636" s="899">
        <f>INDEX(V636:AG636,1,MATCH(Parametres!$B$3,V$1:AG$1,0))*IF(OR(C636="L",C636="S",C636="I"),-1,1)</f>
        <v>9</v>
      </c>
      <c r="AY636" s="487" t="s">
        <v>337</v>
      </c>
      <c r="AZ636" s="487" t="str">
        <f>+VLOOKUP($AJ636,Data_Validation!$A:$E,5,0)</f>
        <v>Oui</v>
      </c>
    </row>
    <row r="637" spans="1:52" ht="15" customHeight="1">
      <c r="A637" s="706" t="s">
        <v>1148</v>
      </c>
      <c r="B637" s="706">
        <v>2026</v>
      </c>
      <c r="C637" s="706" t="s">
        <v>2308</v>
      </c>
      <c r="D637" s="706" t="s">
        <v>2309</v>
      </c>
      <c r="E637" s="706" t="s">
        <v>1149</v>
      </c>
      <c r="F637" s="706" t="s">
        <v>1149</v>
      </c>
      <c r="G637" s="706">
        <v>66630.850000000006</v>
      </c>
      <c r="H637" s="706">
        <v>66630.850000000006</v>
      </c>
      <c r="I637" s="706">
        <v>66630.850000000006</v>
      </c>
      <c r="J637" s="706">
        <v>66630.850000000006</v>
      </c>
      <c r="K637" s="706">
        <v>66630.850000000006</v>
      </c>
      <c r="L637" s="706">
        <v>66630.850000000006</v>
      </c>
      <c r="M637" s="706">
        <v>133454.26999999999</v>
      </c>
      <c r="N637" s="706">
        <v>189477.27</v>
      </c>
      <c r="O637" s="706">
        <v>314040.14</v>
      </c>
      <c r="P637" s="706">
        <v>0</v>
      </c>
      <c r="Q637" s="706">
        <v>0</v>
      </c>
      <c r="R637" s="706">
        <v>0</v>
      </c>
      <c r="S637" s="706">
        <v>23684.66</v>
      </c>
      <c r="T637" s="706">
        <v>23684.66</v>
      </c>
      <c r="U637" s="706">
        <v>0</v>
      </c>
      <c r="V637" s="706">
        <v>1</v>
      </c>
      <c r="W637" s="706">
        <v>1</v>
      </c>
      <c r="X637" s="706">
        <v>1</v>
      </c>
      <c r="Y637" s="706">
        <v>1</v>
      </c>
      <c r="Z637" s="706">
        <v>1</v>
      </c>
      <c r="AA637" s="706">
        <v>1</v>
      </c>
      <c r="AB637" s="706">
        <v>2</v>
      </c>
      <c r="AC637" s="706">
        <v>3</v>
      </c>
      <c r="AD637" s="706">
        <v>5</v>
      </c>
      <c r="AE637" s="706">
        <v>0</v>
      </c>
      <c r="AF637" s="706">
        <v>0</v>
      </c>
      <c r="AG637" s="706">
        <v>0</v>
      </c>
      <c r="AH637" s="706">
        <v>0</v>
      </c>
      <c r="AI637" s="706">
        <v>0</v>
      </c>
      <c r="AJ637" s="905" t="str">
        <f t="shared" si="60"/>
        <v>G42602</v>
      </c>
      <c r="AK637" s="905" t="str">
        <f t="shared" si="61"/>
        <v>VENTES GMC CANYON</v>
      </c>
      <c r="AL637" s="905">
        <f>IFERROR(INDEX(G637:R637,1,MATCH(Parametres!$B$3,G$1:R$1,0)-1)*IF(OR(F637="L",F637="S",F637="I"),-1,1),"")</f>
        <v>-133454.26999999999</v>
      </c>
      <c r="AM637" s="1047">
        <f t="shared" si="56"/>
        <v>-56023</v>
      </c>
      <c r="AN637" s="905">
        <f>INDEX(G637:R637,1,MATCH(Parametres!$B$3,G$1:R$1,0))*IF(OR(F637="L",F637="S",F637="I"),-1,1)</f>
        <v>-189477.27</v>
      </c>
      <c r="AO637" s="487" t="str">
        <f>+VLOOKUP($AJ637,Data_Validation!$A:$D,1,0)</f>
        <v>G42602</v>
      </c>
      <c r="AP637" s="487" t="str">
        <f>+VLOOKUP($AJ637,Data_Validation!$A:$D,3,0)</f>
        <v>Véhicules neufs</v>
      </c>
      <c r="AQ637" s="487" t="str">
        <f>+VLOOKUP($AJ637,Data_Validation!$A:$D,4,0)</f>
        <v>Camions détail</v>
      </c>
      <c r="AR637" s="487" t="s">
        <v>299</v>
      </c>
      <c r="AS637" s="487" t="str">
        <f>+VLOOKUP($AJ637,Data_Validation!$A:$E,5,0)</f>
        <v>Oui</v>
      </c>
      <c r="AT637" s="904" t="str">
        <f t="shared" si="57"/>
        <v>G42602</v>
      </c>
      <c r="AU637" s="488" t="str">
        <f t="shared" si="58"/>
        <v>VENTES GMC CANYON</v>
      </c>
      <c r="AV637" s="899">
        <f>IFERROR(INDEX(V637:AG637,1,MATCH(Parametres!$B$3,V$1:AG$1,0)-1)*IF(OR(C637="L",C637="S",C637="I"),-1,1),"")</f>
        <v>2</v>
      </c>
      <c r="AW637" s="899">
        <f t="shared" si="59"/>
        <v>1</v>
      </c>
      <c r="AX637" s="899">
        <f>INDEX(V637:AG637,1,MATCH(Parametres!$B$3,V$1:AG$1,0))*IF(OR(C637="L",C637="S",C637="I"),-1,1)</f>
        <v>3</v>
      </c>
      <c r="AY637" s="487" t="s">
        <v>337</v>
      </c>
      <c r="AZ637" s="487" t="str">
        <f>+VLOOKUP($AJ637,Data_Validation!$A:$E,5,0)</f>
        <v>Oui</v>
      </c>
    </row>
    <row r="638" spans="1:52" ht="15" customHeight="1">
      <c r="A638" s="706" t="s">
        <v>1148</v>
      </c>
      <c r="B638" s="706">
        <v>2026</v>
      </c>
      <c r="C638" s="706" t="s">
        <v>2310</v>
      </c>
      <c r="D638" s="706" t="s">
        <v>2311</v>
      </c>
      <c r="E638" s="706" t="s">
        <v>1149</v>
      </c>
      <c r="F638" s="706" t="s">
        <v>1149</v>
      </c>
      <c r="G638" s="706">
        <v>46340</v>
      </c>
      <c r="H638" s="706">
        <v>97633</v>
      </c>
      <c r="I638" s="706">
        <v>97633</v>
      </c>
      <c r="J638" s="706">
        <v>245035.39</v>
      </c>
      <c r="K638" s="706">
        <v>300989.39</v>
      </c>
      <c r="L638" s="706">
        <v>300989.39</v>
      </c>
      <c r="M638" s="706">
        <v>300989.39</v>
      </c>
      <c r="N638" s="706">
        <v>357986.39</v>
      </c>
      <c r="O638" s="706">
        <v>357986.39</v>
      </c>
      <c r="P638" s="706">
        <v>0</v>
      </c>
      <c r="Q638" s="706">
        <v>0</v>
      </c>
      <c r="R638" s="706">
        <v>0</v>
      </c>
      <c r="S638" s="706">
        <v>44748.3</v>
      </c>
      <c r="T638" s="706">
        <v>44748.3</v>
      </c>
      <c r="U638" s="706">
        <v>0</v>
      </c>
      <c r="V638" s="706">
        <v>1</v>
      </c>
      <c r="W638" s="706">
        <v>2</v>
      </c>
      <c r="X638" s="706">
        <v>2</v>
      </c>
      <c r="Y638" s="706">
        <v>5</v>
      </c>
      <c r="Z638" s="706">
        <v>6</v>
      </c>
      <c r="AA638" s="706">
        <v>6</v>
      </c>
      <c r="AB638" s="706">
        <v>6</v>
      </c>
      <c r="AC638" s="706">
        <v>7</v>
      </c>
      <c r="AD638" s="706">
        <v>7</v>
      </c>
      <c r="AE638" s="706">
        <v>0</v>
      </c>
      <c r="AF638" s="706">
        <v>0</v>
      </c>
      <c r="AG638" s="706">
        <v>0</v>
      </c>
      <c r="AH638" s="706">
        <v>1</v>
      </c>
      <c r="AI638" s="706">
        <v>1</v>
      </c>
      <c r="AJ638" s="905" t="str">
        <f t="shared" si="60"/>
        <v>G42612</v>
      </c>
      <c r="AK638" s="905" t="str">
        <f t="shared" si="61"/>
        <v>VTES-BUICK ENVISION</v>
      </c>
      <c r="AL638" s="905">
        <f>IFERROR(INDEX(G638:R638,1,MATCH(Parametres!$B$3,G$1:R$1,0)-1)*IF(OR(F638="L",F638="S",F638="I"),-1,1),"")</f>
        <v>-300989.39</v>
      </c>
      <c r="AM638" s="905">
        <f t="shared" si="56"/>
        <v>-56997</v>
      </c>
      <c r="AN638" s="905">
        <f>INDEX(G638:R638,1,MATCH(Parametres!$B$3,G$1:R$1,0))*IF(OR(F638="L",F638="S",F638="I"),-1,1)</f>
        <v>-357986.39</v>
      </c>
      <c r="AO638" s="487" t="str">
        <f>+VLOOKUP($AJ638,Data_Validation!$A:$D,1,0)</f>
        <v>G42612</v>
      </c>
      <c r="AP638" s="487" t="str">
        <f>+VLOOKUP($AJ638,Data_Validation!$A:$D,3,0)</f>
        <v>Véhicules neufs</v>
      </c>
      <c r="AQ638" s="487" t="str">
        <f>+VLOOKUP($AJ638,Data_Validation!$A:$D,4,0)</f>
        <v>Camions détail</v>
      </c>
      <c r="AR638" s="487" t="s">
        <v>299</v>
      </c>
      <c r="AS638" s="487" t="str">
        <f>+VLOOKUP($AJ638,Data_Validation!$A:$E,5,0)</f>
        <v>Oui</v>
      </c>
      <c r="AT638" s="904" t="str">
        <f t="shared" si="57"/>
        <v>G42612</v>
      </c>
      <c r="AU638" s="488" t="str">
        <f t="shared" si="58"/>
        <v>VTES-BUICK ENVISION</v>
      </c>
      <c r="AV638" s="899">
        <f>IFERROR(INDEX(V638:AG638,1,MATCH(Parametres!$B$3,V$1:AG$1,0)-1)*IF(OR(C638="L",C638="S",C638="I"),-1,1),"")</f>
        <v>6</v>
      </c>
      <c r="AW638" s="899">
        <f t="shared" si="59"/>
        <v>1</v>
      </c>
      <c r="AX638" s="899">
        <f>INDEX(V638:AG638,1,MATCH(Parametres!$B$3,V$1:AG$1,0))*IF(OR(C638="L",C638="S",C638="I"),-1,1)</f>
        <v>7</v>
      </c>
      <c r="AY638" s="487" t="s">
        <v>337</v>
      </c>
      <c r="AZ638" s="487" t="str">
        <f>+VLOOKUP($AJ638,Data_Validation!$A:$E,5,0)</f>
        <v>Oui</v>
      </c>
    </row>
    <row r="639" spans="1:52" ht="15" customHeight="1">
      <c r="A639" s="706" t="s">
        <v>1148</v>
      </c>
      <c r="B639" s="706">
        <v>2026</v>
      </c>
      <c r="C639" s="706" t="s">
        <v>2312</v>
      </c>
      <c r="D639" s="706" t="s">
        <v>2313</v>
      </c>
      <c r="E639" s="706" t="s">
        <v>1149</v>
      </c>
      <c r="F639" s="706" t="s">
        <v>1149</v>
      </c>
      <c r="G639" s="706">
        <v>0</v>
      </c>
      <c r="H639" s="706">
        <v>0</v>
      </c>
      <c r="I639" s="706">
        <v>69622.98</v>
      </c>
      <c r="J639" s="706">
        <v>205199.02</v>
      </c>
      <c r="K639" s="706">
        <v>238124.56</v>
      </c>
      <c r="L639" s="706">
        <v>341374.39</v>
      </c>
      <c r="M639" s="706">
        <v>377507.42</v>
      </c>
      <c r="N639" s="706">
        <v>377507.42</v>
      </c>
      <c r="O639" s="706">
        <v>410902.47</v>
      </c>
      <c r="P639" s="706">
        <v>0</v>
      </c>
      <c r="Q639" s="706">
        <v>0</v>
      </c>
      <c r="R639" s="706">
        <v>0</v>
      </c>
      <c r="S639" s="706">
        <v>47188.43</v>
      </c>
      <c r="T639" s="706">
        <v>47188.43</v>
      </c>
      <c r="U639" s="706">
        <v>0</v>
      </c>
      <c r="V639" s="706">
        <v>0</v>
      </c>
      <c r="W639" s="706">
        <v>0</v>
      </c>
      <c r="X639" s="706">
        <v>2</v>
      </c>
      <c r="Y639" s="706">
        <v>6</v>
      </c>
      <c r="Z639" s="706">
        <v>7</v>
      </c>
      <c r="AA639" s="706">
        <v>10</v>
      </c>
      <c r="AB639" s="706">
        <v>11</v>
      </c>
      <c r="AC639" s="706">
        <v>11</v>
      </c>
      <c r="AD639" s="706">
        <v>12</v>
      </c>
      <c r="AE639" s="706">
        <v>0</v>
      </c>
      <c r="AF639" s="706">
        <v>0</v>
      </c>
      <c r="AG639" s="706">
        <v>0</v>
      </c>
      <c r="AH639" s="706">
        <v>1</v>
      </c>
      <c r="AI639" s="706">
        <v>1</v>
      </c>
      <c r="AJ639" s="905" t="str">
        <f t="shared" si="60"/>
        <v>G42613</v>
      </c>
      <c r="AK639" s="905" t="str">
        <f t="shared" si="61"/>
        <v>VTES-BUICK ENVISTA</v>
      </c>
      <c r="AL639" s="905">
        <f>IFERROR(INDEX(G639:R639,1,MATCH(Parametres!$B$3,G$1:R$1,0)-1)*IF(OR(F639="L",F639="S",F639="I"),-1,1),"")</f>
        <v>-377507.42</v>
      </c>
      <c r="AM639" s="905">
        <f t="shared" si="56"/>
        <v>0</v>
      </c>
      <c r="AN639" s="905">
        <f>INDEX(G639:R639,1,MATCH(Parametres!$B$3,G$1:R$1,0))*IF(OR(F639="L",F639="S",F639="I"),-1,1)</f>
        <v>-377507.42</v>
      </c>
      <c r="AO639" s="487" t="str">
        <f>+VLOOKUP($AJ639,Data_Validation!$A:$D,1,0)</f>
        <v>G42613</v>
      </c>
      <c r="AP639" s="487" t="str">
        <f>+VLOOKUP($AJ639,Data_Validation!$A:$D,3,0)</f>
        <v>Véhicules neufs</v>
      </c>
      <c r="AQ639" s="487" t="str">
        <f>+VLOOKUP($AJ639,Data_Validation!$A:$D,4,0)</f>
        <v>Camions détail</v>
      </c>
      <c r="AR639" s="487" t="s">
        <v>299</v>
      </c>
      <c r="AS639" s="487" t="str">
        <f>+VLOOKUP($AJ639,Data_Validation!$A:$E,5,0)</f>
        <v>Oui</v>
      </c>
      <c r="AT639" s="904" t="str">
        <f t="shared" si="57"/>
        <v>G42613</v>
      </c>
      <c r="AU639" s="488" t="str">
        <f t="shared" si="58"/>
        <v>VTES-BUICK ENVISTA</v>
      </c>
      <c r="AV639" s="899">
        <f>IFERROR(INDEX(V639:AG639,1,MATCH(Parametres!$B$3,V$1:AG$1,0)-1)*IF(OR(C639="L",C639="S",C639="I"),-1,1),"")</f>
        <v>11</v>
      </c>
      <c r="AW639" s="899">
        <f t="shared" si="59"/>
        <v>0</v>
      </c>
      <c r="AX639" s="899">
        <f>INDEX(V639:AG639,1,MATCH(Parametres!$B$3,V$1:AG$1,0))*IF(OR(C639="L",C639="S",C639="I"),-1,1)</f>
        <v>11</v>
      </c>
      <c r="AY639" s="487" t="s">
        <v>337</v>
      </c>
      <c r="AZ639" s="487" t="str">
        <f>+VLOOKUP($AJ639,Data_Validation!$A:$E,5,0)</f>
        <v>Oui</v>
      </c>
    </row>
    <row r="640" spans="1:52" ht="15" customHeight="1">
      <c r="A640" s="706" t="s">
        <v>1148</v>
      </c>
      <c r="B640" s="706">
        <v>2026</v>
      </c>
      <c r="C640" s="706" t="s">
        <v>2314</v>
      </c>
      <c r="D640" s="706" t="s">
        <v>2315</v>
      </c>
      <c r="E640" s="706" t="s">
        <v>1149</v>
      </c>
      <c r="F640" s="706" t="s">
        <v>1149</v>
      </c>
      <c r="G640" s="706">
        <v>0</v>
      </c>
      <c r="H640" s="706">
        <v>0</v>
      </c>
      <c r="I640" s="706">
        <v>0</v>
      </c>
      <c r="J640" s="706">
        <v>0</v>
      </c>
      <c r="K640" s="706">
        <v>0</v>
      </c>
      <c r="L640" s="706">
        <v>0</v>
      </c>
      <c r="M640" s="706">
        <v>0</v>
      </c>
      <c r="N640" s="706">
        <v>0</v>
      </c>
      <c r="O640" s="706">
        <v>0</v>
      </c>
      <c r="P640" s="706">
        <v>0</v>
      </c>
      <c r="Q640" s="706">
        <v>0</v>
      </c>
      <c r="R640" s="706">
        <v>0</v>
      </c>
      <c r="S640" s="706">
        <v>0</v>
      </c>
      <c r="T640" s="706">
        <v>0</v>
      </c>
      <c r="U640" s="706">
        <v>0</v>
      </c>
      <c r="V640" s="706">
        <v>0</v>
      </c>
      <c r="W640" s="706">
        <v>0</v>
      </c>
      <c r="X640" s="706">
        <v>0</v>
      </c>
      <c r="Y640" s="706">
        <v>0</v>
      </c>
      <c r="Z640" s="706">
        <v>0</v>
      </c>
      <c r="AA640" s="706">
        <v>0</v>
      </c>
      <c r="AB640" s="706">
        <v>0</v>
      </c>
      <c r="AC640" s="706">
        <v>0</v>
      </c>
      <c r="AD640" s="706">
        <v>0</v>
      </c>
      <c r="AE640" s="706">
        <v>0</v>
      </c>
      <c r="AF640" s="706">
        <v>0</v>
      </c>
      <c r="AG640" s="706">
        <v>0</v>
      </c>
      <c r="AH640" s="706">
        <v>0</v>
      </c>
      <c r="AI640" s="706">
        <v>0</v>
      </c>
      <c r="AJ640" s="905" t="str">
        <f t="shared" si="60"/>
        <v>G42620</v>
      </c>
      <c r="AK640" s="905" t="str">
        <f t="shared" si="61"/>
        <v>VTES-SPICK/COLORDO   -LOC</v>
      </c>
      <c r="AL640" s="905">
        <f>IFERROR(INDEX(G640:R640,1,MATCH(Parametres!$B$3,G$1:R$1,0)-1)*IF(OR(F640="L",F640="S",F640="I"),-1,1),"")</f>
        <v>0</v>
      </c>
      <c r="AM640" s="905">
        <f t="shared" si="56"/>
        <v>0</v>
      </c>
      <c r="AN640" s="905">
        <f>INDEX(G640:R640,1,MATCH(Parametres!$B$3,G$1:R$1,0))*IF(OR(F640="L",F640="S",F640="I"),-1,1)</f>
        <v>0</v>
      </c>
      <c r="AO640" s="487" t="e">
        <f>+VLOOKUP($AJ640,Data_Validation!$A:$D,1,0)</f>
        <v>#N/A</v>
      </c>
      <c r="AP640" s="487" t="e">
        <f>+VLOOKUP($AJ640,Data_Validation!$A:$D,3,0)</f>
        <v>#N/A</v>
      </c>
      <c r="AQ640" s="487" t="e">
        <f>+VLOOKUP($AJ640,Data_Validation!$A:$D,4,0)</f>
        <v>#N/A</v>
      </c>
      <c r="AR640" s="487" t="s">
        <v>299</v>
      </c>
      <c r="AS640" s="487" t="e">
        <f>+VLOOKUP($AJ640,Data_Validation!$A:$E,5,0)</f>
        <v>#N/A</v>
      </c>
      <c r="AT640" s="904" t="str">
        <f t="shared" si="57"/>
        <v>G42620</v>
      </c>
      <c r="AU640" s="488" t="str">
        <f t="shared" si="58"/>
        <v>VTES-SPICK/COLORDO   -LOC</v>
      </c>
      <c r="AV640" s="899">
        <f>IFERROR(INDEX(V640:AG640,1,MATCH(Parametres!$B$3,V$1:AG$1,0)-1)*IF(OR(C640="L",C640="S",C640="I"),-1,1),"")</f>
        <v>0</v>
      </c>
      <c r="AW640" s="899">
        <f t="shared" si="59"/>
        <v>0</v>
      </c>
      <c r="AX640" s="899">
        <f>INDEX(V640:AG640,1,MATCH(Parametres!$B$3,V$1:AG$1,0))*IF(OR(C640="L",C640="S",C640="I"),-1,1)</f>
        <v>0</v>
      </c>
      <c r="AY640" s="487" t="s">
        <v>337</v>
      </c>
      <c r="AZ640" s="487" t="e">
        <f>+VLOOKUP($AJ640,Data_Validation!$A:$E,5,0)</f>
        <v>#N/A</v>
      </c>
    </row>
    <row r="641" spans="1:52" ht="15" customHeight="1">
      <c r="A641" s="706" t="s">
        <v>1148</v>
      </c>
      <c r="B641" s="706">
        <v>2026</v>
      </c>
      <c r="C641" s="706" t="s">
        <v>2316</v>
      </c>
      <c r="D641" s="706" t="s">
        <v>2317</v>
      </c>
      <c r="E641" s="706" t="s">
        <v>1149</v>
      </c>
      <c r="F641" s="706" t="s">
        <v>1149</v>
      </c>
      <c r="G641" s="706">
        <v>62388</v>
      </c>
      <c r="H641" s="706">
        <v>120522.54</v>
      </c>
      <c r="I641" s="706">
        <v>120522.54</v>
      </c>
      <c r="J641" s="706">
        <v>182683.54</v>
      </c>
      <c r="K641" s="706">
        <v>252626.54</v>
      </c>
      <c r="L641" s="706">
        <v>311964.53999999998</v>
      </c>
      <c r="M641" s="706">
        <v>516521.54</v>
      </c>
      <c r="N641" s="706">
        <v>516521.54</v>
      </c>
      <c r="O641" s="706">
        <v>570870.82999999996</v>
      </c>
      <c r="P641" s="706">
        <v>0</v>
      </c>
      <c r="Q641" s="706">
        <v>0</v>
      </c>
      <c r="R641" s="706">
        <v>0</v>
      </c>
      <c r="S641" s="706">
        <v>64565.19</v>
      </c>
      <c r="T641" s="706">
        <v>64565.19</v>
      </c>
      <c r="U641" s="706">
        <v>0</v>
      </c>
      <c r="V641" s="706">
        <v>1</v>
      </c>
      <c r="W641" s="706">
        <v>2</v>
      </c>
      <c r="X641" s="706">
        <v>2</v>
      </c>
      <c r="Y641" s="706">
        <v>3</v>
      </c>
      <c r="Z641" s="706">
        <v>4</v>
      </c>
      <c r="AA641" s="706">
        <v>5</v>
      </c>
      <c r="AB641" s="706">
        <v>8</v>
      </c>
      <c r="AC641" s="706">
        <v>8</v>
      </c>
      <c r="AD641" s="706">
        <v>9</v>
      </c>
      <c r="AE641" s="706">
        <v>0</v>
      </c>
      <c r="AF641" s="706">
        <v>0</v>
      </c>
      <c r="AG641" s="706">
        <v>0</v>
      </c>
      <c r="AH641" s="706">
        <v>1</v>
      </c>
      <c r="AI641" s="706">
        <v>1</v>
      </c>
      <c r="AJ641" s="905" t="str">
        <f t="shared" si="60"/>
        <v>G42700</v>
      </c>
      <c r="AK641" s="905" t="str">
        <f t="shared" si="61"/>
        <v>VTES-TRAVERSE</v>
      </c>
      <c r="AL641" s="905">
        <f>IFERROR(INDEX(G641:R641,1,MATCH(Parametres!$B$3,G$1:R$1,0)-1)*IF(OR(F641="L",F641="S",F641="I"),-1,1),"")</f>
        <v>-516521.54</v>
      </c>
      <c r="AM641" s="1047">
        <f t="shared" si="56"/>
        <v>0</v>
      </c>
      <c r="AN641" s="905">
        <f>INDEX(G641:R641,1,MATCH(Parametres!$B$3,G$1:R$1,0))*IF(OR(F641="L",F641="S",F641="I"),-1,1)</f>
        <v>-516521.54</v>
      </c>
      <c r="AO641" s="487" t="str">
        <f>+VLOOKUP($AJ641,Data_Validation!$A:$D,1,0)</f>
        <v>G42700</v>
      </c>
      <c r="AP641" s="487" t="str">
        <f>+VLOOKUP($AJ641,Data_Validation!$A:$D,3,0)</f>
        <v>Véhicules neufs</v>
      </c>
      <c r="AQ641" s="487" t="str">
        <f>+VLOOKUP($AJ641,Data_Validation!$A:$D,4,0)</f>
        <v>Camions détail</v>
      </c>
      <c r="AR641" s="487" t="s">
        <v>299</v>
      </c>
      <c r="AS641" s="487" t="str">
        <f>+VLOOKUP($AJ641,Data_Validation!$A:$E,5,0)</f>
        <v>Oui</v>
      </c>
      <c r="AT641" s="904" t="str">
        <f t="shared" si="57"/>
        <v>G42700</v>
      </c>
      <c r="AU641" s="488" t="str">
        <f t="shared" si="58"/>
        <v>VTES-TRAVERSE</v>
      </c>
      <c r="AV641" s="899">
        <f>IFERROR(INDEX(V641:AG641,1,MATCH(Parametres!$B$3,V$1:AG$1,0)-1)*IF(OR(C641="L",C641="S",C641="I"),-1,1),"")</f>
        <v>8</v>
      </c>
      <c r="AW641" s="899">
        <f t="shared" si="59"/>
        <v>0</v>
      </c>
      <c r="AX641" s="899">
        <f>INDEX(V641:AG641,1,MATCH(Parametres!$B$3,V$1:AG$1,0))*IF(OR(C641="L",C641="S",C641="I"),-1,1)</f>
        <v>8</v>
      </c>
      <c r="AY641" s="487" t="s">
        <v>337</v>
      </c>
      <c r="AZ641" s="487" t="str">
        <f>+VLOOKUP($AJ641,Data_Validation!$A:$E,5,0)</f>
        <v>Oui</v>
      </c>
    </row>
    <row r="642" spans="1:52" ht="15" customHeight="1">
      <c r="A642" s="706" t="s">
        <v>1148</v>
      </c>
      <c r="B642" s="706">
        <v>2026</v>
      </c>
      <c r="C642" s="706" t="s">
        <v>2318</v>
      </c>
      <c r="D642" s="706" t="s">
        <v>2319</v>
      </c>
      <c r="E642" s="706" t="s">
        <v>1149</v>
      </c>
      <c r="F642" s="706" t="s">
        <v>1149</v>
      </c>
      <c r="G642" s="706">
        <v>0</v>
      </c>
      <c r="H642" s="706">
        <v>0</v>
      </c>
      <c r="I642" s="706">
        <v>0</v>
      </c>
      <c r="J642" s="706">
        <v>78598.5</v>
      </c>
      <c r="K642" s="706">
        <v>144076.42000000001</v>
      </c>
      <c r="L642" s="706">
        <v>144076.42000000001</v>
      </c>
      <c r="M642" s="706">
        <v>144076.42000000001</v>
      </c>
      <c r="N642" s="706">
        <v>144076.42000000001</v>
      </c>
      <c r="O642" s="706">
        <v>144076.42000000001</v>
      </c>
      <c r="P642" s="706">
        <v>0</v>
      </c>
      <c r="Q642" s="706">
        <v>0</v>
      </c>
      <c r="R642" s="706">
        <v>0</v>
      </c>
      <c r="S642" s="706">
        <v>18009.55</v>
      </c>
      <c r="T642" s="706">
        <v>18009.55</v>
      </c>
      <c r="U642" s="706">
        <v>0</v>
      </c>
      <c r="V642" s="706">
        <v>0</v>
      </c>
      <c r="W642" s="706">
        <v>0</v>
      </c>
      <c r="X642" s="706">
        <v>0</v>
      </c>
      <c r="Y642" s="706">
        <v>1</v>
      </c>
      <c r="Z642" s="706">
        <v>2</v>
      </c>
      <c r="AA642" s="706">
        <v>2</v>
      </c>
      <c r="AB642" s="706">
        <v>2</v>
      </c>
      <c r="AC642" s="706">
        <v>2</v>
      </c>
      <c r="AD642" s="706">
        <v>2</v>
      </c>
      <c r="AE642" s="706">
        <v>0</v>
      </c>
      <c r="AF642" s="706">
        <v>0</v>
      </c>
      <c r="AG642" s="706">
        <v>0</v>
      </c>
      <c r="AH642" s="706">
        <v>0</v>
      </c>
      <c r="AI642" s="706">
        <v>0</v>
      </c>
      <c r="AJ642" s="905" t="str">
        <f t="shared" si="60"/>
        <v>G42800</v>
      </c>
      <c r="AK642" s="905" t="str">
        <f t="shared" si="61"/>
        <v>VENTES BUICK ENCLAVE</v>
      </c>
      <c r="AL642" s="905">
        <f>IFERROR(INDEX(G642:R642,1,MATCH(Parametres!$B$3,G$1:R$1,0)-1)*IF(OR(F642="L",F642="S",F642="I"),-1,1),"")</f>
        <v>-144076.42000000001</v>
      </c>
      <c r="AM642" s="905">
        <f t="shared" si="56"/>
        <v>0</v>
      </c>
      <c r="AN642" s="905">
        <f>INDEX(G642:R642,1,MATCH(Parametres!$B$3,G$1:R$1,0))*IF(OR(F642="L",F642="S",F642="I"),-1,1)</f>
        <v>-144076.42000000001</v>
      </c>
      <c r="AO642" s="487" t="str">
        <f>+VLOOKUP($AJ642,Data_Validation!$A:$D,1,0)</f>
        <v>G42800</v>
      </c>
      <c r="AP642" s="487" t="str">
        <f>+VLOOKUP($AJ642,Data_Validation!$A:$D,3,0)</f>
        <v>Véhicules neufs</v>
      </c>
      <c r="AQ642" s="487" t="str">
        <f>+VLOOKUP($AJ642,Data_Validation!$A:$D,4,0)</f>
        <v>Camions détail</v>
      </c>
      <c r="AR642" s="487" t="s">
        <v>299</v>
      </c>
      <c r="AS642" s="487" t="str">
        <f>+VLOOKUP($AJ642,Data_Validation!$A:$E,5,0)</f>
        <v>Oui</v>
      </c>
      <c r="AT642" s="904" t="str">
        <f t="shared" si="57"/>
        <v>G42800</v>
      </c>
      <c r="AU642" s="488" t="str">
        <f t="shared" si="58"/>
        <v>VENTES BUICK ENCLAVE</v>
      </c>
      <c r="AV642" s="899">
        <f>IFERROR(INDEX(V642:AG642,1,MATCH(Parametres!$B$3,V$1:AG$1,0)-1)*IF(OR(C642="L",C642="S",C642="I"),-1,1),"")</f>
        <v>2</v>
      </c>
      <c r="AW642" s="899">
        <f t="shared" si="59"/>
        <v>0</v>
      </c>
      <c r="AX642" s="899">
        <f>INDEX(V642:AG642,1,MATCH(Parametres!$B$3,V$1:AG$1,0))*IF(OR(C642="L",C642="S",C642="I"),-1,1)</f>
        <v>2</v>
      </c>
      <c r="AY642" s="487" t="s">
        <v>337</v>
      </c>
      <c r="AZ642" s="487" t="str">
        <f>+VLOOKUP($AJ642,Data_Validation!$A:$E,5,0)</f>
        <v>Oui</v>
      </c>
    </row>
    <row r="643" spans="1:52" ht="15" customHeight="1">
      <c r="A643" s="706" t="s">
        <v>1148</v>
      </c>
      <c r="B643" s="706">
        <v>2026</v>
      </c>
      <c r="C643" s="706" t="s">
        <v>2320</v>
      </c>
      <c r="D643" s="706" t="s">
        <v>2321</v>
      </c>
      <c r="E643" s="706" t="s">
        <v>1149</v>
      </c>
      <c r="F643" s="706" t="s">
        <v>1149</v>
      </c>
      <c r="G643" s="706">
        <v>39888.67</v>
      </c>
      <c r="H643" s="706">
        <v>73703.41</v>
      </c>
      <c r="I643" s="706">
        <v>73703.41</v>
      </c>
      <c r="J643" s="706">
        <v>112838.66</v>
      </c>
      <c r="K643" s="706">
        <v>112838.66</v>
      </c>
      <c r="L643" s="706">
        <v>186623.41</v>
      </c>
      <c r="M643" s="706">
        <v>186623.41</v>
      </c>
      <c r="N643" s="706">
        <v>224877.41</v>
      </c>
      <c r="O643" s="706">
        <v>299823.40999999997</v>
      </c>
      <c r="P643" s="706">
        <v>0</v>
      </c>
      <c r="Q643" s="706">
        <v>0</v>
      </c>
      <c r="R643" s="706">
        <v>0</v>
      </c>
      <c r="S643" s="706">
        <v>28109.68</v>
      </c>
      <c r="T643" s="706">
        <v>28109.68</v>
      </c>
      <c r="U643" s="706">
        <v>0</v>
      </c>
      <c r="V643" s="706">
        <v>1</v>
      </c>
      <c r="W643" s="706">
        <v>2</v>
      </c>
      <c r="X643" s="706">
        <v>2</v>
      </c>
      <c r="Y643" s="706">
        <v>3</v>
      </c>
      <c r="Z643" s="706">
        <v>3</v>
      </c>
      <c r="AA643" s="706">
        <v>5</v>
      </c>
      <c r="AB643" s="706">
        <v>5</v>
      </c>
      <c r="AC643" s="706">
        <v>6</v>
      </c>
      <c r="AD643" s="706">
        <v>8</v>
      </c>
      <c r="AE643" s="706">
        <v>0</v>
      </c>
      <c r="AF643" s="706">
        <v>0</v>
      </c>
      <c r="AG643" s="706">
        <v>0</v>
      </c>
      <c r="AH643" s="706">
        <v>1</v>
      </c>
      <c r="AI643" s="706">
        <v>1</v>
      </c>
      <c r="AJ643" s="905" t="str">
        <f t="shared" si="60"/>
        <v>G42804</v>
      </c>
      <c r="AK643" s="905" t="str">
        <f t="shared" si="61"/>
        <v>VENTE BUICK ENCORE</v>
      </c>
      <c r="AL643" s="905">
        <f>IFERROR(INDEX(G643:R643,1,MATCH(Parametres!$B$3,G$1:R$1,0)-1)*IF(OR(F643="L",F643="S",F643="I"),-1,1),"")</f>
        <v>-186623.41</v>
      </c>
      <c r="AM643" s="905">
        <f t="shared" si="56"/>
        <v>-38254</v>
      </c>
      <c r="AN643" s="905">
        <f>INDEX(G643:R643,1,MATCH(Parametres!$B$3,G$1:R$1,0))*IF(OR(F643="L",F643="S",F643="I"),-1,1)</f>
        <v>-224877.41</v>
      </c>
      <c r="AO643" s="487" t="str">
        <f>+VLOOKUP($AJ643,Data_Validation!$A:$D,1,0)</f>
        <v>G42804</v>
      </c>
      <c r="AP643" s="487" t="str">
        <f>+VLOOKUP($AJ643,Data_Validation!$A:$D,3,0)</f>
        <v>Véhicules neufs</v>
      </c>
      <c r="AQ643" s="487" t="str">
        <f>+VLOOKUP($AJ643,Data_Validation!$A:$D,4,0)</f>
        <v>Camions détail</v>
      </c>
      <c r="AR643" s="487" t="s">
        <v>299</v>
      </c>
      <c r="AS643" s="487" t="str">
        <f>+VLOOKUP($AJ643,Data_Validation!$A:$E,5,0)</f>
        <v>Oui</v>
      </c>
      <c r="AT643" s="904" t="str">
        <f t="shared" si="57"/>
        <v>G42804</v>
      </c>
      <c r="AU643" s="488" t="str">
        <f t="shared" si="58"/>
        <v>VENTE BUICK ENCORE</v>
      </c>
      <c r="AV643" s="899">
        <f>IFERROR(INDEX(V643:AG643,1,MATCH(Parametres!$B$3,V$1:AG$1,0)-1)*IF(OR(C643="L",C643="S",C643="I"),-1,1),"")</f>
        <v>5</v>
      </c>
      <c r="AW643" s="899">
        <f t="shared" si="59"/>
        <v>1</v>
      </c>
      <c r="AX643" s="899">
        <f>INDEX(V643:AG643,1,MATCH(Parametres!$B$3,V$1:AG$1,0))*IF(OR(C643="L",C643="S",C643="I"),-1,1)</f>
        <v>6</v>
      </c>
      <c r="AY643" s="487" t="s">
        <v>337</v>
      </c>
      <c r="AZ643" s="487" t="str">
        <f>+VLOOKUP($AJ643,Data_Validation!$A:$E,5,0)</f>
        <v>Oui</v>
      </c>
    </row>
    <row r="644" spans="1:52" ht="15" customHeight="1">
      <c r="A644" s="706" t="s">
        <v>1148</v>
      </c>
      <c r="B644" s="706">
        <v>2026</v>
      </c>
      <c r="C644" s="706" t="s">
        <v>2322</v>
      </c>
      <c r="D644" s="706" t="s">
        <v>2323</v>
      </c>
      <c r="E644" s="706" t="s">
        <v>1149</v>
      </c>
      <c r="F644" s="706" t="s">
        <v>1149</v>
      </c>
      <c r="G644" s="706">
        <v>0</v>
      </c>
      <c r="H644" s="706">
        <v>0</v>
      </c>
      <c r="I644" s="706">
        <v>0</v>
      </c>
      <c r="J644" s="706">
        <v>0</v>
      </c>
      <c r="K644" s="706">
        <v>0</v>
      </c>
      <c r="L644" s="706">
        <v>0</v>
      </c>
      <c r="M644" s="706">
        <v>0</v>
      </c>
      <c r="N644" s="706">
        <v>0</v>
      </c>
      <c r="O644" s="706">
        <v>0</v>
      </c>
      <c r="P644" s="706">
        <v>0</v>
      </c>
      <c r="Q644" s="706">
        <v>0</v>
      </c>
      <c r="R644" s="706">
        <v>0</v>
      </c>
      <c r="S644" s="706">
        <v>0</v>
      </c>
      <c r="T644" s="706">
        <v>0</v>
      </c>
      <c r="U644" s="706">
        <v>0</v>
      </c>
      <c r="V644" s="706">
        <v>0</v>
      </c>
      <c r="W644" s="706">
        <v>0</v>
      </c>
      <c r="X644" s="706">
        <v>0</v>
      </c>
      <c r="Y644" s="706">
        <v>0</v>
      </c>
      <c r="Z644" s="706">
        <v>0</v>
      </c>
      <c r="AA644" s="706">
        <v>0</v>
      </c>
      <c r="AB644" s="706">
        <v>0</v>
      </c>
      <c r="AC644" s="706">
        <v>0</v>
      </c>
      <c r="AD644" s="706">
        <v>0</v>
      </c>
      <c r="AE644" s="706">
        <v>0</v>
      </c>
      <c r="AF644" s="706">
        <v>0</v>
      </c>
      <c r="AG644" s="706">
        <v>0</v>
      </c>
      <c r="AH644" s="706">
        <v>0</v>
      </c>
      <c r="AI644" s="706">
        <v>0</v>
      </c>
      <c r="AJ644" s="905" t="str">
        <f t="shared" si="60"/>
        <v>G42820</v>
      </c>
      <c r="AK644" s="905" t="str">
        <f t="shared" si="61"/>
        <v>VTES-TRAIL BALSER/EXT-LOC</v>
      </c>
      <c r="AL644" s="905">
        <f>IFERROR(INDEX(G644:R644,1,MATCH(Parametres!$B$3,G$1:R$1,0)-1)*IF(OR(F644="L",F644="S",F644="I"),-1,1),"")</f>
        <v>0</v>
      </c>
      <c r="AM644" s="905">
        <f t="shared" ref="AM644:AM663" si="62">AN644-AL644</f>
        <v>0</v>
      </c>
      <c r="AN644" s="905">
        <f>INDEX(G644:R644,1,MATCH(Parametres!$B$3,G$1:R$1,0))*IF(OR(F644="L",F644="S",F644="I"),-1,1)</f>
        <v>0</v>
      </c>
      <c r="AO644" s="487" t="e">
        <f>+VLOOKUP($AJ644,Data_Validation!$A:$D,1,0)</f>
        <v>#N/A</v>
      </c>
      <c r="AP644" s="487" t="e">
        <f>+VLOOKUP($AJ644,Data_Validation!$A:$D,3,0)</f>
        <v>#N/A</v>
      </c>
      <c r="AQ644" s="487" t="e">
        <f>+VLOOKUP($AJ644,Data_Validation!$A:$D,4,0)</f>
        <v>#N/A</v>
      </c>
      <c r="AR644" s="487" t="s">
        <v>299</v>
      </c>
      <c r="AS644" s="487" t="e">
        <f>+VLOOKUP($AJ644,Data_Validation!$A:$E,5,0)</f>
        <v>#N/A</v>
      </c>
      <c r="AT644" s="904" t="str">
        <f t="shared" ref="AT644:AT663" si="63">C644</f>
        <v>G42820</v>
      </c>
      <c r="AU644" s="488" t="str">
        <f t="shared" ref="AU644:AU663" si="64">D644</f>
        <v>VTES-TRAIL BALSER/EXT-LOC</v>
      </c>
      <c r="AV644" s="899">
        <f>IFERROR(INDEX(V644:AG644,1,MATCH(Parametres!$B$3,V$1:AG$1,0)-1)*IF(OR(C644="L",C644="S",C644="I"),-1,1),"")</f>
        <v>0</v>
      </c>
      <c r="AW644" s="899">
        <f t="shared" ref="AW644:AW663" si="65">AX644-AV644</f>
        <v>0</v>
      </c>
      <c r="AX644" s="899">
        <f>INDEX(V644:AG644,1,MATCH(Parametres!$B$3,V$1:AG$1,0))*IF(OR(C644="L",C644="S",C644="I"),-1,1)</f>
        <v>0</v>
      </c>
      <c r="AY644" s="487" t="s">
        <v>337</v>
      </c>
      <c r="AZ644" s="487" t="e">
        <f>+VLOOKUP($AJ644,Data_Validation!$A:$E,5,0)</f>
        <v>#N/A</v>
      </c>
    </row>
    <row r="645" spans="1:52" ht="15" customHeight="1">
      <c r="A645" s="706" t="s">
        <v>1148</v>
      </c>
      <c r="B645" s="706">
        <v>2026</v>
      </c>
      <c r="C645" s="706" t="s">
        <v>2324</v>
      </c>
      <c r="D645" s="706" t="s">
        <v>2325</v>
      </c>
      <c r="E645" s="706" t="s">
        <v>1149</v>
      </c>
      <c r="F645" s="706" t="s">
        <v>1149</v>
      </c>
      <c r="G645" s="706">
        <v>168379.09</v>
      </c>
      <c r="H645" s="706">
        <v>262448.33</v>
      </c>
      <c r="I645" s="706">
        <v>360576.65</v>
      </c>
      <c r="J645" s="706">
        <v>483517.66</v>
      </c>
      <c r="K645" s="706">
        <v>549168.63</v>
      </c>
      <c r="L645" s="706">
        <v>579311.63</v>
      </c>
      <c r="M645" s="706">
        <v>739326.38</v>
      </c>
      <c r="N645" s="706">
        <v>828032.88</v>
      </c>
      <c r="O645" s="706">
        <v>895476.88</v>
      </c>
      <c r="P645" s="706">
        <v>0</v>
      </c>
      <c r="Q645" s="706">
        <v>0</v>
      </c>
      <c r="R645" s="706">
        <v>0</v>
      </c>
      <c r="S645" s="706">
        <v>103504.11</v>
      </c>
      <c r="T645" s="706">
        <v>103504.11</v>
      </c>
      <c r="U645" s="706">
        <v>0</v>
      </c>
      <c r="V645" s="706">
        <v>5</v>
      </c>
      <c r="W645" s="706">
        <v>8</v>
      </c>
      <c r="X645" s="706">
        <v>11</v>
      </c>
      <c r="Y645" s="706">
        <v>15</v>
      </c>
      <c r="Z645" s="706">
        <v>17</v>
      </c>
      <c r="AA645" s="706">
        <v>18</v>
      </c>
      <c r="AB645" s="706">
        <v>23</v>
      </c>
      <c r="AC645" s="706">
        <v>26</v>
      </c>
      <c r="AD645" s="706">
        <v>28</v>
      </c>
      <c r="AE645" s="706">
        <v>0</v>
      </c>
      <c r="AF645" s="706">
        <v>0</v>
      </c>
      <c r="AG645" s="706">
        <v>0</v>
      </c>
      <c r="AH645" s="706">
        <v>3</v>
      </c>
      <c r="AI645" s="706">
        <v>3</v>
      </c>
      <c r="AJ645" s="905" t="str">
        <f t="shared" si="60"/>
        <v>G42850</v>
      </c>
      <c r="AK645" s="905" t="str">
        <f t="shared" si="61"/>
        <v>VENTES CHEVROLET TRAX</v>
      </c>
      <c r="AL645" s="905">
        <f>IFERROR(INDEX(G645:R645,1,MATCH(Parametres!$B$3,G$1:R$1,0)-1)*IF(OR(F645="L",F645="S",F645="I"),-1,1),"")</f>
        <v>-739326.38</v>
      </c>
      <c r="AM645" s="905">
        <f t="shared" si="62"/>
        <v>-88706.5</v>
      </c>
      <c r="AN645" s="905">
        <f>INDEX(G645:R645,1,MATCH(Parametres!$B$3,G$1:R$1,0))*IF(OR(F645="L",F645="S",F645="I"),-1,1)</f>
        <v>-828032.88</v>
      </c>
      <c r="AO645" s="487" t="str">
        <f>+VLOOKUP($AJ645,Data_Validation!$A:$D,1,0)</f>
        <v>G42850</v>
      </c>
      <c r="AP645" s="487" t="str">
        <f>+VLOOKUP($AJ645,Data_Validation!$A:$D,3,0)</f>
        <v>Véhicules neufs</v>
      </c>
      <c r="AQ645" s="487" t="str">
        <f>+VLOOKUP($AJ645,Data_Validation!$A:$D,4,0)</f>
        <v>Camions détail</v>
      </c>
      <c r="AR645" s="487" t="s">
        <v>299</v>
      </c>
      <c r="AS645" s="487" t="str">
        <f>+VLOOKUP($AJ645,Data_Validation!$A:$E,5,0)</f>
        <v>Oui</v>
      </c>
      <c r="AT645" s="904" t="str">
        <f t="shared" si="63"/>
        <v>G42850</v>
      </c>
      <c r="AU645" s="488" t="str">
        <f t="shared" si="64"/>
        <v>VENTES CHEVROLET TRAX</v>
      </c>
      <c r="AV645" s="899">
        <f>IFERROR(INDEX(V645:AG645,1,MATCH(Parametres!$B$3,V$1:AG$1,0)-1)*IF(OR(C645="L",C645="S",C645="I"),-1,1),"")</f>
        <v>23</v>
      </c>
      <c r="AW645" s="899">
        <f t="shared" si="65"/>
        <v>3</v>
      </c>
      <c r="AX645" s="899">
        <f>INDEX(V645:AG645,1,MATCH(Parametres!$B$3,V$1:AG$1,0))*IF(OR(C645="L",C645="S",C645="I"),-1,1)</f>
        <v>26</v>
      </c>
      <c r="AY645" s="487" t="s">
        <v>337</v>
      </c>
      <c r="AZ645" s="487" t="str">
        <f>+VLOOKUP($AJ645,Data_Validation!$A:$E,5,0)</f>
        <v>Oui</v>
      </c>
    </row>
    <row r="646" spans="1:52" ht="15" customHeight="1">
      <c r="A646" s="706" t="s">
        <v>1148</v>
      </c>
      <c r="B646" s="706">
        <v>2026</v>
      </c>
      <c r="C646" s="706" t="s">
        <v>2326</v>
      </c>
      <c r="D646" s="706" t="s">
        <v>2327</v>
      </c>
      <c r="E646" s="706" t="s">
        <v>1149</v>
      </c>
      <c r="F646" s="706" t="s">
        <v>1149</v>
      </c>
      <c r="G646" s="706">
        <v>287291.71999999997</v>
      </c>
      <c r="H646" s="706">
        <v>383345.72</v>
      </c>
      <c r="I646" s="706">
        <v>648665.23</v>
      </c>
      <c r="J646" s="706">
        <v>648665.23</v>
      </c>
      <c r="K646" s="706">
        <v>719273.23</v>
      </c>
      <c r="L646" s="706">
        <v>908769.62</v>
      </c>
      <c r="M646" s="706">
        <v>908769.62</v>
      </c>
      <c r="N646" s="706">
        <v>1007730.36</v>
      </c>
      <c r="O646" s="706">
        <v>1007730.36</v>
      </c>
      <c r="P646" s="706">
        <v>0</v>
      </c>
      <c r="Q646" s="706">
        <v>0</v>
      </c>
      <c r="R646" s="706">
        <v>0</v>
      </c>
      <c r="S646" s="706">
        <v>125966.3</v>
      </c>
      <c r="T646" s="706">
        <v>125966.3</v>
      </c>
      <c r="U646" s="706">
        <v>0</v>
      </c>
      <c r="V646" s="706">
        <v>3</v>
      </c>
      <c r="W646" s="706">
        <v>4</v>
      </c>
      <c r="X646" s="706">
        <v>7</v>
      </c>
      <c r="Y646" s="706">
        <v>7</v>
      </c>
      <c r="Z646" s="706">
        <v>8</v>
      </c>
      <c r="AA646" s="706">
        <v>10</v>
      </c>
      <c r="AB646" s="706">
        <v>10</v>
      </c>
      <c r="AC646" s="706">
        <v>11</v>
      </c>
      <c r="AD646" s="706">
        <v>11</v>
      </c>
      <c r="AE646" s="706">
        <v>0</v>
      </c>
      <c r="AF646" s="706">
        <v>0</v>
      </c>
      <c r="AG646" s="706">
        <v>0</v>
      </c>
      <c r="AH646" s="706">
        <v>1</v>
      </c>
      <c r="AI646" s="706">
        <v>1</v>
      </c>
      <c r="AJ646" s="905" t="str">
        <f t="shared" si="60"/>
        <v>G42900</v>
      </c>
      <c r="AK646" s="905" t="str">
        <f t="shared" si="61"/>
        <v>VTES-TAHOE/SUBURBAN</v>
      </c>
      <c r="AL646" s="905">
        <f>IFERROR(INDEX(G646:R646,1,MATCH(Parametres!$B$3,G$1:R$1,0)-1)*IF(OR(F646="L",F646="S",F646="I"),-1,1),"")</f>
        <v>-908769.62</v>
      </c>
      <c r="AM646" s="905">
        <f t="shared" si="62"/>
        <v>-98960.739999999991</v>
      </c>
      <c r="AN646" s="905">
        <f>INDEX(G646:R646,1,MATCH(Parametres!$B$3,G$1:R$1,0))*IF(OR(F646="L",F646="S",F646="I"),-1,1)</f>
        <v>-1007730.36</v>
      </c>
      <c r="AO646" s="487" t="str">
        <f>+VLOOKUP($AJ646,Data_Validation!$A:$D,1,0)</f>
        <v>G42900</v>
      </c>
      <c r="AP646" s="487" t="str">
        <f>+VLOOKUP($AJ646,Data_Validation!$A:$D,3,0)</f>
        <v>Véhicules neufs</v>
      </c>
      <c r="AQ646" s="487" t="str">
        <f>+VLOOKUP($AJ646,Data_Validation!$A:$D,4,0)</f>
        <v>Camions détail</v>
      </c>
      <c r="AR646" s="487" t="s">
        <v>299</v>
      </c>
      <c r="AS646" s="487" t="str">
        <f>+VLOOKUP($AJ646,Data_Validation!$A:$E,5,0)</f>
        <v>Oui</v>
      </c>
      <c r="AT646" s="904" t="str">
        <f t="shared" si="63"/>
        <v>G42900</v>
      </c>
      <c r="AU646" s="488" t="str">
        <f t="shared" si="64"/>
        <v>VTES-TAHOE/SUBURBAN</v>
      </c>
      <c r="AV646" s="899">
        <f>IFERROR(INDEX(V646:AG646,1,MATCH(Parametres!$B$3,V$1:AG$1,0)-1)*IF(OR(C646="L",C646="S",C646="I"),-1,1),"")</f>
        <v>10</v>
      </c>
      <c r="AW646" s="899">
        <f t="shared" si="65"/>
        <v>1</v>
      </c>
      <c r="AX646" s="899">
        <f>INDEX(V646:AG646,1,MATCH(Parametres!$B$3,V$1:AG$1,0))*IF(OR(C646="L",C646="S",C646="I"),-1,1)</f>
        <v>11</v>
      </c>
      <c r="AY646" s="487" t="s">
        <v>337</v>
      </c>
      <c r="AZ646" s="487" t="str">
        <f>+VLOOKUP($AJ646,Data_Validation!$A:$E,5,0)</f>
        <v>Oui</v>
      </c>
    </row>
    <row r="647" spans="1:52" ht="15" customHeight="1">
      <c r="A647" s="706" t="s">
        <v>1148</v>
      </c>
      <c r="B647" s="706">
        <v>2026</v>
      </c>
      <c r="C647" s="706" t="s">
        <v>2328</v>
      </c>
      <c r="D647" s="706" t="s">
        <v>2329</v>
      </c>
      <c r="E647" s="706" t="s">
        <v>1149</v>
      </c>
      <c r="F647" s="706" t="s">
        <v>1149</v>
      </c>
      <c r="G647" s="706">
        <v>289436.21999999997</v>
      </c>
      <c r="H647" s="706">
        <v>585097.43999999994</v>
      </c>
      <c r="I647" s="706">
        <v>1072442.8400000001</v>
      </c>
      <c r="J647" s="706">
        <v>1373843.79</v>
      </c>
      <c r="K647" s="706">
        <v>1836796.65</v>
      </c>
      <c r="L647" s="706">
        <v>2376096.3199999998</v>
      </c>
      <c r="M647" s="706">
        <v>2681788.81</v>
      </c>
      <c r="N647" s="706">
        <v>2823888.81</v>
      </c>
      <c r="O647" s="706">
        <v>3066554.86</v>
      </c>
      <c r="P647" s="706">
        <v>0</v>
      </c>
      <c r="Q647" s="706">
        <v>0</v>
      </c>
      <c r="R647" s="706">
        <v>0</v>
      </c>
      <c r="S647" s="706">
        <v>352986.1</v>
      </c>
      <c r="T647" s="706">
        <v>352986.1</v>
      </c>
      <c r="U647" s="706">
        <v>0</v>
      </c>
      <c r="V647" s="706">
        <v>4</v>
      </c>
      <c r="W647" s="706">
        <v>8</v>
      </c>
      <c r="X647" s="706">
        <v>14</v>
      </c>
      <c r="Y647" s="706">
        <v>18</v>
      </c>
      <c r="Z647" s="706">
        <v>24</v>
      </c>
      <c r="AA647" s="706">
        <v>31</v>
      </c>
      <c r="AB647" s="706">
        <v>35</v>
      </c>
      <c r="AC647" s="706">
        <v>37</v>
      </c>
      <c r="AD647" s="706">
        <v>40</v>
      </c>
      <c r="AE647" s="706">
        <v>0</v>
      </c>
      <c r="AF647" s="706">
        <v>0</v>
      </c>
      <c r="AG647" s="706">
        <v>0</v>
      </c>
      <c r="AH647" s="706">
        <v>5</v>
      </c>
      <c r="AI647" s="706">
        <v>5</v>
      </c>
      <c r="AJ647" s="905" t="str">
        <f t="shared" si="60"/>
        <v>G43000</v>
      </c>
      <c r="AK647" s="905" t="str">
        <f t="shared" si="61"/>
        <v>VTES-CL 1500 SILVERADO</v>
      </c>
      <c r="AL647" s="905">
        <f>IFERROR(INDEX(G647:R647,1,MATCH(Parametres!$B$3,G$1:R$1,0)-1)*IF(OR(F647="L",F647="S",F647="I"),-1,1),"")</f>
        <v>-2681788.81</v>
      </c>
      <c r="AM647" s="905">
        <f t="shared" si="62"/>
        <v>-142100</v>
      </c>
      <c r="AN647" s="905">
        <f>INDEX(G647:R647,1,MATCH(Parametres!$B$3,G$1:R$1,0))*IF(OR(F647="L",F647="S",F647="I"),-1,1)</f>
        <v>-2823888.81</v>
      </c>
      <c r="AO647" s="487" t="str">
        <f>+VLOOKUP($AJ647,Data_Validation!$A:$D,1,0)</f>
        <v>G43000</v>
      </c>
      <c r="AP647" s="487" t="str">
        <f>+VLOOKUP($AJ647,Data_Validation!$A:$D,3,0)</f>
        <v>Véhicules neufs</v>
      </c>
      <c r="AQ647" s="487" t="str">
        <f>+VLOOKUP($AJ647,Data_Validation!$A:$D,4,0)</f>
        <v>Camions détail</v>
      </c>
      <c r="AR647" s="487" t="s">
        <v>299</v>
      </c>
      <c r="AS647" s="487" t="str">
        <f>+VLOOKUP($AJ647,Data_Validation!$A:$E,5,0)</f>
        <v>Oui</v>
      </c>
      <c r="AT647" s="904" t="str">
        <f t="shared" si="63"/>
        <v>G43000</v>
      </c>
      <c r="AU647" s="488" t="str">
        <f t="shared" si="64"/>
        <v>VTES-CL 1500 SILVERADO</v>
      </c>
      <c r="AV647" s="899">
        <f>IFERROR(INDEX(V647:AG647,1,MATCH(Parametres!$B$3,V$1:AG$1,0)-1)*IF(OR(C647="L",C647="S",C647="I"),-1,1),"")</f>
        <v>35</v>
      </c>
      <c r="AW647" s="899">
        <f t="shared" si="65"/>
        <v>2</v>
      </c>
      <c r="AX647" s="899">
        <f>INDEX(V647:AG647,1,MATCH(Parametres!$B$3,V$1:AG$1,0))*IF(OR(C647="L",C647="S",C647="I"),-1,1)</f>
        <v>37</v>
      </c>
      <c r="AY647" s="487" t="s">
        <v>337</v>
      </c>
      <c r="AZ647" s="487" t="str">
        <f>+VLOOKUP($AJ647,Data_Validation!$A:$E,5,0)</f>
        <v>Oui</v>
      </c>
    </row>
    <row r="648" spans="1:52" ht="15" customHeight="1">
      <c r="A648" s="706" t="s">
        <v>1148</v>
      </c>
      <c r="B648" s="706">
        <v>2026</v>
      </c>
      <c r="C648" s="706" t="s">
        <v>2330</v>
      </c>
      <c r="D648" s="706" t="s">
        <v>2331</v>
      </c>
      <c r="E648" s="706" t="s">
        <v>1149</v>
      </c>
      <c r="F648" s="706" t="s">
        <v>1149</v>
      </c>
      <c r="G648" s="706">
        <v>0</v>
      </c>
      <c r="H648" s="706">
        <v>0</v>
      </c>
      <c r="I648" s="706">
        <v>0</v>
      </c>
      <c r="J648" s="706">
        <v>223630.12</v>
      </c>
      <c r="K648" s="706">
        <v>223630.12</v>
      </c>
      <c r="L648" s="706">
        <v>223630.12</v>
      </c>
      <c r="M648" s="706">
        <v>337598.12</v>
      </c>
      <c r="N648" s="706">
        <v>337598.12</v>
      </c>
      <c r="O648" s="706">
        <v>431610.67</v>
      </c>
      <c r="P648" s="706">
        <v>0</v>
      </c>
      <c r="Q648" s="706">
        <v>0</v>
      </c>
      <c r="R648" s="706">
        <v>0</v>
      </c>
      <c r="S648" s="706">
        <v>42199.77</v>
      </c>
      <c r="T648" s="706">
        <v>42199.77</v>
      </c>
      <c r="U648" s="706">
        <v>0</v>
      </c>
      <c r="V648" s="706">
        <v>0</v>
      </c>
      <c r="W648" s="706">
        <v>0</v>
      </c>
      <c r="X648" s="706">
        <v>0</v>
      </c>
      <c r="Y648" s="706">
        <v>2</v>
      </c>
      <c r="Z648" s="706">
        <v>2</v>
      </c>
      <c r="AA648" s="706">
        <v>2</v>
      </c>
      <c r="AB648" s="706">
        <v>3</v>
      </c>
      <c r="AC648" s="706">
        <v>3</v>
      </c>
      <c r="AD648" s="706">
        <v>4</v>
      </c>
      <c r="AE648" s="706">
        <v>0</v>
      </c>
      <c r="AF648" s="706">
        <v>0</v>
      </c>
      <c r="AG648" s="706">
        <v>0</v>
      </c>
      <c r="AH648" s="706">
        <v>0</v>
      </c>
      <c r="AI648" s="706">
        <v>0</v>
      </c>
      <c r="AJ648" s="905" t="str">
        <f t="shared" si="60"/>
        <v>G43001</v>
      </c>
      <c r="AK648" s="905" t="str">
        <f t="shared" si="61"/>
        <v>VTES - SILVERADO EV</v>
      </c>
      <c r="AL648" s="905">
        <f>IFERROR(INDEX(G648:R648,1,MATCH(Parametres!$B$3,G$1:R$1,0)-1)*IF(OR(F648="L",F648="S",F648="I"),-1,1),"")</f>
        <v>-337598.12</v>
      </c>
      <c r="AM648" s="905">
        <f t="shared" si="62"/>
        <v>0</v>
      </c>
      <c r="AN648" s="905">
        <f>INDEX(G648:R648,1,MATCH(Parametres!$B$3,G$1:R$1,0))*IF(OR(F648="L",F648="S",F648="I"),-1,1)</f>
        <v>-337598.12</v>
      </c>
      <c r="AO648" s="487" t="str">
        <f>+VLOOKUP($AJ648,Data_Validation!$A:$D,1,0)</f>
        <v>G43001</v>
      </c>
      <c r="AP648" s="487" t="str">
        <f>+VLOOKUP($AJ648,Data_Validation!$A:$D,3,0)</f>
        <v>Véhicules neufs</v>
      </c>
      <c r="AQ648" s="487" t="str">
        <f>+VLOOKUP($AJ648,Data_Validation!$A:$D,4,0)</f>
        <v>Camions electriques</v>
      </c>
      <c r="AR648" s="487" t="s">
        <v>299</v>
      </c>
      <c r="AS648" s="487" t="str">
        <f>+VLOOKUP($AJ648,Data_Validation!$A:$E,5,0)</f>
        <v>Oui</v>
      </c>
      <c r="AT648" s="904" t="str">
        <f t="shared" si="63"/>
        <v>G43001</v>
      </c>
      <c r="AU648" s="488" t="str">
        <f t="shared" si="64"/>
        <v>VTES - SILVERADO EV</v>
      </c>
      <c r="AV648" s="899">
        <f>IFERROR(INDEX(V648:AG648,1,MATCH(Parametres!$B$3,V$1:AG$1,0)-1)*IF(OR(C648="L",C648="S",C648="I"),-1,1),"")</f>
        <v>3</v>
      </c>
      <c r="AW648" s="899">
        <f t="shared" si="65"/>
        <v>0</v>
      </c>
      <c r="AX648" s="899">
        <f>INDEX(V648:AG648,1,MATCH(Parametres!$B$3,V$1:AG$1,0))*IF(OR(C648="L",C648="S",C648="I"),-1,1)</f>
        <v>3</v>
      </c>
      <c r="AY648" s="487" t="s">
        <v>337</v>
      </c>
      <c r="AZ648" s="487" t="str">
        <f>+VLOOKUP($AJ648,Data_Validation!$A:$E,5,0)</f>
        <v>Oui</v>
      </c>
    </row>
    <row r="649" spans="1:52" ht="15" customHeight="1">
      <c r="A649" s="706" t="s">
        <v>1148</v>
      </c>
      <c r="B649" s="706">
        <v>2026</v>
      </c>
      <c r="C649" s="706" t="s">
        <v>2332</v>
      </c>
      <c r="D649" s="706" t="s">
        <v>2333</v>
      </c>
      <c r="E649" s="706" t="s">
        <v>1149</v>
      </c>
      <c r="F649" s="706" t="s">
        <v>1149</v>
      </c>
      <c r="G649" s="706">
        <v>98800</v>
      </c>
      <c r="H649" s="706">
        <v>416993.4</v>
      </c>
      <c r="I649" s="706">
        <v>761414.4</v>
      </c>
      <c r="J649" s="706">
        <v>761414.4</v>
      </c>
      <c r="K649" s="706">
        <v>1002240.95</v>
      </c>
      <c r="L649" s="706">
        <v>1426646.45</v>
      </c>
      <c r="M649" s="706">
        <v>1687018.95</v>
      </c>
      <c r="N649" s="706">
        <v>1778089.07</v>
      </c>
      <c r="O649" s="706">
        <v>1893949.61</v>
      </c>
      <c r="P649" s="706">
        <v>0</v>
      </c>
      <c r="Q649" s="706">
        <v>0</v>
      </c>
      <c r="R649" s="706">
        <v>0</v>
      </c>
      <c r="S649" s="706">
        <v>222261.13</v>
      </c>
      <c r="T649" s="706">
        <v>222261.13</v>
      </c>
      <c r="U649" s="706">
        <v>0</v>
      </c>
      <c r="V649" s="706">
        <v>1</v>
      </c>
      <c r="W649" s="706">
        <v>4</v>
      </c>
      <c r="X649" s="706">
        <v>7</v>
      </c>
      <c r="Y649" s="706">
        <v>7</v>
      </c>
      <c r="Z649" s="706">
        <v>9</v>
      </c>
      <c r="AA649" s="706">
        <v>13</v>
      </c>
      <c r="AB649" s="706">
        <v>15</v>
      </c>
      <c r="AC649" s="706">
        <v>16</v>
      </c>
      <c r="AD649" s="706">
        <v>17</v>
      </c>
      <c r="AE649" s="706">
        <v>0</v>
      </c>
      <c r="AF649" s="706">
        <v>0</v>
      </c>
      <c r="AG649" s="706">
        <v>0</v>
      </c>
      <c r="AH649" s="706">
        <v>2</v>
      </c>
      <c r="AI649" s="706">
        <v>2</v>
      </c>
      <c r="AJ649" s="905" t="str">
        <f t="shared" si="60"/>
        <v>G43002</v>
      </c>
      <c r="AK649" s="905" t="str">
        <f t="shared" si="61"/>
        <v>VENTES - YUKON</v>
      </c>
      <c r="AL649" s="905">
        <f>IFERROR(INDEX(G649:R649,1,MATCH(Parametres!$B$3,G$1:R$1,0)-1)*IF(OR(F649="L",F649="S",F649="I"),-1,1),"")</f>
        <v>-1687018.95</v>
      </c>
      <c r="AM649" s="905">
        <f t="shared" si="62"/>
        <v>-91070.120000000112</v>
      </c>
      <c r="AN649" s="905">
        <f>INDEX(G649:R649,1,MATCH(Parametres!$B$3,G$1:R$1,0))*IF(OR(F649="L",F649="S",F649="I"),-1,1)</f>
        <v>-1778089.07</v>
      </c>
      <c r="AO649" s="487" t="str">
        <f>+VLOOKUP($AJ649,Data_Validation!$A:$D,1,0)</f>
        <v>G43002</v>
      </c>
      <c r="AP649" s="487" t="str">
        <f>+VLOOKUP($AJ649,Data_Validation!$A:$D,3,0)</f>
        <v>Véhicules neufs</v>
      </c>
      <c r="AQ649" s="487" t="str">
        <f>+VLOOKUP($AJ649,Data_Validation!$A:$D,4,0)</f>
        <v>Camions détail</v>
      </c>
      <c r="AR649" s="487" t="s">
        <v>299</v>
      </c>
      <c r="AS649" s="487" t="str">
        <f>+VLOOKUP($AJ649,Data_Validation!$A:$E,5,0)</f>
        <v>Oui</v>
      </c>
      <c r="AT649" s="904" t="str">
        <f t="shared" si="63"/>
        <v>G43002</v>
      </c>
      <c r="AU649" s="488" t="str">
        <f t="shared" si="64"/>
        <v>VENTES - YUKON</v>
      </c>
      <c r="AV649" s="899">
        <f>IFERROR(INDEX(V649:AG649,1,MATCH(Parametres!$B$3,V$1:AG$1,0)-1)*IF(OR(C649="L",C649="S",C649="I"),-1,1),"")</f>
        <v>15</v>
      </c>
      <c r="AW649" s="899">
        <f t="shared" si="65"/>
        <v>1</v>
      </c>
      <c r="AX649" s="899">
        <f>INDEX(V649:AG649,1,MATCH(Parametres!$B$3,V$1:AG$1,0))*IF(OR(C649="L",C649="S",C649="I"),-1,1)</f>
        <v>16</v>
      </c>
      <c r="AY649" s="487" t="s">
        <v>337</v>
      </c>
      <c r="AZ649" s="487" t="str">
        <f>+VLOOKUP($AJ649,Data_Validation!$A:$E,5,0)</f>
        <v>Oui</v>
      </c>
    </row>
    <row r="650" spans="1:52" ht="15" customHeight="1">
      <c r="A650" s="706" t="s">
        <v>1148</v>
      </c>
      <c r="B650" s="706">
        <v>2026</v>
      </c>
      <c r="C650" s="706" t="s">
        <v>2334</v>
      </c>
      <c r="D650" s="706" t="s">
        <v>2335</v>
      </c>
      <c r="E650" s="706" t="s">
        <v>1149</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905" t="str">
        <f t="shared" si="60"/>
        <v>G43020</v>
      </c>
      <c r="AK650" s="905" t="str">
        <f t="shared" si="61"/>
        <v>CL 1500 SILVERADO    -LOC</v>
      </c>
      <c r="AL650" s="905">
        <f>IFERROR(INDEX(G650:R650,1,MATCH(Parametres!$B$3,G$1:R$1,0)-1)*IF(OR(F650="L",F650="S",F650="I"),-1,1),"")</f>
        <v>0</v>
      </c>
      <c r="AM650" s="905">
        <f t="shared" si="62"/>
        <v>0</v>
      </c>
      <c r="AN650" s="905">
        <f>INDEX(G650:R650,1,MATCH(Parametres!$B$3,G$1:R$1,0))*IF(OR(F650="L",F650="S",F650="I"),-1,1)</f>
        <v>0</v>
      </c>
      <c r="AO650" s="487" t="e">
        <f>+VLOOKUP($AJ650,Data_Validation!$A:$D,1,0)</f>
        <v>#N/A</v>
      </c>
      <c r="AP650" s="487" t="e">
        <f>+VLOOKUP($AJ650,Data_Validation!$A:$D,3,0)</f>
        <v>#N/A</v>
      </c>
      <c r="AQ650" s="487" t="e">
        <f>+VLOOKUP($AJ650,Data_Validation!$A:$D,4,0)</f>
        <v>#N/A</v>
      </c>
      <c r="AR650" s="487" t="s">
        <v>299</v>
      </c>
      <c r="AS650" s="487" t="e">
        <f>+VLOOKUP($AJ650,Data_Validation!$A:$E,5,0)</f>
        <v>#N/A</v>
      </c>
      <c r="AT650" s="904" t="str">
        <f t="shared" si="63"/>
        <v>G43020</v>
      </c>
      <c r="AU650" s="488" t="str">
        <f t="shared" si="64"/>
        <v>CL 1500 SILVERADO    -LOC</v>
      </c>
      <c r="AV650" s="899">
        <f>IFERROR(INDEX(V650:AG650,1,MATCH(Parametres!$B$3,V$1:AG$1,0)-1)*IF(OR(C650="L",C650="S",C650="I"),-1,1),"")</f>
        <v>0</v>
      </c>
      <c r="AW650" s="899">
        <f t="shared" si="65"/>
        <v>0</v>
      </c>
      <c r="AX650" s="899">
        <f>INDEX(V650:AG650,1,MATCH(Parametres!$B$3,V$1:AG$1,0))*IF(OR(C650="L",C650="S",C650="I"),-1,1)</f>
        <v>0</v>
      </c>
      <c r="AY650" s="487" t="s">
        <v>337</v>
      </c>
      <c r="AZ650" s="487" t="e">
        <f>+VLOOKUP($AJ650,Data_Validation!$A:$E,5,0)</f>
        <v>#N/A</v>
      </c>
    </row>
    <row r="651" spans="1:52" ht="15" customHeight="1">
      <c r="A651" s="706" t="s">
        <v>1148</v>
      </c>
      <c r="B651" s="706">
        <v>2026</v>
      </c>
      <c r="C651" s="706" t="s">
        <v>2336</v>
      </c>
      <c r="D651" s="706" t="s">
        <v>2337</v>
      </c>
      <c r="E651" s="706" t="s">
        <v>1149</v>
      </c>
      <c r="F651" s="706" t="s">
        <v>1149</v>
      </c>
      <c r="G651" s="706">
        <v>99462.5</v>
      </c>
      <c r="H651" s="706">
        <v>300736.38</v>
      </c>
      <c r="I651" s="706">
        <v>699613.48</v>
      </c>
      <c r="J651" s="706">
        <v>699613.48</v>
      </c>
      <c r="K651" s="706">
        <v>797713.35</v>
      </c>
      <c r="L651" s="706">
        <v>900846.35</v>
      </c>
      <c r="M651" s="706">
        <v>982505.35</v>
      </c>
      <c r="N651" s="706">
        <v>1183426.69</v>
      </c>
      <c r="O651" s="706">
        <v>1183426.69</v>
      </c>
      <c r="P651" s="706">
        <v>0</v>
      </c>
      <c r="Q651" s="706">
        <v>0</v>
      </c>
      <c r="R651" s="706">
        <v>0</v>
      </c>
      <c r="S651" s="706">
        <v>147928.34</v>
      </c>
      <c r="T651" s="706">
        <v>147928.34</v>
      </c>
      <c r="U651" s="706">
        <v>0</v>
      </c>
      <c r="V651" s="706">
        <v>1</v>
      </c>
      <c r="W651" s="706">
        <v>3</v>
      </c>
      <c r="X651" s="706">
        <v>7</v>
      </c>
      <c r="Y651" s="706">
        <v>7</v>
      </c>
      <c r="Z651" s="706">
        <v>8</v>
      </c>
      <c r="AA651" s="706">
        <v>9</v>
      </c>
      <c r="AB651" s="706">
        <v>10</v>
      </c>
      <c r="AC651" s="706">
        <v>12</v>
      </c>
      <c r="AD651" s="706">
        <v>12</v>
      </c>
      <c r="AE651" s="706">
        <v>0</v>
      </c>
      <c r="AF651" s="706">
        <v>0</v>
      </c>
      <c r="AG651" s="706">
        <v>0</v>
      </c>
      <c r="AH651" s="706">
        <v>2</v>
      </c>
      <c r="AI651" s="706">
        <v>2</v>
      </c>
      <c r="AJ651" s="905" t="str">
        <f t="shared" si="60"/>
        <v>G43100</v>
      </c>
      <c r="AK651" s="905" t="str">
        <f t="shared" si="61"/>
        <v>VTES-CL 2500 SILVERADO</v>
      </c>
      <c r="AL651" s="905">
        <f>IFERROR(INDEX(G651:R651,1,MATCH(Parametres!$B$3,G$1:R$1,0)-1)*IF(OR(F651="L",F651="S",F651="I"),-1,1),"")</f>
        <v>-982505.35</v>
      </c>
      <c r="AM651" s="905">
        <f t="shared" si="62"/>
        <v>-200921.33999999997</v>
      </c>
      <c r="AN651" s="905">
        <f>INDEX(G651:R651,1,MATCH(Parametres!$B$3,G$1:R$1,0))*IF(OR(F651="L",F651="S",F651="I"),-1,1)</f>
        <v>-1183426.69</v>
      </c>
      <c r="AO651" s="487" t="str">
        <f>+VLOOKUP($AJ651,Data_Validation!$A:$D,1,0)</f>
        <v>G43100</v>
      </c>
      <c r="AP651" s="487" t="str">
        <f>+VLOOKUP($AJ651,Data_Validation!$A:$D,3,0)</f>
        <v>Véhicules neufs</v>
      </c>
      <c r="AQ651" s="487" t="str">
        <f>+VLOOKUP($AJ651,Data_Validation!$A:$D,4,0)</f>
        <v>Camions détail</v>
      </c>
      <c r="AR651" s="487" t="s">
        <v>299</v>
      </c>
      <c r="AS651" s="487" t="str">
        <f>+VLOOKUP($AJ651,Data_Validation!$A:$E,5,0)</f>
        <v>Oui</v>
      </c>
      <c r="AT651" s="904" t="str">
        <f t="shared" si="63"/>
        <v>G43100</v>
      </c>
      <c r="AU651" s="488" t="str">
        <f t="shared" si="64"/>
        <v>VTES-CL 2500 SILVERADO</v>
      </c>
      <c r="AV651" s="899">
        <f>IFERROR(INDEX(V651:AG651,1,MATCH(Parametres!$B$3,V$1:AG$1,0)-1)*IF(OR(C651="L",C651="S",C651="I"),-1,1),"")</f>
        <v>10</v>
      </c>
      <c r="AW651" s="899">
        <f t="shared" si="65"/>
        <v>2</v>
      </c>
      <c r="AX651" s="899">
        <f>INDEX(V651:AG651,1,MATCH(Parametres!$B$3,V$1:AG$1,0))*IF(OR(C651="L",C651="S",C651="I"),-1,1)</f>
        <v>12</v>
      </c>
      <c r="AY651" s="487" t="s">
        <v>337</v>
      </c>
      <c r="AZ651" s="487" t="str">
        <f>+VLOOKUP($AJ651,Data_Validation!$A:$E,5,0)</f>
        <v>Oui</v>
      </c>
    </row>
    <row r="652" spans="1:52" ht="15" customHeight="1">
      <c r="A652" s="706" t="s">
        <v>1148</v>
      </c>
      <c r="B652" s="706">
        <v>2026</v>
      </c>
      <c r="C652" s="706" t="s">
        <v>2338</v>
      </c>
      <c r="D652" s="706" t="s">
        <v>2339</v>
      </c>
      <c r="E652" s="706" t="s">
        <v>1149</v>
      </c>
      <c r="F652" s="706" t="s">
        <v>1149</v>
      </c>
      <c r="G652" s="706">
        <v>151109.81</v>
      </c>
      <c r="H652" s="706">
        <v>552459.31000000006</v>
      </c>
      <c r="I652" s="706">
        <v>877349.59</v>
      </c>
      <c r="J652" s="706">
        <v>1661761.38</v>
      </c>
      <c r="K652" s="706">
        <v>2046401.16</v>
      </c>
      <c r="L652" s="706">
        <v>2212712.61</v>
      </c>
      <c r="M652" s="706">
        <v>2761064.06</v>
      </c>
      <c r="N652" s="706">
        <v>3369328.95</v>
      </c>
      <c r="O652" s="706">
        <v>3680189.45</v>
      </c>
      <c r="P652" s="706">
        <v>0</v>
      </c>
      <c r="Q652" s="706">
        <v>0</v>
      </c>
      <c r="R652" s="706">
        <v>0</v>
      </c>
      <c r="S652" s="706">
        <v>421166.12</v>
      </c>
      <c r="T652" s="706">
        <v>421166.12</v>
      </c>
      <c r="U652" s="706">
        <v>0</v>
      </c>
      <c r="V652" s="706">
        <v>2</v>
      </c>
      <c r="W652" s="706">
        <v>7</v>
      </c>
      <c r="X652" s="706">
        <v>11</v>
      </c>
      <c r="Y652" s="706">
        <v>21</v>
      </c>
      <c r="Z652" s="706">
        <v>26</v>
      </c>
      <c r="AA652" s="706">
        <v>28</v>
      </c>
      <c r="AB652" s="706">
        <v>35</v>
      </c>
      <c r="AC652" s="706">
        <v>43</v>
      </c>
      <c r="AD652" s="706">
        <v>47</v>
      </c>
      <c r="AE652" s="706">
        <v>0</v>
      </c>
      <c r="AF652" s="706">
        <v>0</v>
      </c>
      <c r="AG652" s="706">
        <v>0</v>
      </c>
      <c r="AH652" s="706">
        <v>5</v>
      </c>
      <c r="AI652" s="706">
        <v>5</v>
      </c>
      <c r="AJ652" s="905" t="str">
        <f t="shared" si="60"/>
        <v>G43102</v>
      </c>
      <c r="AK652" s="905" t="str">
        <f t="shared" si="61"/>
        <v>VENTE CL 1500 SIERRA</v>
      </c>
      <c r="AL652" s="905">
        <f>IFERROR(INDEX(G652:R652,1,MATCH(Parametres!$B$3,G$1:R$1,0)-1)*IF(OR(F652="L",F652="S",F652="I"),-1,1),"")</f>
        <v>-2761064.06</v>
      </c>
      <c r="AM652" s="905">
        <f t="shared" si="62"/>
        <v>-608264.89000000013</v>
      </c>
      <c r="AN652" s="905">
        <f>INDEX(G652:R652,1,MATCH(Parametres!$B$3,G$1:R$1,0))*IF(OR(F652="L",F652="S",F652="I"),-1,1)</f>
        <v>-3369328.95</v>
      </c>
      <c r="AO652" s="487" t="str">
        <f>+VLOOKUP($AJ652,Data_Validation!$A:$D,1,0)</f>
        <v>G43102</v>
      </c>
      <c r="AP652" s="487" t="str">
        <f>+VLOOKUP($AJ652,Data_Validation!$A:$D,3,0)</f>
        <v>Véhicules neufs</v>
      </c>
      <c r="AQ652" s="487" t="str">
        <f>+VLOOKUP($AJ652,Data_Validation!$A:$D,4,0)</f>
        <v>Camions détail</v>
      </c>
      <c r="AR652" s="487" t="s">
        <v>299</v>
      </c>
      <c r="AS652" s="487" t="str">
        <f>+VLOOKUP($AJ652,Data_Validation!$A:$E,5,0)</f>
        <v>Oui</v>
      </c>
      <c r="AT652" s="904" t="str">
        <f t="shared" si="63"/>
        <v>G43102</v>
      </c>
      <c r="AU652" s="488" t="str">
        <f t="shared" si="64"/>
        <v>VENTE CL 1500 SIERRA</v>
      </c>
      <c r="AV652" s="899">
        <f>IFERROR(INDEX(V652:AG652,1,MATCH(Parametres!$B$3,V$1:AG$1,0)-1)*IF(OR(C652="L",C652="S",C652="I"),-1,1),"")</f>
        <v>35</v>
      </c>
      <c r="AW652" s="899">
        <f t="shared" si="65"/>
        <v>8</v>
      </c>
      <c r="AX652" s="899">
        <f>INDEX(V652:AG652,1,MATCH(Parametres!$B$3,V$1:AG$1,0))*IF(OR(C652="L",C652="S",C652="I"),-1,1)</f>
        <v>43</v>
      </c>
      <c r="AY652" s="487" t="s">
        <v>337</v>
      </c>
      <c r="AZ652" s="487" t="str">
        <f>+VLOOKUP($AJ652,Data_Validation!$A:$E,5,0)</f>
        <v>Oui</v>
      </c>
    </row>
    <row r="653" spans="1:52" ht="15" customHeight="1">
      <c r="A653" s="706" t="s">
        <v>1148</v>
      </c>
      <c r="B653" s="706">
        <v>2026</v>
      </c>
      <c r="C653" s="706" t="s">
        <v>2340</v>
      </c>
      <c r="D653" s="706" t="s">
        <v>2341</v>
      </c>
      <c r="E653" s="706" t="s">
        <v>1149</v>
      </c>
      <c r="F653" s="706" t="s">
        <v>1149</v>
      </c>
      <c r="G653" s="706">
        <v>112099</v>
      </c>
      <c r="H653" s="706">
        <v>220097</v>
      </c>
      <c r="I653" s="706">
        <v>220097</v>
      </c>
      <c r="J653" s="706">
        <v>332280.53999999998</v>
      </c>
      <c r="K653" s="706">
        <v>332280.53999999998</v>
      </c>
      <c r="L653" s="706">
        <v>427949.66</v>
      </c>
      <c r="M653" s="706">
        <v>427949.66</v>
      </c>
      <c r="N653" s="706">
        <v>427949.66</v>
      </c>
      <c r="O653" s="706">
        <v>427949.66</v>
      </c>
      <c r="P653" s="706">
        <v>0</v>
      </c>
      <c r="Q653" s="706">
        <v>0</v>
      </c>
      <c r="R653" s="706">
        <v>0</v>
      </c>
      <c r="S653" s="706">
        <v>53493.71</v>
      </c>
      <c r="T653" s="706">
        <v>53493.71</v>
      </c>
      <c r="U653" s="706">
        <v>0</v>
      </c>
      <c r="V653" s="706">
        <v>1</v>
      </c>
      <c r="W653" s="706">
        <v>2</v>
      </c>
      <c r="X653" s="706">
        <v>2</v>
      </c>
      <c r="Y653" s="706">
        <v>3</v>
      </c>
      <c r="Z653" s="706">
        <v>3</v>
      </c>
      <c r="AA653" s="706">
        <v>4</v>
      </c>
      <c r="AB653" s="706">
        <v>4</v>
      </c>
      <c r="AC653" s="706">
        <v>4</v>
      </c>
      <c r="AD653" s="706">
        <v>4</v>
      </c>
      <c r="AE653" s="706">
        <v>0</v>
      </c>
      <c r="AF653" s="706">
        <v>0</v>
      </c>
      <c r="AG653" s="706">
        <v>0</v>
      </c>
      <c r="AH653" s="706">
        <v>1</v>
      </c>
      <c r="AI653" s="706">
        <v>1</v>
      </c>
      <c r="AJ653" s="905" t="str">
        <f t="shared" si="60"/>
        <v>G43103</v>
      </c>
      <c r="AK653" s="905" t="str">
        <f t="shared" si="61"/>
        <v>VENTE - SIERRA EV</v>
      </c>
      <c r="AL653" s="905">
        <f>IFERROR(INDEX(G653:R653,1,MATCH(Parametres!$B$3,G$1:R$1,0)-1)*IF(OR(F653="L",F653="S",F653="I"),-1,1),"")</f>
        <v>-427949.66</v>
      </c>
      <c r="AM653" s="905">
        <f t="shared" si="62"/>
        <v>0</v>
      </c>
      <c r="AN653" s="905">
        <f>INDEX(G653:R653,1,MATCH(Parametres!$B$3,G$1:R$1,0))*IF(OR(F653="L",F653="S",F653="I"),-1,1)</f>
        <v>-427949.66</v>
      </c>
      <c r="AO653" s="487" t="str">
        <f>+VLOOKUP($AJ653,Data_Validation!$A:$D,1,0)</f>
        <v>G43103</v>
      </c>
      <c r="AP653" s="487" t="str">
        <f>+VLOOKUP($AJ653,Data_Validation!$A:$D,3,0)</f>
        <v>Véhicules neufs</v>
      </c>
      <c r="AQ653" s="487" t="str">
        <f>+VLOOKUP($AJ653,Data_Validation!$A:$D,4,0)</f>
        <v>Camions electriques</v>
      </c>
      <c r="AR653" s="487" t="s">
        <v>299</v>
      </c>
      <c r="AS653" s="487" t="str">
        <f>+VLOOKUP($AJ653,Data_Validation!$A:$E,5,0)</f>
        <v>Oui</v>
      </c>
      <c r="AT653" s="904" t="str">
        <f t="shared" si="63"/>
        <v>G43103</v>
      </c>
      <c r="AU653" s="488" t="str">
        <f t="shared" si="64"/>
        <v>VENTE - SIERRA EV</v>
      </c>
      <c r="AV653" s="899">
        <f>IFERROR(INDEX(V653:AG653,1,MATCH(Parametres!$B$3,V$1:AG$1,0)-1)*IF(OR(C653="L",C653="S",C653="I"),-1,1),"")</f>
        <v>4</v>
      </c>
      <c r="AW653" s="899">
        <f t="shared" si="65"/>
        <v>0</v>
      </c>
      <c r="AX653" s="899">
        <f>INDEX(V653:AG653,1,MATCH(Parametres!$B$3,V$1:AG$1,0))*IF(OR(C653="L",C653="S",C653="I"),-1,1)</f>
        <v>4</v>
      </c>
      <c r="AY653" s="487" t="s">
        <v>337</v>
      </c>
      <c r="AZ653" s="487" t="str">
        <f>+VLOOKUP($AJ653,Data_Validation!$A:$E,5,0)</f>
        <v>Oui</v>
      </c>
    </row>
    <row r="654" spans="1:52" ht="15" customHeight="1">
      <c r="A654" s="706" t="s">
        <v>1148</v>
      </c>
      <c r="B654" s="706">
        <v>2026</v>
      </c>
      <c r="C654" s="706" t="s">
        <v>2342</v>
      </c>
      <c r="D654" s="706" t="s">
        <v>2343</v>
      </c>
      <c r="E654" s="706" t="s">
        <v>1149</v>
      </c>
      <c r="F654" s="706" t="s">
        <v>1149</v>
      </c>
      <c r="G654" s="706">
        <v>0</v>
      </c>
      <c r="H654" s="706">
        <v>0</v>
      </c>
      <c r="I654" s="706">
        <v>0</v>
      </c>
      <c r="J654" s="706">
        <v>0</v>
      </c>
      <c r="K654" s="706">
        <v>0</v>
      </c>
      <c r="L654" s="706">
        <v>0</v>
      </c>
      <c r="M654" s="706">
        <v>0</v>
      </c>
      <c r="N654" s="706">
        <v>0</v>
      </c>
      <c r="O654" s="706">
        <v>0</v>
      </c>
      <c r="P654" s="706">
        <v>0</v>
      </c>
      <c r="Q654" s="706">
        <v>0</v>
      </c>
      <c r="R654" s="706">
        <v>0</v>
      </c>
      <c r="S654" s="706">
        <v>0</v>
      </c>
      <c r="T654" s="706">
        <v>0</v>
      </c>
      <c r="U654" s="706">
        <v>0</v>
      </c>
      <c r="V654" s="706">
        <v>0</v>
      </c>
      <c r="W654" s="706">
        <v>0</v>
      </c>
      <c r="X654" s="706">
        <v>0</v>
      </c>
      <c r="Y654" s="706">
        <v>0</v>
      </c>
      <c r="Z654" s="706">
        <v>0</v>
      </c>
      <c r="AA654" s="706">
        <v>0</v>
      </c>
      <c r="AB654" s="706">
        <v>0</v>
      </c>
      <c r="AC654" s="706">
        <v>0</v>
      </c>
      <c r="AD654" s="706">
        <v>0</v>
      </c>
      <c r="AE654" s="706">
        <v>0</v>
      </c>
      <c r="AF654" s="706">
        <v>0</v>
      </c>
      <c r="AG654" s="706">
        <v>0</v>
      </c>
      <c r="AH654" s="706">
        <v>0</v>
      </c>
      <c r="AI654" s="706">
        <v>0</v>
      </c>
      <c r="AJ654" s="905" t="str">
        <f t="shared" si="60"/>
        <v>G43120</v>
      </c>
      <c r="AK654" s="905" t="str">
        <f t="shared" si="61"/>
        <v>VTES-CL 2500 SILVERAD-LOC</v>
      </c>
      <c r="AL654" s="905">
        <f>IFERROR(INDEX(G654:R654,1,MATCH(Parametres!$B$3,G$1:R$1,0)-1)*IF(OR(F654="L",F654="S",F654="I"),-1,1),"")</f>
        <v>0</v>
      </c>
      <c r="AM654" s="905">
        <f t="shared" si="62"/>
        <v>0</v>
      </c>
      <c r="AN654" s="905">
        <f>INDEX(G654:R654,1,MATCH(Parametres!$B$3,G$1:R$1,0))*IF(OR(F654="L",F654="S",F654="I"),-1,1)</f>
        <v>0</v>
      </c>
      <c r="AO654" s="487" t="e">
        <f>+VLOOKUP($AJ654,Data_Validation!$A:$D,1,0)</f>
        <v>#N/A</v>
      </c>
      <c r="AP654" s="487" t="e">
        <f>+VLOOKUP($AJ654,Data_Validation!$A:$D,3,0)</f>
        <v>#N/A</v>
      </c>
      <c r="AQ654" s="487" t="e">
        <f>+VLOOKUP($AJ654,Data_Validation!$A:$D,4,0)</f>
        <v>#N/A</v>
      </c>
      <c r="AR654" s="487" t="s">
        <v>299</v>
      </c>
      <c r="AS654" s="487" t="e">
        <f>+VLOOKUP($AJ654,Data_Validation!$A:$E,5,0)</f>
        <v>#N/A</v>
      </c>
      <c r="AT654" s="904" t="str">
        <f t="shared" si="63"/>
        <v>G43120</v>
      </c>
      <c r="AU654" s="488" t="str">
        <f t="shared" si="64"/>
        <v>VTES-CL 2500 SILVERAD-LOC</v>
      </c>
      <c r="AV654" s="899">
        <f>IFERROR(INDEX(V654:AG654,1,MATCH(Parametres!$B$3,V$1:AG$1,0)-1)*IF(OR(C654="L",C654="S",C654="I"),-1,1),"")</f>
        <v>0</v>
      </c>
      <c r="AW654" s="899">
        <f t="shared" si="65"/>
        <v>0</v>
      </c>
      <c r="AX654" s="899">
        <f>INDEX(V654:AG654,1,MATCH(Parametres!$B$3,V$1:AG$1,0))*IF(OR(C654="L",C654="S",C654="I"),-1,1)</f>
        <v>0</v>
      </c>
      <c r="AY654" s="487" t="s">
        <v>337</v>
      </c>
      <c r="AZ654" s="487" t="e">
        <f>+VLOOKUP($AJ654,Data_Validation!$A:$E,5,0)</f>
        <v>#N/A</v>
      </c>
    </row>
    <row r="655" spans="1:52" ht="15" customHeight="1">
      <c r="A655" s="706" t="s">
        <v>1148</v>
      </c>
      <c r="B655" s="706">
        <v>2026</v>
      </c>
      <c r="C655" s="706" t="s">
        <v>2344</v>
      </c>
      <c r="D655" s="706" t="s">
        <v>2345</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G43200</v>
      </c>
      <c r="AK655" s="905" t="str">
        <f t="shared" si="61"/>
        <v>VTES-CL 3500 SILVERADO</v>
      </c>
      <c r="AL655" s="905">
        <f>IFERROR(INDEX(G655:R655,1,MATCH(Parametres!$B$3,G$1:R$1,0)-1)*IF(OR(F655="L",F655="S",F655="I"),-1,1),"")</f>
        <v>0</v>
      </c>
      <c r="AM655" s="905">
        <f t="shared" si="62"/>
        <v>0</v>
      </c>
      <c r="AN655" s="905">
        <f>INDEX(G655:R655,1,MATCH(Parametres!$B$3,G$1:R$1,0))*IF(OR(F655="L",F655="S",F655="I"),-1,1)</f>
        <v>0</v>
      </c>
      <c r="AO655" s="487" t="str">
        <f>+VLOOKUP($AJ655,Data_Validation!$A:$D,1,0)</f>
        <v>G43200</v>
      </c>
      <c r="AP655" s="487" t="str">
        <f>+VLOOKUP($AJ655,Data_Validation!$A:$D,3,0)</f>
        <v>Véhicules neufs</v>
      </c>
      <c r="AQ655" s="487" t="str">
        <f>+VLOOKUP($AJ655,Data_Validation!$A:$D,4,0)</f>
        <v>Camions détail</v>
      </c>
      <c r="AR655" s="487" t="s">
        <v>299</v>
      </c>
      <c r="AS655" s="487" t="str">
        <f>+VLOOKUP($AJ655,Data_Validation!$A:$E,5,0)</f>
        <v>Oui</v>
      </c>
      <c r="AT655" s="904" t="str">
        <f t="shared" si="63"/>
        <v>G43200</v>
      </c>
      <c r="AU655" s="488" t="str">
        <f t="shared" si="64"/>
        <v>VTES-CL 3500 SILVERADO</v>
      </c>
      <c r="AV655" s="899">
        <f>IFERROR(INDEX(V655:AG655,1,MATCH(Parametres!$B$3,V$1:AG$1,0)-1)*IF(OR(C655="L",C655="S",C655="I"),-1,1),"")</f>
        <v>0</v>
      </c>
      <c r="AW655" s="899">
        <f t="shared" si="65"/>
        <v>0</v>
      </c>
      <c r="AX655" s="899">
        <f>INDEX(V655:AG655,1,MATCH(Parametres!$B$3,V$1:AG$1,0))*IF(OR(C655="L",C655="S",C655="I"),-1,1)</f>
        <v>0</v>
      </c>
      <c r="AY655" s="487" t="s">
        <v>337</v>
      </c>
      <c r="AZ655" s="487" t="str">
        <f>+VLOOKUP($AJ655,Data_Validation!$A:$E,5,0)</f>
        <v>Oui</v>
      </c>
    </row>
    <row r="656" spans="1:52" ht="15" customHeight="1">
      <c r="A656" s="706" t="s">
        <v>1148</v>
      </c>
      <c r="B656" s="706">
        <v>2026</v>
      </c>
      <c r="C656" s="706" t="s">
        <v>2346</v>
      </c>
      <c r="D656" s="706" t="s">
        <v>2347</v>
      </c>
      <c r="E656" s="706" t="s">
        <v>1149</v>
      </c>
      <c r="F656" s="706" t="s">
        <v>1149</v>
      </c>
      <c r="G656" s="706">
        <v>335187.62</v>
      </c>
      <c r="H656" s="706">
        <v>335187.62</v>
      </c>
      <c r="I656" s="706">
        <v>550751.96</v>
      </c>
      <c r="J656" s="706">
        <v>988047.33</v>
      </c>
      <c r="K656" s="706">
        <v>1385656.33</v>
      </c>
      <c r="L656" s="706">
        <v>1507893.33</v>
      </c>
      <c r="M656" s="706">
        <v>1736558.83</v>
      </c>
      <c r="N656" s="706">
        <v>1844697.83</v>
      </c>
      <c r="O656" s="706">
        <v>1844697.83</v>
      </c>
      <c r="P656" s="706">
        <v>0</v>
      </c>
      <c r="Q656" s="706">
        <v>0</v>
      </c>
      <c r="R656" s="706">
        <v>0</v>
      </c>
      <c r="S656" s="706">
        <v>230587.23</v>
      </c>
      <c r="T656" s="706">
        <v>230587.23</v>
      </c>
      <c r="U656" s="706">
        <v>0</v>
      </c>
      <c r="V656" s="706">
        <v>3</v>
      </c>
      <c r="W656" s="706">
        <v>3</v>
      </c>
      <c r="X656" s="706">
        <v>5</v>
      </c>
      <c r="Y656" s="706">
        <v>9</v>
      </c>
      <c r="Z656" s="706">
        <v>13</v>
      </c>
      <c r="AA656" s="706">
        <v>14</v>
      </c>
      <c r="AB656" s="706">
        <v>16</v>
      </c>
      <c r="AC656" s="706">
        <v>17</v>
      </c>
      <c r="AD656" s="706">
        <v>17</v>
      </c>
      <c r="AE656" s="706">
        <v>0</v>
      </c>
      <c r="AF656" s="706">
        <v>0</v>
      </c>
      <c r="AG656" s="706">
        <v>0</v>
      </c>
      <c r="AH656" s="706">
        <v>2</v>
      </c>
      <c r="AI656" s="706">
        <v>2</v>
      </c>
      <c r="AJ656" s="905" t="str">
        <f t="shared" si="60"/>
        <v>G43202</v>
      </c>
      <c r="AK656" s="905" t="str">
        <f t="shared" si="61"/>
        <v>VENTES - CL2500 SIERRA</v>
      </c>
      <c r="AL656" s="905">
        <f>IFERROR(INDEX(G656:R656,1,MATCH(Parametres!$B$3,G$1:R$1,0)-1)*IF(OR(F656="L",F656="S",F656="I"),-1,1),"")</f>
        <v>-1736558.83</v>
      </c>
      <c r="AM656" s="905">
        <f t="shared" si="62"/>
        <v>-108139</v>
      </c>
      <c r="AN656" s="905">
        <f>INDEX(G656:R656,1,MATCH(Parametres!$B$3,G$1:R$1,0))*IF(OR(F656="L",F656="S",F656="I"),-1,1)</f>
        <v>-1844697.83</v>
      </c>
      <c r="AO656" s="487" t="str">
        <f>+VLOOKUP($AJ656,Data_Validation!$A:$D,1,0)</f>
        <v>G43202</v>
      </c>
      <c r="AP656" s="487" t="str">
        <f>+VLOOKUP($AJ656,Data_Validation!$A:$D,3,0)</f>
        <v>Véhicules neufs</v>
      </c>
      <c r="AQ656" s="487" t="str">
        <f>+VLOOKUP($AJ656,Data_Validation!$A:$D,4,0)</f>
        <v>Camions détail</v>
      </c>
      <c r="AR656" s="487" t="s">
        <v>299</v>
      </c>
      <c r="AS656" s="487" t="str">
        <f>+VLOOKUP($AJ656,Data_Validation!$A:$E,5,0)</f>
        <v>Oui</v>
      </c>
      <c r="AT656" s="904" t="str">
        <f t="shared" si="63"/>
        <v>G43202</v>
      </c>
      <c r="AU656" s="488" t="str">
        <f t="shared" si="64"/>
        <v>VENTES - CL2500 SIERRA</v>
      </c>
      <c r="AV656" s="899">
        <f>IFERROR(INDEX(V656:AG656,1,MATCH(Parametres!$B$3,V$1:AG$1,0)-1)*IF(OR(C656="L",C656="S",C656="I"),-1,1),"")</f>
        <v>16</v>
      </c>
      <c r="AW656" s="899">
        <f t="shared" si="65"/>
        <v>1</v>
      </c>
      <c r="AX656" s="899">
        <f>INDEX(V656:AG656,1,MATCH(Parametres!$B$3,V$1:AG$1,0))*IF(OR(C656="L",C656="S",C656="I"),-1,1)</f>
        <v>17</v>
      </c>
      <c r="AY656" s="487" t="s">
        <v>337</v>
      </c>
      <c r="AZ656" s="487" t="str">
        <f>+VLOOKUP($AJ656,Data_Validation!$A:$E,5,0)</f>
        <v>Oui</v>
      </c>
    </row>
    <row r="657" spans="1:52" ht="15" customHeight="1">
      <c r="A657" s="706" t="s">
        <v>1148</v>
      </c>
      <c r="B657" s="706">
        <v>2026</v>
      </c>
      <c r="C657" s="706" t="s">
        <v>2348</v>
      </c>
      <c r="D657" s="706" t="s">
        <v>2349</v>
      </c>
      <c r="E657" s="706" t="s">
        <v>1149</v>
      </c>
      <c r="F657" s="706" t="s">
        <v>1149</v>
      </c>
      <c r="G657" s="706">
        <v>234777.15</v>
      </c>
      <c r="H657" s="706">
        <v>234777.15</v>
      </c>
      <c r="I657" s="706">
        <v>351065.15</v>
      </c>
      <c r="J657" s="706">
        <v>351065.15</v>
      </c>
      <c r="K657" s="706">
        <v>351065.15</v>
      </c>
      <c r="L657" s="706">
        <v>351065.15</v>
      </c>
      <c r="M657" s="706">
        <v>351065.15</v>
      </c>
      <c r="N657" s="706">
        <v>351065.15</v>
      </c>
      <c r="O657" s="706">
        <v>351065.15</v>
      </c>
      <c r="P657" s="706">
        <v>0</v>
      </c>
      <c r="Q657" s="706">
        <v>0</v>
      </c>
      <c r="R657" s="706">
        <v>0</v>
      </c>
      <c r="S657" s="706">
        <v>43883.14</v>
      </c>
      <c r="T657" s="706">
        <v>43883.14</v>
      </c>
      <c r="U657" s="706">
        <v>0</v>
      </c>
      <c r="V657" s="706">
        <v>2</v>
      </c>
      <c r="W657" s="706">
        <v>2</v>
      </c>
      <c r="X657" s="706">
        <v>3</v>
      </c>
      <c r="Y657" s="706">
        <v>3</v>
      </c>
      <c r="Z657" s="706">
        <v>3</v>
      </c>
      <c r="AA657" s="706">
        <v>3</v>
      </c>
      <c r="AB657" s="706">
        <v>3</v>
      </c>
      <c r="AC657" s="706">
        <v>3</v>
      </c>
      <c r="AD657" s="706">
        <v>3</v>
      </c>
      <c r="AE657" s="706">
        <v>0</v>
      </c>
      <c r="AF657" s="706">
        <v>0</v>
      </c>
      <c r="AG657" s="706">
        <v>0</v>
      </c>
      <c r="AH657" s="706">
        <v>0</v>
      </c>
      <c r="AI657" s="706">
        <v>0</v>
      </c>
      <c r="AJ657" s="905" t="str">
        <f t="shared" si="60"/>
        <v>G43203</v>
      </c>
      <c r="AK657" s="905" t="str">
        <f t="shared" si="61"/>
        <v>VENTES - SIERRA 3500</v>
      </c>
      <c r="AL657" s="905">
        <f>IFERROR(INDEX(G657:R657,1,MATCH(Parametres!$B$3,G$1:R$1,0)-1)*IF(OR(F657="L",F657="S",F657="I"),-1,1),"")</f>
        <v>-351065.15</v>
      </c>
      <c r="AM657" s="905">
        <f t="shared" si="62"/>
        <v>0</v>
      </c>
      <c r="AN657" s="905">
        <f>INDEX(G657:R657,1,MATCH(Parametres!$B$3,G$1:R$1,0))*IF(OR(F657="L",F657="S",F657="I"),-1,1)</f>
        <v>-351065.15</v>
      </c>
      <c r="AO657" s="487" t="str">
        <f>+VLOOKUP($AJ657,Data_Validation!$A:$D,1,0)</f>
        <v>G43203</v>
      </c>
      <c r="AP657" s="487" t="str">
        <f>+VLOOKUP($AJ657,Data_Validation!$A:$D,3,0)</f>
        <v>Véhicules neufs</v>
      </c>
      <c r="AQ657" s="487" t="str">
        <f>+VLOOKUP($AJ657,Data_Validation!$A:$D,4,0)</f>
        <v>Camions détail</v>
      </c>
      <c r="AR657" s="487" t="s">
        <v>299</v>
      </c>
      <c r="AS657" s="487" t="str">
        <f>+VLOOKUP($AJ657,Data_Validation!$A:$E,5,0)</f>
        <v>Oui</v>
      </c>
      <c r="AT657" s="904" t="str">
        <f t="shared" si="63"/>
        <v>G43203</v>
      </c>
      <c r="AU657" s="488" t="str">
        <f t="shared" si="64"/>
        <v>VENTES - SIERRA 3500</v>
      </c>
      <c r="AV657" s="899">
        <f>IFERROR(INDEX(V657:AG657,1,MATCH(Parametres!$B$3,V$1:AG$1,0)-1)*IF(OR(C657="L",C657="S",C657="I"),-1,1),"")</f>
        <v>3</v>
      </c>
      <c r="AW657" s="899">
        <f t="shared" si="65"/>
        <v>0</v>
      </c>
      <c r="AX657" s="899">
        <f>INDEX(V657:AG657,1,MATCH(Parametres!$B$3,V$1:AG$1,0))*IF(OR(C657="L",C657="S",C657="I"),-1,1)</f>
        <v>3</v>
      </c>
      <c r="AY657" s="487" t="s">
        <v>337</v>
      </c>
      <c r="AZ657" s="487" t="str">
        <f>+VLOOKUP($AJ657,Data_Validation!$A:$E,5,0)</f>
        <v>Oui</v>
      </c>
    </row>
    <row r="658" spans="1:52" ht="15" customHeight="1">
      <c r="A658" s="706" t="s">
        <v>1148</v>
      </c>
      <c r="B658" s="706">
        <v>2026</v>
      </c>
      <c r="C658" s="706" t="s">
        <v>2350</v>
      </c>
      <c r="D658" s="706" t="s">
        <v>2351</v>
      </c>
      <c r="E658" s="706" t="s">
        <v>1149</v>
      </c>
      <c r="F658" s="706" t="s">
        <v>1149</v>
      </c>
      <c r="G658" s="706">
        <v>0</v>
      </c>
      <c r="H658" s="706">
        <v>0</v>
      </c>
      <c r="I658" s="706">
        <v>0</v>
      </c>
      <c r="J658" s="706">
        <v>0</v>
      </c>
      <c r="K658" s="706">
        <v>0</v>
      </c>
      <c r="L658" s="706">
        <v>38693</v>
      </c>
      <c r="M658" s="706">
        <v>38693</v>
      </c>
      <c r="N658" s="706">
        <v>38693</v>
      </c>
      <c r="O658" s="706">
        <v>38693</v>
      </c>
      <c r="P658" s="706">
        <v>0</v>
      </c>
      <c r="Q658" s="706">
        <v>0</v>
      </c>
      <c r="R658" s="706">
        <v>0</v>
      </c>
      <c r="S658" s="706">
        <v>4836.63</v>
      </c>
      <c r="T658" s="706">
        <v>4836.63</v>
      </c>
      <c r="U658" s="706">
        <v>0</v>
      </c>
      <c r="V658" s="706">
        <v>0</v>
      </c>
      <c r="W658" s="706">
        <v>0</v>
      </c>
      <c r="X658" s="706">
        <v>0</v>
      </c>
      <c r="Y658" s="706">
        <v>0</v>
      </c>
      <c r="Z658" s="706">
        <v>0</v>
      </c>
      <c r="AA658" s="706">
        <v>1</v>
      </c>
      <c r="AB658" s="706">
        <v>1</v>
      </c>
      <c r="AC658" s="706">
        <v>1</v>
      </c>
      <c r="AD658" s="706">
        <v>1</v>
      </c>
      <c r="AE658" s="706">
        <v>0</v>
      </c>
      <c r="AF658" s="706">
        <v>0</v>
      </c>
      <c r="AG658" s="706">
        <v>0</v>
      </c>
      <c r="AH658" s="706">
        <v>0</v>
      </c>
      <c r="AI658" s="706">
        <v>0</v>
      </c>
      <c r="AJ658" s="905" t="str">
        <f t="shared" si="60"/>
        <v>G43300</v>
      </c>
      <c r="AK658" s="905" t="str">
        <f t="shared" si="61"/>
        <v>VENTES BLAZER</v>
      </c>
      <c r="AL658" s="905">
        <f>IFERROR(INDEX(G658:R658,1,MATCH(Parametres!$B$3,G$1:R$1,0)-1)*IF(OR(F658="L",F658="S",F658="I"),-1,1),"")</f>
        <v>-38693</v>
      </c>
      <c r="AM658" s="905">
        <f t="shared" si="62"/>
        <v>0</v>
      </c>
      <c r="AN658" s="905">
        <f>INDEX(G658:R658,1,MATCH(Parametres!$B$3,G$1:R$1,0))*IF(OR(F658="L",F658="S",F658="I"),-1,1)</f>
        <v>-38693</v>
      </c>
      <c r="AO658" s="487" t="str">
        <f>+VLOOKUP($AJ658,Data_Validation!$A:$D,1,0)</f>
        <v>G43300</v>
      </c>
      <c r="AP658" s="487" t="str">
        <f>+VLOOKUP($AJ658,Data_Validation!$A:$D,3,0)</f>
        <v>Véhicules neufs</v>
      </c>
      <c r="AQ658" s="487" t="str">
        <f>+VLOOKUP($AJ658,Data_Validation!$A:$D,4,0)</f>
        <v>Camions détail</v>
      </c>
      <c r="AR658" s="487" t="s">
        <v>299</v>
      </c>
      <c r="AS658" s="487" t="str">
        <f>+VLOOKUP($AJ658,Data_Validation!$A:$E,5,0)</f>
        <v>Oui</v>
      </c>
      <c r="AT658" s="904" t="str">
        <f t="shared" si="63"/>
        <v>G43300</v>
      </c>
      <c r="AU658" s="488" t="str">
        <f t="shared" si="64"/>
        <v>VENTES BLAZER</v>
      </c>
      <c r="AV658" s="899">
        <f>IFERROR(INDEX(V658:AG658,1,MATCH(Parametres!$B$3,V$1:AG$1,0)-1)*IF(OR(C658="L",C658="S",C658="I"),-1,1),"")</f>
        <v>1</v>
      </c>
      <c r="AW658" s="899">
        <f t="shared" si="65"/>
        <v>0</v>
      </c>
      <c r="AX658" s="899">
        <f>INDEX(V658:AG658,1,MATCH(Parametres!$B$3,V$1:AG$1,0))*IF(OR(C658="L",C658="S",C658="I"),-1,1)</f>
        <v>1</v>
      </c>
      <c r="AY658" s="487" t="s">
        <v>337</v>
      </c>
      <c r="AZ658" s="487" t="str">
        <f>+VLOOKUP($AJ658,Data_Validation!$A:$E,5,0)</f>
        <v>Oui</v>
      </c>
    </row>
    <row r="659" spans="1:52" ht="15" customHeight="1">
      <c r="A659" s="706" t="s">
        <v>1148</v>
      </c>
      <c r="B659" s="706">
        <v>2026</v>
      </c>
      <c r="C659" s="706" t="s">
        <v>2352</v>
      </c>
      <c r="D659" s="706" t="s">
        <v>2353</v>
      </c>
      <c r="E659" s="706" t="s">
        <v>1149</v>
      </c>
      <c r="F659" s="706" t="s">
        <v>1149</v>
      </c>
      <c r="G659" s="706">
        <v>0</v>
      </c>
      <c r="H659" s="706">
        <v>0</v>
      </c>
      <c r="I659" s="706">
        <v>178425.14</v>
      </c>
      <c r="J659" s="706">
        <v>340072.14</v>
      </c>
      <c r="K659" s="706">
        <v>458380.64</v>
      </c>
      <c r="L659" s="706">
        <v>458380.64</v>
      </c>
      <c r="M659" s="706">
        <v>458380.64</v>
      </c>
      <c r="N659" s="706">
        <v>458380.64</v>
      </c>
      <c r="O659" s="706">
        <v>519902.64</v>
      </c>
      <c r="P659" s="706">
        <v>0</v>
      </c>
      <c r="Q659" s="706">
        <v>0</v>
      </c>
      <c r="R659" s="706">
        <v>0</v>
      </c>
      <c r="S659" s="706">
        <v>57297.58</v>
      </c>
      <c r="T659" s="706">
        <v>57297.58</v>
      </c>
      <c r="U659" s="706">
        <v>0</v>
      </c>
      <c r="V659" s="706">
        <v>0</v>
      </c>
      <c r="W659" s="706">
        <v>0</v>
      </c>
      <c r="X659" s="706">
        <v>3</v>
      </c>
      <c r="Y659" s="706">
        <v>6</v>
      </c>
      <c r="Z659" s="706">
        <v>8</v>
      </c>
      <c r="AA659" s="706">
        <v>8</v>
      </c>
      <c r="AB659" s="706">
        <v>8</v>
      </c>
      <c r="AC659" s="706">
        <v>8</v>
      </c>
      <c r="AD659" s="706">
        <v>9</v>
      </c>
      <c r="AE659" s="706">
        <v>0</v>
      </c>
      <c r="AF659" s="706">
        <v>0</v>
      </c>
      <c r="AG659" s="706">
        <v>0</v>
      </c>
      <c r="AH659" s="706">
        <v>1</v>
      </c>
      <c r="AI659" s="706">
        <v>1</v>
      </c>
      <c r="AJ659" s="905" t="str">
        <f t="shared" ref="AJ659:AJ663" si="66">C659</f>
        <v>G43301</v>
      </c>
      <c r="AK659" s="905" t="str">
        <f t="shared" ref="AK659:AK663" si="67">D659</f>
        <v>VENTES BLAZER EV</v>
      </c>
      <c r="AL659" s="905">
        <f>IFERROR(INDEX(G659:R659,1,MATCH(Parametres!$B$3,G$1:R$1,0)-1)*IF(OR(F659="L",F659="S",F659="I"),-1,1),"")</f>
        <v>-458380.64</v>
      </c>
      <c r="AM659" s="905">
        <f t="shared" si="62"/>
        <v>0</v>
      </c>
      <c r="AN659" s="905">
        <f>INDEX(G659:R659,1,MATCH(Parametres!$B$3,G$1:R$1,0))*IF(OR(F659="L",F659="S",F659="I"),-1,1)</f>
        <v>-458380.64</v>
      </c>
      <c r="AO659" s="487" t="str">
        <f>+VLOOKUP($AJ659,Data_Validation!$A:$D,1,0)</f>
        <v>G43301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G43301</v>
      </c>
      <c r="AU659" s="488" t="str">
        <f t="shared" si="64"/>
        <v>VENTES BLAZER EV</v>
      </c>
      <c r="AV659" s="899">
        <f>IFERROR(INDEX(V659:AG659,1,MATCH(Parametres!$B$3,V$1:AG$1,0)-1)*IF(OR(C659="L",C659="S",C659="I"),-1,1),"")</f>
        <v>8</v>
      </c>
      <c r="AW659" s="899">
        <f t="shared" si="65"/>
        <v>0</v>
      </c>
      <c r="AX659" s="899">
        <f>INDEX(V659:AG659,1,MATCH(Parametres!$B$3,V$1:AG$1,0))*IF(OR(C659="L",C659="S",C659="I"),-1,1)</f>
        <v>8</v>
      </c>
      <c r="AY659" s="487" t="s">
        <v>337</v>
      </c>
      <c r="AZ659" s="487" t="str">
        <f>+VLOOKUP($AJ659,Data_Validation!$A:$E,5,0)</f>
        <v>Oui</v>
      </c>
    </row>
    <row r="660" spans="1:52" ht="15" customHeight="1">
      <c r="A660" s="706" t="s">
        <v>1148</v>
      </c>
      <c r="B660" s="706">
        <v>2026</v>
      </c>
      <c r="C660" s="706" t="s">
        <v>2354</v>
      </c>
      <c r="D660" s="706" t="s">
        <v>2355</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G43320</v>
      </c>
      <c r="AK660" s="905" t="str">
        <f t="shared" si="67"/>
        <v>VTES-AVALANCHE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G43320</v>
      </c>
      <c r="AU660" s="488" t="str">
        <f t="shared" si="64"/>
        <v>VTES-AVALANCHE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customHeight="1">
      <c r="A661" s="706" t="s">
        <v>1148</v>
      </c>
      <c r="B661" s="706">
        <v>2026</v>
      </c>
      <c r="C661" s="706" t="s">
        <v>2356</v>
      </c>
      <c r="D661" s="706" t="s">
        <v>2357</v>
      </c>
      <c r="E661" s="706" t="s">
        <v>1149</v>
      </c>
      <c r="F661" s="706" t="s">
        <v>1149</v>
      </c>
      <c r="G661" s="706">
        <v>84235</v>
      </c>
      <c r="H661" s="706">
        <v>173987.78</v>
      </c>
      <c r="I661" s="706">
        <v>221362.43</v>
      </c>
      <c r="J661" s="706">
        <v>262011.43</v>
      </c>
      <c r="K661" s="706">
        <v>309659.93</v>
      </c>
      <c r="L661" s="706">
        <v>353920.93</v>
      </c>
      <c r="M661" s="706">
        <v>391398.43</v>
      </c>
      <c r="N661" s="706">
        <v>391398.43</v>
      </c>
      <c r="O661" s="706">
        <v>391398.43</v>
      </c>
      <c r="P661" s="706">
        <v>0</v>
      </c>
      <c r="Q661" s="706">
        <v>0</v>
      </c>
      <c r="R661" s="706">
        <v>0</v>
      </c>
      <c r="S661" s="706">
        <v>48924.800000000003</v>
      </c>
      <c r="T661" s="706">
        <v>48924.800000000003</v>
      </c>
      <c r="U661" s="706">
        <v>0</v>
      </c>
      <c r="V661" s="706">
        <v>2</v>
      </c>
      <c r="W661" s="706">
        <v>4</v>
      </c>
      <c r="X661" s="706">
        <v>5</v>
      </c>
      <c r="Y661" s="706">
        <v>6</v>
      </c>
      <c r="Z661" s="706">
        <v>7</v>
      </c>
      <c r="AA661" s="706">
        <v>8</v>
      </c>
      <c r="AB661" s="706">
        <v>9</v>
      </c>
      <c r="AC661" s="706">
        <v>9</v>
      </c>
      <c r="AD661" s="706">
        <v>9</v>
      </c>
      <c r="AE661" s="706">
        <v>0</v>
      </c>
      <c r="AF661" s="706">
        <v>0</v>
      </c>
      <c r="AG661" s="706">
        <v>0</v>
      </c>
      <c r="AH661" s="706">
        <v>1</v>
      </c>
      <c r="AI661" s="706">
        <v>1</v>
      </c>
      <c r="AJ661" s="905" t="str">
        <f t="shared" si="66"/>
        <v>G43400</v>
      </c>
      <c r="AK661" s="905" t="str">
        <f t="shared" si="67"/>
        <v>VENTES EQUINOX</v>
      </c>
      <c r="AL661" s="905">
        <f>IFERROR(INDEX(G661:R661,1,MATCH(Parametres!$B$3,G$1:R$1,0)-1)*IF(OR(F661="L",F661="S",F661="I"),-1,1),"")</f>
        <v>-391398.43</v>
      </c>
      <c r="AM661" s="905">
        <f t="shared" si="62"/>
        <v>0</v>
      </c>
      <c r="AN661" s="905">
        <f>INDEX(G661:R661,1,MATCH(Parametres!$B$3,G$1:R$1,0))*IF(OR(F661="L",F661="S",F661="I"),-1,1)</f>
        <v>-391398.43</v>
      </c>
      <c r="AO661" s="487" t="str">
        <f>+VLOOKUP($AJ661,Data_Validation!$A:$D,1,0)</f>
        <v>G43400</v>
      </c>
      <c r="AP661" s="487" t="str">
        <f>+VLOOKUP($AJ661,Data_Validation!$A:$D,3,0)</f>
        <v>Véhicules neufs</v>
      </c>
      <c r="AQ661" s="487" t="str">
        <f>+VLOOKUP($AJ661,Data_Validation!$A:$D,4,0)</f>
        <v>Camions détail</v>
      </c>
      <c r="AR661" s="487" t="s">
        <v>299</v>
      </c>
      <c r="AS661" s="487" t="str">
        <f>+VLOOKUP($AJ661,Data_Validation!$A:$E,5,0)</f>
        <v>Oui</v>
      </c>
      <c r="AT661" s="904" t="str">
        <f t="shared" si="63"/>
        <v>G43400</v>
      </c>
      <c r="AU661" s="488" t="str">
        <f t="shared" si="64"/>
        <v>VENTES EQUINOX</v>
      </c>
      <c r="AV661" s="899">
        <f>IFERROR(INDEX(V661:AG661,1,MATCH(Parametres!$B$3,V$1:AG$1,0)-1)*IF(OR(C661="L",C661="S",C661="I"),-1,1),"")</f>
        <v>9</v>
      </c>
      <c r="AW661" s="899">
        <f t="shared" si="65"/>
        <v>0</v>
      </c>
      <c r="AX661" s="899">
        <f>INDEX(V661:AG661,1,MATCH(Parametres!$B$3,V$1:AG$1,0))*IF(OR(C661="L",C661="S",C661="I"),-1,1)</f>
        <v>9</v>
      </c>
      <c r="AY661" s="487" t="s">
        <v>337</v>
      </c>
      <c r="AZ661" s="487" t="str">
        <f>+VLOOKUP($AJ661,Data_Validation!$A:$E,5,0)</f>
        <v>Oui</v>
      </c>
    </row>
    <row r="662" spans="1:52" ht="15" customHeight="1">
      <c r="A662" s="706" t="s">
        <v>1148</v>
      </c>
      <c r="B662" s="706">
        <v>2026</v>
      </c>
      <c r="C662" s="706" t="s">
        <v>2358</v>
      </c>
      <c r="D662" s="706" t="s">
        <v>2359</v>
      </c>
      <c r="E662" s="706" t="s">
        <v>1149</v>
      </c>
      <c r="F662" s="706" t="s">
        <v>1149</v>
      </c>
      <c r="G662" s="706">
        <v>0</v>
      </c>
      <c r="H662" s="706">
        <v>110438.28</v>
      </c>
      <c r="I662" s="706">
        <v>348535.12</v>
      </c>
      <c r="J662" s="706">
        <v>1423503.96</v>
      </c>
      <c r="K662" s="706">
        <v>1573976.96</v>
      </c>
      <c r="L662" s="706">
        <v>1622869.96</v>
      </c>
      <c r="M662" s="706">
        <v>1949739.22</v>
      </c>
      <c r="N662" s="706">
        <v>2432205.88</v>
      </c>
      <c r="O662" s="706">
        <v>2782562.38</v>
      </c>
      <c r="P662" s="706">
        <v>0</v>
      </c>
      <c r="Q662" s="706">
        <v>0</v>
      </c>
      <c r="R662" s="706">
        <v>0</v>
      </c>
      <c r="S662" s="706">
        <v>304025.74</v>
      </c>
      <c r="T662" s="706">
        <v>304025.74</v>
      </c>
      <c r="U662" s="706">
        <v>0</v>
      </c>
      <c r="V662" s="706">
        <v>0</v>
      </c>
      <c r="W662" s="706">
        <v>2</v>
      </c>
      <c r="X662" s="706">
        <v>7</v>
      </c>
      <c r="Y662" s="706">
        <v>29</v>
      </c>
      <c r="Z662" s="706">
        <v>32</v>
      </c>
      <c r="AA662" s="706">
        <v>33</v>
      </c>
      <c r="AB662" s="706">
        <v>40</v>
      </c>
      <c r="AC662" s="706">
        <v>50</v>
      </c>
      <c r="AD662" s="706">
        <v>57</v>
      </c>
      <c r="AE662" s="706">
        <v>0</v>
      </c>
      <c r="AF662" s="706">
        <v>0</v>
      </c>
      <c r="AG662" s="706">
        <v>0</v>
      </c>
      <c r="AH662" s="706">
        <v>6</v>
      </c>
      <c r="AI662" s="706">
        <v>6</v>
      </c>
      <c r="AJ662" s="905" t="str">
        <f t="shared" si="66"/>
        <v>G43401</v>
      </c>
      <c r="AK662" s="905" t="str">
        <f t="shared" si="67"/>
        <v>VTES - EQUINOX EV</v>
      </c>
      <c r="AL662" s="905">
        <f>IFERROR(INDEX(G662:R662,1,MATCH(Parametres!$B$3,G$1:R$1,0)-1)*IF(OR(F662="L",F662="S",F662="I"),-1,1),"")</f>
        <v>-1949739.22</v>
      </c>
      <c r="AM662" s="905">
        <f t="shared" si="62"/>
        <v>-482466.65999999992</v>
      </c>
      <c r="AN662" s="905">
        <f>INDEX(G662:R662,1,MATCH(Parametres!$B$3,G$1:R$1,0))*IF(OR(F662="L",F662="S",F662="I"),-1,1)</f>
        <v>-2432205.88</v>
      </c>
      <c r="AO662" s="487" t="str">
        <f>+VLOOKUP($AJ662,Data_Validation!$A:$D,1,0)</f>
        <v>G43401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G43401</v>
      </c>
      <c r="AU662" s="488" t="str">
        <f t="shared" si="64"/>
        <v>VTES - EQUINOX EV</v>
      </c>
      <c r="AV662" s="899">
        <f>IFERROR(INDEX(V662:AG662,1,MATCH(Parametres!$B$3,V$1:AG$1,0)-1)*IF(OR(C662="L",C662="S",C662="I"),-1,1),"")</f>
        <v>40</v>
      </c>
      <c r="AW662" s="899">
        <f t="shared" si="65"/>
        <v>10</v>
      </c>
      <c r="AX662" s="899">
        <f>INDEX(V662:AG662,1,MATCH(Parametres!$B$3,V$1:AG$1,0))*IF(OR(C662="L",C662="S",C662="I"),-1,1)</f>
        <v>50</v>
      </c>
      <c r="AY662" s="487" t="s">
        <v>337</v>
      </c>
      <c r="AZ662" s="487" t="str">
        <f>+VLOOKUP($AJ662,Data_Validation!$A:$E,5,0)</f>
        <v>Oui</v>
      </c>
    </row>
    <row r="663" spans="1:52" ht="15" customHeight="1">
      <c r="A663" s="706" t="s">
        <v>1148</v>
      </c>
      <c r="B663" s="706">
        <v>2026</v>
      </c>
      <c r="C663" s="706" t="s">
        <v>2360</v>
      </c>
      <c r="D663" s="706" t="s">
        <v>2361</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G43420</v>
      </c>
      <c r="AK663" s="905" t="str">
        <f t="shared" si="67"/>
        <v>VTES-TRACKER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G43420</v>
      </c>
      <c r="AU663" s="488" t="str">
        <f t="shared" si="64"/>
        <v>VTES-TRACKER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customHeight="1">
      <c r="A664" s="706" t="s">
        <v>1148</v>
      </c>
      <c r="B664" s="706">
        <v>2026</v>
      </c>
      <c r="C664" s="706" t="s">
        <v>2362</v>
      </c>
      <c r="D664" s="706" t="s">
        <v>2363</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G43500</v>
      </c>
      <c r="AK664" s="905" t="str">
        <f t="shared" ref="AK664:AK727" si="69">D664</f>
        <v>VENTES CHEV CITY</v>
      </c>
      <c r="AL664" s="905">
        <f>IFERROR(INDEX(G664:R664,1,MATCH(Parametres!$B$3,G$1:R$1,0)-1)*IF(OR(F664="L",F664="S",F664="I"),-1,1),"")</f>
        <v>0</v>
      </c>
      <c r="AM664" s="905">
        <f t="shared" ref="AM664:AM727" si="70">AN664-AL664</f>
        <v>0</v>
      </c>
      <c r="AN664" s="905">
        <f>INDEX(G664:R664,1,MATCH(Parametres!$B$3,G$1:R$1,0))*IF(OR(F664="L",F664="S",F664="I"),-1,1)</f>
        <v>0</v>
      </c>
      <c r="AO664" s="487" t="str">
        <f>+VLOOKUP($AJ664,Data_Validation!$A:$D,1,0)</f>
        <v>G43500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G43500</v>
      </c>
      <c r="AU664" s="488" t="str">
        <f t="shared" ref="AU664:AU727" si="72">D664</f>
        <v>VENTES CHEV CITY</v>
      </c>
      <c r="AV664" s="899">
        <f>IFERROR(INDEX(V664:AG664,1,MATCH(Parametres!$B$3,V$1:AG$1,0)-1)*IF(OR(C664="L",C664="S",C664="I"),-1,1),"")</f>
        <v>0</v>
      </c>
      <c r="AW664" s="899">
        <f t="shared" ref="AW664:AW727" si="73">AX664-AV664</f>
        <v>0</v>
      </c>
      <c r="AX664" s="899">
        <f>INDEX(V664:AG664,1,MATCH(Parametres!$B$3,V$1:AG$1,0))*IF(OR(C664="L",C664="S",C664="I"),-1,1)</f>
        <v>0</v>
      </c>
      <c r="AY664" s="487" t="s">
        <v>337</v>
      </c>
      <c r="AZ664" s="487" t="str">
        <f>+VLOOKUP($AJ664,Data_Validation!$A:$E,5,0)</f>
        <v>Oui</v>
      </c>
    </row>
    <row r="665" spans="1:52" ht="15" customHeight="1">
      <c r="A665" s="706" t="s">
        <v>1148</v>
      </c>
      <c r="B665" s="706">
        <v>2026</v>
      </c>
      <c r="C665" s="706" t="s">
        <v>2364</v>
      </c>
      <c r="D665" s="706" t="s">
        <v>2365</v>
      </c>
      <c r="E665" s="706" t="s">
        <v>1149</v>
      </c>
      <c r="F665" s="706" t="s">
        <v>1149</v>
      </c>
      <c r="G665" s="706">
        <v>0</v>
      </c>
      <c r="H665" s="706">
        <v>0</v>
      </c>
      <c r="I665" s="706">
        <v>0</v>
      </c>
      <c r="J665" s="706">
        <v>0</v>
      </c>
      <c r="K665" s="706">
        <v>0</v>
      </c>
      <c r="L665" s="706">
        <v>0</v>
      </c>
      <c r="M665" s="706">
        <v>127470.08</v>
      </c>
      <c r="N665" s="706">
        <v>127470.08</v>
      </c>
      <c r="O665" s="706">
        <v>127470.08</v>
      </c>
      <c r="P665" s="706">
        <v>0</v>
      </c>
      <c r="Q665" s="706">
        <v>0</v>
      </c>
      <c r="R665" s="706">
        <v>0</v>
      </c>
      <c r="S665" s="706">
        <v>15933.76</v>
      </c>
      <c r="T665" s="706">
        <v>15933.76</v>
      </c>
      <c r="U665" s="706">
        <v>0</v>
      </c>
      <c r="V665" s="706">
        <v>0</v>
      </c>
      <c r="W665" s="706">
        <v>0</v>
      </c>
      <c r="X665" s="706">
        <v>0</v>
      </c>
      <c r="Y665" s="706">
        <v>0</v>
      </c>
      <c r="Z665" s="706">
        <v>0</v>
      </c>
      <c r="AA665" s="706">
        <v>0</v>
      </c>
      <c r="AB665" s="706">
        <v>1</v>
      </c>
      <c r="AC665" s="706">
        <v>1</v>
      </c>
      <c r="AD665" s="706">
        <v>1</v>
      </c>
      <c r="AE665" s="706">
        <v>0</v>
      </c>
      <c r="AF665" s="706">
        <v>0</v>
      </c>
      <c r="AG665" s="706">
        <v>0</v>
      </c>
      <c r="AH665" s="706">
        <v>0</v>
      </c>
      <c r="AI665" s="706">
        <v>0</v>
      </c>
      <c r="AJ665" s="905" t="str">
        <f t="shared" si="68"/>
        <v>G43501</v>
      </c>
      <c r="AK665" s="905" t="str">
        <f t="shared" si="69"/>
        <v>VTES - HUMMER EV SUV</v>
      </c>
      <c r="AL665" s="905">
        <f>IFERROR(INDEX(G665:R665,1,MATCH(Parametres!$B$3,G$1:R$1,0)-1)*IF(OR(F665="L",F665="S",F665="I"),-1,1),"")</f>
        <v>-127470.08</v>
      </c>
      <c r="AM665" s="905">
        <f t="shared" si="70"/>
        <v>0</v>
      </c>
      <c r="AN665" s="905">
        <f>INDEX(G665:R665,1,MATCH(Parametres!$B$3,G$1:R$1,0))*IF(OR(F665="L",F665="S",F665="I"),-1,1)</f>
        <v>-127470.08</v>
      </c>
      <c r="AO665" s="487" t="str">
        <f>+VLOOKUP($AJ665,Data_Validation!$A:$D,1,0)</f>
        <v>G43501</v>
      </c>
      <c r="AP665" s="487" t="str">
        <f>+VLOOKUP($AJ665,Data_Validation!$A:$D,3,0)</f>
        <v>Véhicules neufs</v>
      </c>
      <c r="AQ665" s="487" t="str">
        <f>+VLOOKUP($AJ665,Data_Validation!$A:$D,4,0)</f>
        <v>Camions electriques</v>
      </c>
      <c r="AR665" s="487" t="s">
        <v>299</v>
      </c>
      <c r="AS665" s="487" t="str">
        <f>+VLOOKUP($AJ665,Data_Validation!$A:$E,5,0)</f>
        <v>Oui</v>
      </c>
      <c r="AT665" s="904" t="str">
        <f t="shared" si="71"/>
        <v>G43501</v>
      </c>
      <c r="AU665" s="488" t="str">
        <f t="shared" si="72"/>
        <v>VTES - HUMMER EV SUV</v>
      </c>
      <c r="AV665" s="899">
        <f>IFERROR(INDEX(V665:AG665,1,MATCH(Parametres!$B$3,V$1:AG$1,0)-1)*IF(OR(C665="L",C665="S",C665="I"),-1,1),"")</f>
        <v>1</v>
      </c>
      <c r="AW665" s="899">
        <f t="shared" si="73"/>
        <v>0</v>
      </c>
      <c r="AX665" s="899">
        <f>INDEX(V665:AG665,1,MATCH(Parametres!$B$3,V$1:AG$1,0))*IF(OR(C665="L",C665="S",C665="I"),-1,1)</f>
        <v>1</v>
      </c>
      <c r="AY665" s="487" t="s">
        <v>337</v>
      </c>
      <c r="AZ665" s="487" t="str">
        <f>+VLOOKUP($AJ665,Data_Validation!$A:$E,5,0)</f>
        <v>Oui</v>
      </c>
    </row>
    <row r="666" spans="1:52" ht="15" customHeight="1">
      <c r="A666" s="706" t="s">
        <v>1148</v>
      </c>
      <c r="B666" s="706">
        <v>2026</v>
      </c>
      <c r="C666" s="706" t="s">
        <v>2366</v>
      </c>
      <c r="D666" s="706" t="s">
        <v>2367</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G43520</v>
      </c>
      <c r="AK666" s="905" t="str">
        <f t="shared" si="69"/>
        <v>VTES-SSR             -LOC</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G43520</v>
      </c>
      <c r="AU666" s="488" t="str">
        <f t="shared" si="72"/>
        <v>VTES-SSR             -LOC</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2368</v>
      </c>
      <c r="D667" s="706" t="s">
        <v>2369</v>
      </c>
      <c r="E667" s="706" t="s">
        <v>1149</v>
      </c>
      <c r="F667" s="706" t="s">
        <v>1149</v>
      </c>
      <c r="G667" s="706">
        <v>40000</v>
      </c>
      <c r="H667" s="706">
        <v>72235</v>
      </c>
      <c r="I667" s="706">
        <v>72235</v>
      </c>
      <c r="J667" s="706">
        <v>72235</v>
      </c>
      <c r="K667" s="706">
        <v>109605.5</v>
      </c>
      <c r="L667" s="706">
        <v>109605.5</v>
      </c>
      <c r="M667" s="706">
        <v>109605.5</v>
      </c>
      <c r="N667" s="706">
        <v>143925.5</v>
      </c>
      <c r="O667" s="706">
        <v>186139.9</v>
      </c>
      <c r="P667" s="706">
        <v>0</v>
      </c>
      <c r="Q667" s="706">
        <v>0</v>
      </c>
      <c r="R667" s="706">
        <v>0</v>
      </c>
      <c r="S667" s="706">
        <v>17990.689999999999</v>
      </c>
      <c r="T667" s="706">
        <v>17990.689999999999</v>
      </c>
      <c r="U667" s="706">
        <v>0</v>
      </c>
      <c r="V667" s="706">
        <v>1</v>
      </c>
      <c r="W667" s="706">
        <v>2</v>
      </c>
      <c r="X667" s="706">
        <v>2</v>
      </c>
      <c r="Y667" s="706">
        <v>2</v>
      </c>
      <c r="Z667" s="706">
        <v>3</v>
      </c>
      <c r="AA667" s="706">
        <v>3</v>
      </c>
      <c r="AB667" s="706">
        <v>3</v>
      </c>
      <c r="AC667" s="706">
        <v>4</v>
      </c>
      <c r="AD667" s="706">
        <v>5</v>
      </c>
      <c r="AE667" s="706">
        <v>0</v>
      </c>
      <c r="AF667" s="706">
        <v>0</v>
      </c>
      <c r="AG667" s="706">
        <v>0</v>
      </c>
      <c r="AH667" s="706">
        <v>1</v>
      </c>
      <c r="AI667" s="706">
        <v>1</v>
      </c>
      <c r="AJ667" s="905" t="str">
        <f t="shared" si="68"/>
        <v>G43600</v>
      </c>
      <c r="AK667" s="905" t="str">
        <f t="shared" si="69"/>
        <v>VTES-TRAIL BLAZER</v>
      </c>
      <c r="AL667" s="905">
        <f>IFERROR(INDEX(G667:R667,1,MATCH(Parametres!$B$3,G$1:R$1,0)-1)*IF(OR(F667="L",F667="S",F667="I"),-1,1),"")</f>
        <v>-109605.5</v>
      </c>
      <c r="AM667" s="1047">
        <f t="shared" si="70"/>
        <v>-34320</v>
      </c>
      <c r="AN667" s="905">
        <f>INDEX(G667:R667,1,MATCH(Parametres!$B$3,G$1:R$1,0))*IF(OR(F667="L",F667="S",F667="I"),-1,1)</f>
        <v>-143925.5</v>
      </c>
      <c r="AO667" s="487" t="str">
        <f>+VLOOKUP($AJ667,Data_Validation!$A:$D,1,0)</f>
        <v>G43600</v>
      </c>
      <c r="AP667" s="487" t="str">
        <f>+VLOOKUP($AJ667,Data_Validation!$A:$D,3,0)</f>
        <v>Véhicules neufs</v>
      </c>
      <c r="AQ667" s="487" t="str">
        <f>+VLOOKUP($AJ667,Data_Validation!$A:$D,4,0)</f>
        <v>Camions détail</v>
      </c>
      <c r="AR667" s="487" t="s">
        <v>299</v>
      </c>
      <c r="AS667" s="487" t="str">
        <f>+VLOOKUP($AJ667,Data_Validation!$A:$E,5,0)</f>
        <v>Oui</v>
      </c>
      <c r="AT667" s="904" t="str">
        <f t="shared" si="71"/>
        <v>G43600</v>
      </c>
      <c r="AU667" s="488" t="str">
        <f t="shared" si="72"/>
        <v>VTES-TRAIL BLAZER</v>
      </c>
      <c r="AV667" s="899">
        <f>IFERROR(INDEX(V667:AG667,1,MATCH(Parametres!$B$3,V$1:AG$1,0)-1)*IF(OR(C667="L",C667="S",C667="I"),-1,1),"")</f>
        <v>3</v>
      </c>
      <c r="AW667" s="899">
        <f t="shared" si="73"/>
        <v>1</v>
      </c>
      <c r="AX667" s="899">
        <f>INDEX(V667:AG667,1,MATCH(Parametres!$B$3,V$1:AG$1,0))*IF(OR(C667="L",C667="S",C667="I"),-1,1)</f>
        <v>4</v>
      </c>
      <c r="AY667" s="487" t="s">
        <v>337</v>
      </c>
      <c r="AZ667" s="487" t="str">
        <f>+VLOOKUP($AJ667,Data_Validation!$A:$E,5,0)</f>
        <v>Oui</v>
      </c>
    </row>
    <row r="668" spans="1:52" ht="15" customHeight="1">
      <c r="A668" s="706" t="s">
        <v>1148</v>
      </c>
      <c r="B668" s="706">
        <v>2026</v>
      </c>
      <c r="C668" s="706" t="s">
        <v>2370</v>
      </c>
      <c r="D668" s="706" t="s">
        <v>2371</v>
      </c>
      <c r="E668" s="706" t="s">
        <v>1149</v>
      </c>
      <c r="F668" s="706" t="s">
        <v>1149</v>
      </c>
      <c r="G668" s="706">
        <v>0</v>
      </c>
      <c r="H668" s="706">
        <v>0</v>
      </c>
      <c r="I668" s="706">
        <v>67438</v>
      </c>
      <c r="J668" s="706">
        <v>133438</v>
      </c>
      <c r="K668" s="706">
        <v>199872</v>
      </c>
      <c r="L668" s="706">
        <v>199872</v>
      </c>
      <c r="M668" s="706">
        <v>199872</v>
      </c>
      <c r="N668" s="706">
        <v>199872</v>
      </c>
      <c r="O668" s="706">
        <v>270224.28999999998</v>
      </c>
      <c r="P668" s="706">
        <v>0</v>
      </c>
      <c r="Q668" s="706">
        <v>0</v>
      </c>
      <c r="R668" s="706">
        <v>0</v>
      </c>
      <c r="S668" s="706">
        <v>24984</v>
      </c>
      <c r="T668" s="706">
        <v>24984</v>
      </c>
      <c r="U668" s="706">
        <v>0</v>
      </c>
      <c r="V668" s="706">
        <v>0</v>
      </c>
      <c r="W668" s="706">
        <v>0</v>
      </c>
      <c r="X668" s="706">
        <v>1</v>
      </c>
      <c r="Y668" s="706">
        <v>2</v>
      </c>
      <c r="Z668" s="706">
        <v>3</v>
      </c>
      <c r="AA668" s="706">
        <v>3</v>
      </c>
      <c r="AB668" s="706">
        <v>3</v>
      </c>
      <c r="AC668" s="706">
        <v>3</v>
      </c>
      <c r="AD668" s="706">
        <v>4</v>
      </c>
      <c r="AE668" s="706">
        <v>0</v>
      </c>
      <c r="AF668" s="706">
        <v>0</v>
      </c>
      <c r="AG668" s="706">
        <v>0</v>
      </c>
      <c r="AH668" s="706">
        <v>0</v>
      </c>
      <c r="AI668" s="706">
        <v>0</v>
      </c>
      <c r="AJ668" s="905" t="str">
        <f t="shared" si="68"/>
        <v>G43602</v>
      </c>
      <c r="AK668" s="905" t="str">
        <f t="shared" si="69"/>
        <v>VENTES GMC ACADIA</v>
      </c>
      <c r="AL668" s="905">
        <f>IFERROR(INDEX(G668:R668,1,MATCH(Parametres!$B$3,G$1:R$1,0)-1)*IF(OR(F668="L",F668="S",F668="I"),-1,1),"")</f>
        <v>-199872</v>
      </c>
      <c r="AM668" s="1047">
        <f t="shared" si="70"/>
        <v>0</v>
      </c>
      <c r="AN668" s="905">
        <f>INDEX(G668:R668,1,MATCH(Parametres!$B$3,G$1:R$1,0))*IF(OR(F668="L",F668="S",F668="I"),-1,1)</f>
        <v>-199872</v>
      </c>
      <c r="AO668" s="487" t="str">
        <f>+VLOOKUP($AJ668,Data_Validation!$A:$D,1,0)</f>
        <v>G43602</v>
      </c>
      <c r="AP668" s="487" t="str">
        <f>+VLOOKUP($AJ668,Data_Validation!$A:$D,3,0)</f>
        <v>Véhicules neufs</v>
      </c>
      <c r="AQ668" s="487" t="str">
        <f>+VLOOKUP($AJ668,Data_Validation!$A:$D,4,0)</f>
        <v>Camions détail</v>
      </c>
      <c r="AR668" s="487" t="s">
        <v>299</v>
      </c>
      <c r="AS668" s="487" t="str">
        <f>+VLOOKUP($AJ668,Data_Validation!$A:$E,5,0)</f>
        <v>Oui</v>
      </c>
      <c r="AT668" s="904" t="str">
        <f t="shared" si="71"/>
        <v>G43602</v>
      </c>
      <c r="AU668" s="488" t="str">
        <f t="shared" si="72"/>
        <v>VENTES GMC ACADIA</v>
      </c>
      <c r="AV668" s="899">
        <f>IFERROR(INDEX(V668:AG668,1,MATCH(Parametres!$B$3,V$1:AG$1,0)-1)*IF(OR(C668="L",C668="S",C668="I"),-1,1),"")</f>
        <v>3</v>
      </c>
      <c r="AW668" s="899">
        <f t="shared" si="73"/>
        <v>0</v>
      </c>
      <c r="AX668" s="899">
        <f>INDEX(V668:AG668,1,MATCH(Parametres!$B$3,V$1:AG$1,0))*IF(OR(C668="L",C668="S",C668="I"),-1,1)</f>
        <v>3</v>
      </c>
      <c r="AY668" s="487" t="s">
        <v>337</v>
      </c>
      <c r="AZ668" s="487" t="str">
        <f>+VLOOKUP($AJ668,Data_Validation!$A:$E,5,0)</f>
        <v>Oui</v>
      </c>
    </row>
    <row r="669" spans="1:52" ht="15" customHeight="1">
      <c r="A669" s="706" t="s">
        <v>1148</v>
      </c>
      <c r="B669" s="706">
        <v>2026</v>
      </c>
      <c r="C669" s="706" t="s">
        <v>2372</v>
      </c>
      <c r="D669" s="706" t="s">
        <v>2373</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G43800</v>
      </c>
      <c r="AK669" s="905" t="str">
        <f t="shared" si="69"/>
        <v>VTES-CHEV CAMION AUTRES</v>
      </c>
      <c r="AL669" s="905">
        <f>IFERROR(INDEX(G669:R669,1,MATCH(Parametres!$B$3,G$1:R$1,0)-1)*IF(OR(F669="L",F669="S",F669="I"),-1,1),"")</f>
        <v>0</v>
      </c>
      <c r="AM669" s="1047">
        <f t="shared" si="70"/>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71"/>
        <v>G43800</v>
      </c>
      <c r="AU669" s="488" t="str">
        <f t="shared" si="72"/>
        <v>VTES-CHEV CAMION AUTRES</v>
      </c>
      <c r="AV669" s="899">
        <f>IFERROR(INDEX(V669:AG669,1,MATCH(Parametres!$B$3,V$1:AG$1,0)-1)*IF(OR(C669="L",C669="S",C669="I"),-1,1),"")</f>
        <v>0</v>
      </c>
      <c r="AW669" s="899">
        <f t="shared" si="73"/>
        <v>0</v>
      </c>
      <c r="AX669" s="899">
        <f>INDEX(V669:AG669,1,MATCH(Parametres!$B$3,V$1:AG$1,0))*IF(OR(C669="L",C669="S",C669="I"),-1,1)</f>
        <v>0</v>
      </c>
      <c r="AY669" s="487" t="s">
        <v>337</v>
      </c>
      <c r="AZ669" s="487" t="e">
        <f>+VLOOKUP($AJ669,Data_Validation!$A:$E,5,0)</f>
        <v>#N/A</v>
      </c>
    </row>
    <row r="670" spans="1:52" ht="15" customHeight="1">
      <c r="A670" s="706" t="s">
        <v>1148</v>
      </c>
      <c r="B670" s="706">
        <v>2026</v>
      </c>
      <c r="C670" s="706" t="s">
        <v>2374</v>
      </c>
      <c r="D670" s="706" t="s">
        <v>2375</v>
      </c>
      <c r="E670" s="706" t="s">
        <v>1149</v>
      </c>
      <c r="F670" s="706" t="s">
        <v>1149</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905" t="str">
        <f t="shared" si="68"/>
        <v>G43820</v>
      </c>
      <c r="AK670" s="905" t="str">
        <f t="shared" si="69"/>
        <v>VTES-CHEV CAM AUTRE  -LOC</v>
      </c>
      <c r="AL670" s="905">
        <f>IFERROR(INDEX(G670:R670,1,MATCH(Parametres!$B$3,G$1:R$1,0)-1)*IF(OR(F670="L",F670="S",F670="I"),-1,1),"")</f>
        <v>0</v>
      </c>
      <c r="AM670" s="905">
        <f t="shared" si="70"/>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71"/>
        <v>G43820</v>
      </c>
      <c r="AU670" s="488" t="str">
        <f t="shared" si="72"/>
        <v>VTES-CHEV CAM AUTRE  -LOC</v>
      </c>
      <c r="AV670" s="899">
        <f>IFERROR(INDEX(V670:AG670,1,MATCH(Parametres!$B$3,V$1:AG$1,0)-1)*IF(OR(C670="L",C670="S",C670="I"),-1,1),"")</f>
        <v>0</v>
      </c>
      <c r="AW670" s="899">
        <f t="shared" si="73"/>
        <v>0</v>
      </c>
      <c r="AX670" s="899">
        <f>INDEX(V670:AG670,1,MATCH(Parametres!$B$3,V$1:AG$1,0))*IF(OR(C670="L",C670="S",C670="I"),-1,1)</f>
        <v>0</v>
      </c>
      <c r="AY670" s="487" t="s">
        <v>337</v>
      </c>
      <c r="AZ670" s="487" t="e">
        <f>+VLOOKUP($AJ670,Data_Validation!$A:$E,5,0)</f>
        <v>#N/A</v>
      </c>
    </row>
    <row r="671" spans="1:52" ht="15" customHeight="1">
      <c r="A671" s="706" t="s">
        <v>1148</v>
      </c>
      <c r="B671" s="706">
        <v>2026</v>
      </c>
      <c r="C671" s="706" t="s">
        <v>2376</v>
      </c>
      <c r="D671" s="706" t="s">
        <v>2377</v>
      </c>
      <c r="E671" s="706" t="s">
        <v>1149</v>
      </c>
      <c r="F671" s="706" t="s">
        <v>1149</v>
      </c>
      <c r="G671" s="706">
        <v>7341393.8700000001</v>
      </c>
      <c r="H671" s="706">
        <v>16188705.73</v>
      </c>
      <c r="I671" s="706">
        <v>24057643.949999999</v>
      </c>
      <c r="J671" s="706">
        <v>35215377.390000001</v>
      </c>
      <c r="K671" s="706">
        <v>46698197.899999999</v>
      </c>
      <c r="L671" s="706">
        <v>55470148.740000002</v>
      </c>
      <c r="M671" s="706">
        <v>59560774.780000001</v>
      </c>
      <c r="N671" s="706">
        <v>62083971.799999997</v>
      </c>
      <c r="O671" s="706">
        <v>64215547.729999997</v>
      </c>
      <c r="P671" s="706">
        <v>0</v>
      </c>
      <c r="Q671" s="706">
        <v>0</v>
      </c>
      <c r="R671" s="706">
        <v>0</v>
      </c>
      <c r="S671" s="706">
        <v>7760496.4800000004</v>
      </c>
      <c r="T671" s="706">
        <v>7760496.4800000004</v>
      </c>
      <c r="U671" s="706">
        <v>0</v>
      </c>
      <c r="V671" s="706">
        <v>113</v>
      </c>
      <c r="W671" s="706">
        <v>259</v>
      </c>
      <c r="X671" s="706">
        <v>393</v>
      </c>
      <c r="Y671" s="706">
        <v>551</v>
      </c>
      <c r="Z671" s="706">
        <v>725</v>
      </c>
      <c r="AA671" s="706">
        <v>846</v>
      </c>
      <c r="AB671" s="706">
        <v>904</v>
      </c>
      <c r="AC671" s="706">
        <v>938</v>
      </c>
      <c r="AD671" s="706">
        <v>972</v>
      </c>
      <c r="AE671" s="706">
        <v>0</v>
      </c>
      <c r="AF671" s="706">
        <v>0</v>
      </c>
      <c r="AG671" s="706">
        <v>0</v>
      </c>
      <c r="AH671" s="706">
        <v>117</v>
      </c>
      <c r="AI671" s="706">
        <v>117</v>
      </c>
      <c r="AJ671" s="905" t="str">
        <f t="shared" si="68"/>
        <v>G44000</v>
      </c>
      <c r="AK671" s="905" t="str">
        <f t="shared" si="69"/>
        <v>VENTES PARCS CAMIONS</v>
      </c>
      <c r="AL671" s="905">
        <f>IFERROR(INDEX(G671:R671,1,MATCH(Parametres!$B$3,G$1:R$1,0)-1)*IF(OR(F671="L",F671="S",F671="I"),-1,1),"")</f>
        <v>-59560774.780000001</v>
      </c>
      <c r="AM671" s="905">
        <f t="shared" si="70"/>
        <v>-2523197.0199999958</v>
      </c>
      <c r="AN671" s="905">
        <f>INDEX(G671:R671,1,MATCH(Parametres!$B$3,G$1:R$1,0))*IF(OR(F671="L",F671="S",F671="I"),-1,1)</f>
        <v>-62083971.799999997</v>
      </c>
      <c r="AO671" s="487" t="str">
        <f>+VLOOKUP($AJ671,Data_Validation!$A:$D,1,0)</f>
        <v>G44000</v>
      </c>
      <c r="AP671" s="487" t="str">
        <f>+VLOOKUP($AJ671,Data_Validation!$A:$D,3,0)</f>
        <v>Véhicules neufs</v>
      </c>
      <c r="AQ671" s="487" t="str">
        <f>+VLOOKUP($AJ671,Data_Validation!$A:$D,4,0)</f>
        <v>Flottes</v>
      </c>
      <c r="AR671" s="487" t="s">
        <v>299</v>
      </c>
      <c r="AS671" s="487" t="str">
        <f>+VLOOKUP($AJ671,Data_Validation!$A:$E,5,0)</f>
        <v>Oui</v>
      </c>
      <c r="AT671" s="904" t="str">
        <f t="shared" si="71"/>
        <v>G44000</v>
      </c>
      <c r="AU671" s="488" t="str">
        <f t="shared" si="72"/>
        <v>VENTES PARCS CAMIONS</v>
      </c>
      <c r="AV671" s="899">
        <f>IFERROR(INDEX(V671:AG671,1,MATCH(Parametres!$B$3,V$1:AG$1,0)-1)*IF(OR(C671="L",C671="S",C671="I"),-1,1),"")</f>
        <v>904</v>
      </c>
      <c r="AW671" s="899">
        <f t="shared" si="73"/>
        <v>34</v>
      </c>
      <c r="AX671" s="899">
        <f>INDEX(V671:AG671,1,MATCH(Parametres!$B$3,V$1:AG$1,0))*IF(OR(C671="L",C671="S",C671="I"),-1,1)</f>
        <v>938</v>
      </c>
      <c r="AY671" s="487" t="s">
        <v>337</v>
      </c>
      <c r="AZ671" s="487" t="str">
        <f>+VLOOKUP($AJ671,Data_Validation!$A:$E,5,0)</f>
        <v>Oui</v>
      </c>
    </row>
    <row r="672" spans="1:52" ht="15" customHeight="1">
      <c r="A672" s="706" t="s">
        <v>1148</v>
      </c>
      <c r="B672" s="706">
        <v>2026</v>
      </c>
      <c r="C672" s="706" t="s">
        <v>2378</v>
      </c>
      <c r="D672" s="706" t="s">
        <v>2379</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G44100</v>
      </c>
      <c r="AK672" s="905" t="str">
        <f t="shared" si="69"/>
        <v>VTES-INTERNE CAMIONS</v>
      </c>
      <c r="AL672" s="905">
        <f>IFERROR(INDEX(G672:R672,1,MATCH(Parametres!$B$3,G$1:R$1,0)-1)*IF(OR(F672="L",F672="S",F672="I"),-1,1),"")</f>
        <v>0</v>
      </c>
      <c r="AM672" s="905">
        <f t="shared" si="70"/>
        <v>0</v>
      </c>
      <c r="AN672" s="905">
        <f>INDEX(G672:R672,1,MATCH(Parametres!$B$3,G$1:R$1,0))*IF(OR(F672="L",F672="S",F672="I"),-1,1)</f>
        <v>0</v>
      </c>
      <c r="AO672" s="487" t="str">
        <f>+VLOOKUP($AJ672,Data_Validation!$A:$D,1,0)</f>
        <v>G44100</v>
      </c>
      <c r="AP672" s="487" t="str">
        <f>+VLOOKUP($AJ672,Data_Validation!$A:$D,3,0)</f>
        <v>Véhicules neufs</v>
      </c>
      <c r="AQ672" s="487" t="str">
        <f>+VLOOKUP($AJ672,Data_Validation!$A:$D,4,0)</f>
        <v>Flottes</v>
      </c>
      <c r="AR672" s="487" t="s">
        <v>299</v>
      </c>
      <c r="AS672" s="487" t="str">
        <f>+VLOOKUP($AJ672,Data_Validation!$A:$E,5,0)</f>
        <v>Oui</v>
      </c>
      <c r="AT672" s="904" t="str">
        <f t="shared" si="71"/>
        <v>G44100</v>
      </c>
      <c r="AU672" s="488" t="str">
        <f t="shared" si="72"/>
        <v>VTES-INTERNE CAMIONS</v>
      </c>
      <c r="AV672" s="899">
        <f>IFERROR(INDEX(V672:AG672,1,MATCH(Parametres!$B$3,V$1:AG$1,0)-1)*IF(OR(C672="L",C672="S",C672="I"),-1,1),"")</f>
        <v>0</v>
      </c>
      <c r="AW672" s="899">
        <f t="shared" si="73"/>
        <v>0</v>
      </c>
      <c r="AX672" s="899">
        <f>INDEX(V672:AG672,1,MATCH(Parametres!$B$3,V$1:AG$1,0))*IF(OR(C672="L",C672="S",C672="I"),-1,1)</f>
        <v>0</v>
      </c>
      <c r="AY672" s="487" t="s">
        <v>337</v>
      </c>
      <c r="AZ672" s="487" t="str">
        <f>+VLOOKUP($AJ672,Data_Validation!$A:$E,5,0)</f>
        <v>Oui</v>
      </c>
    </row>
    <row r="673" spans="1:52" ht="15" customHeight="1">
      <c r="A673" s="706" t="s">
        <v>1148</v>
      </c>
      <c r="B673" s="706">
        <v>2026</v>
      </c>
      <c r="C673" s="706" t="s">
        <v>2380</v>
      </c>
      <c r="D673" s="706" t="s">
        <v>3331</v>
      </c>
      <c r="E673" s="706" t="s">
        <v>333</v>
      </c>
      <c r="F673" s="706" t="s">
        <v>1149</v>
      </c>
      <c r="G673" s="706">
        <v>61922.46</v>
      </c>
      <c r="H673" s="706">
        <v>99457.46</v>
      </c>
      <c r="I673" s="706">
        <v>156410.91</v>
      </c>
      <c r="J673" s="706">
        <v>273816.55</v>
      </c>
      <c r="K673" s="706">
        <v>330493.25</v>
      </c>
      <c r="L673" s="706">
        <v>384528.25</v>
      </c>
      <c r="M673" s="706">
        <v>449564.25</v>
      </c>
      <c r="N673" s="706">
        <v>506031.05</v>
      </c>
      <c r="O673" s="706">
        <v>558260.44999999995</v>
      </c>
      <c r="P673" s="706">
        <v>0</v>
      </c>
      <c r="Q673" s="706">
        <v>0</v>
      </c>
      <c r="R673" s="706">
        <v>0</v>
      </c>
      <c r="S673" s="706">
        <v>63253.88</v>
      </c>
      <c r="T673" s="706">
        <v>63253.88</v>
      </c>
      <c r="U673" s="706">
        <v>0</v>
      </c>
      <c r="V673" s="706">
        <v>13</v>
      </c>
      <c r="W673" s="706">
        <v>24</v>
      </c>
      <c r="X673" s="706">
        <v>42</v>
      </c>
      <c r="Y673" s="706">
        <v>75</v>
      </c>
      <c r="Z673" s="706">
        <v>90</v>
      </c>
      <c r="AA673" s="706">
        <v>104</v>
      </c>
      <c r="AB673" s="706">
        <v>119</v>
      </c>
      <c r="AC673" s="706">
        <v>140</v>
      </c>
      <c r="AD673" s="706">
        <v>162</v>
      </c>
      <c r="AE673" s="706">
        <v>0</v>
      </c>
      <c r="AF673" s="706">
        <v>0</v>
      </c>
      <c r="AG673" s="706">
        <v>0</v>
      </c>
      <c r="AH673" s="706">
        <v>18</v>
      </c>
      <c r="AI673" s="706">
        <v>18</v>
      </c>
      <c r="AJ673" s="905" t="str">
        <f t="shared" si="68"/>
        <v>G44300</v>
      </c>
      <c r="AK673" s="905" t="str">
        <f t="shared" si="69"/>
        <v>VTES-PLAN PROTECTION -NF</v>
      </c>
      <c r="AL673" s="905">
        <f>IFERROR(INDEX(G673:R673,1,MATCH(Parametres!$B$3,G$1:R$1,0)-1)*IF(OR(F673="L",F673="S",F673="I"),-1,1),"")</f>
        <v>-449564.25</v>
      </c>
      <c r="AM673" s="905">
        <f t="shared" si="70"/>
        <v>-56466.799999999988</v>
      </c>
      <c r="AN673" s="905">
        <f>INDEX(G673:R673,1,MATCH(Parametres!$B$3,G$1:R$1,0))*IF(OR(F673="L",F673="S",F673="I"),-1,1)</f>
        <v>-506031.05</v>
      </c>
      <c r="AO673" s="487" t="str">
        <f>+VLOOKUP($AJ673,Data_Validation!$A:$D,1,0)</f>
        <v>G44300</v>
      </c>
      <c r="AP673" s="487" t="str">
        <f>+VLOOKUP($AJ673,Data_Validation!$A:$D,3,0)</f>
        <v>Véhicules neufs</v>
      </c>
      <c r="AQ673" s="487" t="str">
        <f>+VLOOKUP($AJ673,Data_Validation!$A:$D,4,0)</f>
        <v>Rev. Protections</v>
      </c>
      <c r="AR673" s="487" t="s">
        <v>299</v>
      </c>
      <c r="AS673" s="487" t="str">
        <f>+VLOOKUP($AJ673,Data_Validation!$A:$E,5,0)</f>
        <v>Oui</v>
      </c>
      <c r="AT673" s="904" t="str">
        <f t="shared" si="71"/>
        <v>G44300</v>
      </c>
      <c r="AU673" s="488" t="str">
        <f t="shared" si="72"/>
        <v>VTES-PLAN PROTECTION -NF</v>
      </c>
      <c r="AV673" s="899">
        <f>IFERROR(INDEX(V673:AG673,1,MATCH(Parametres!$B$3,V$1:AG$1,0)-1)*IF(OR(C673="L",C673="S",C673="I"),-1,1),"")</f>
        <v>119</v>
      </c>
      <c r="AW673" s="899">
        <f t="shared" si="73"/>
        <v>21</v>
      </c>
      <c r="AX673" s="899">
        <f>INDEX(V673:AG673,1,MATCH(Parametres!$B$3,V$1:AG$1,0))*IF(OR(C673="L",C673="S",C673="I"),-1,1)</f>
        <v>140</v>
      </c>
      <c r="AY673" s="487" t="s">
        <v>337</v>
      </c>
      <c r="AZ673" s="487" t="str">
        <f>+VLOOKUP($AJ673,Data_Validation!$A:$E,5,0)</f>
        <v>Oui</v>
      </c>
    </row>
    <row r="674" spans="1:52" ht="15" customHeight="1">
      <c r="A674" s="706" t="s">
        <v>1148</v>
      </c>
      <c r="B674" s="706">
        <v>2026</v>
      </c>
      <c r="C674" s="706" t="s">
        <v>2382</v>
      </c>
      <c r="D674" s="706" t="s">
        <v>2383</v>
      </c>
      <c r="E674" s="706" t="s">
        <v>333</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G44400</v>
      </c>
      <c r="AK674" s="905" t="str">
        <f t="shared" si="69"/>
        <v>VENTE PROTECTION PLUS</v>
      </c>
      <c r="AL674" s="905">
        <f>IFERROR(INDEX(G674:R674,1,MATCH(Parametres!$B$3,G$1:R$1,0)-1)*IF(OR(F674="L",F674="S",F674="I"),-1,1),"")</f>
        <v>0</v>
      </c>
      <c r="AM674" s="905">
        <f t="shared" si="70"/>
        <v>0</v>
      </c>
      <c r="AN674" s="905">
        <f>INDEX(G674:R674,1,MATCH(Parametres!$B$3,G$1:R$1,0))*IF(OR(F674="L",F674="S",F674="I"),-1,1)</f>
        <v>0</v>
      </c>
      <c r="AO674" s="487" t="str">
        <f>+VLOOKUP($AJ674,Data_Validation!$A:$D,1,0)</f>
        <v>G44400</v>
      </c>
      <c r="AP674" s="487" t="str">
        <f>+VLOOKUP($AJ674,Data_Validation!$A:$D,3,0)</f>
        <v>Véhicules neufs</v>
      </c>
      <c r="AQ674" s="487" t="str">
        <f>+VLOOKUP($AJ674,Data_Validation!$A:$D,4,0)</f>
        <v>Rev. Protections</v>
      </c>
      <c r="AR674" s="487" t="s">
        <v>299</v>
      </c>
      <c r="AS674" s="487" t="str">
        <f>+VLOOKUP($AJ674,Data_Validation!$A:$E,5,0)</f>
        <v>Oui</v>
      </c>
      <c r="AT674" s="904" t="str">
        <f t="shared" si="71"/>
        <v>G44400</v>
      </c>
      <c r="AU674" s="488" t="str">
        <f t="shared" si="72"/>
        <v>VENTE PROTECTION PLUS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customHeight="1">
      <c r="A675" s="706" t="s">
        <v>1148</v>
      </c>
      <c r="B675" s="706">
        <v>2026</v>
      </c>
      <c r="C675" s="706" t="s">
        <v>2384</v>
      </c>
      <c r="D675" s="706" t="s">
        <v>2385</v>
      </c>
      <c r="E675" s="706" t="s">
        <v>333</v>
      </c>
      <c r="F675" s="706" t="s">
        <v>1149</v>
      </c>
      <c r="G675" s="706">
        <v>2298</v>
      </c>
      <c r="H675" s="706">
        <v>4623</v>
      </c>
      <c r="I675" s="706">
        <v>6521</v>
      </c>
      <c r="J675" s="706">
        <v>13070</v>
      </c>
      <c r="K675" s="706">
        <v>17998</v>
      </c>
      <c r="L675" s="706">
        <v>24187</v>
      </c>
      <c r="M675" s="706">
        <v>30936</v>
      </c>
      <c r="N675" s="706">
        <v>30936</v>
      </c>
      <c r="O675" s="706">
        <v>31386</v>
      </c>
      <c r="P675" s="706">
        <v>0</v>
      </c>
      <c r="Q675" s="706">
        <v>0</v>
      </c>
      <c r="R675" s="706">
        <v>0</v>
      </c>
      <c r="S675" s="706">
        <v>3867</v>
      </c>
      <c r="T675" s="706">
        <v>3867</v>
      </c>
      <c r="U675" s="706">
        <v>0</v>
      </c>
      <c r="V675" s="706">
        <v>2</v>
      </c>
      <c r="W675" s="706">
        <v>4</v>
      </c>
      <c r="X675" s="706">
        <v>6</v>
      </c>
      <c r="Y675" s="706">
        <v>12</v>
      </c>
      <c r="Z675" s="706">
        <v>16</v>
      </c>
      <c r="AA675" s="706">
        <v>21</v>
      </c>
      <c r="AB675" s="706">
        <v>27</v>
      </c>
      <c r="AC675" s="706">
        <v>27</v>
      </c>
      <c r="AD675" s="706">
        <v>28</v>
      </c>
      <c r="AE675" s="706">
        <v>0</v>
      </c>
      <c r="AF675" s="706">
        <v>0</v>
      </c>
      <c r="AG675" s="706">
        <v>0</v>
      </c>
      <c r="AH675" s="706">
        <v>3</v>
      </c>
      <c r="AI675" s="706">
        <v>3</v>
      </c>
      <c r="AJ675" s="905" t="str">
        <f t="shared" si="68"/>
        <v>G44501</v>
      </c>
      <c r="AK675" s="905" t="str">
        <f t="shared" si="69"/>
        <v>VTES-ANTIROUILLE</v>
      </c>
      <c r="AL675" s="905">
        <f>IFERROR(INDEX(G675:R675,1,MATCH(Parametres!$B$3,G$1:R$1,0)-1)*IF(OR(F675="L",F675="S",F675="I"),-1,1),"")</f>
        <v>-30936</v>
      </c>
      <c r="AM675" s="905">
        <f t="shared" si="70"/>
        <v>0</v>
      </c>
      <c r="AN675" s="905">
        <f>INDEX(G675:R675,1,MATCH(Parametres!$B$3,G$1:R$1,0))*IF(OR(F675="L",F675="S",F675="I"),-1,1)</f>
        <v>-30936</v>
      </c>
      <c r="AO675" s="487" t="str">
        <f>+VLOOKUP($AJ675,Data_Validation!$A:$D,1,0)</f>
        <v>G44501</v>
      </c>
      <c r="AP675" s="487" t="str">
        <f>+VLOOKUP($AJ675,Data_Validation!$A:$D,3,0)</f>
        <v>Véhicules neufs</v>
      </c>
      <c r="AQ675" s="487" t="str">
        <f>+VLOOKUP($AJ675,Data_Validation!$A:$D,4,0)</f>
        <v>Rev. Autres</v>
      </c>
      <c r="AR675" s="487" t="s">
        <v>299</v>
      </c>
      <c r="AS675" s="487" t="str">
        <f>+VLOOKUP($AJ675,Data_Validation!$A:$E,5,0)</f>
        <v>Oui</v>
      </c>
      <c r="AT675" s="904" t="str">
        <f t="shared" si="71"/>
        <v>G44501</v>
      </c>
      <c r="AU675" s="488" t="str">
        <f t="shared" si="72"/>
        <v>VTES-ANTIROUILLE</v>
      </c>
      <c r="AV675" s="899">
        <f>IFERROR(INDEX(V675:AG675,1,MATCH(Parametres!$B$3,V$1:AG$1,0)-1)*IF(OR(C675="L",C675="S",C675="I"),-1,1),"")</f>
        <v>27</v>
      </c>
      <c r="AW675" s="899">
        <f t="shared" si="73"/>
        <v>0</v>
      </c>
      <c r="AX675" s="899">
        <f>INDEX(V675:AG675,1,MATCH(Parametres!$B$3,V$1:AG$1,0))*IF(OR(C675="L",C675="S",C675="I"),-1,1)</f>
        <v>27</v>
      </c>
      <c r="AY675" s="487" t="s">
        <v>337</v>
      </c>
      <c r="AZ675" s="487" t="str">
        <f>+VLOOKUP($AJ675,Data_Validation!$A:$E,5,0)</f>
        <v>Oui</v>
      </c>
    </row>
    <row r="676" spans="1:52" ht="15" customHeight="1">
      <c r="A676" s="706" t="s">
        <v>1148</v>
      </c>
      <c r="B676" s="706">
        <v>2026</v>
      </c>
      <c r="C676" s="706" t="s">
        <v>2386</v>
      </c>
      <c r="D676" s="706" t="s">
        <v>2387</v>
      </c>
      <c r="E676" s="706" t="s">
        <v>333</v>
      </c>
      <c r="F676" s="706" t="s">
        <v>1149</v>
      </c>
      <c r="G676" s="706">
        <v>0</v>
      </c>
      <c r="H676" s="706">
        <v>1249</v>
      </c>
      <c r="I676" s="706">
        <v>3403</v>
      </c>
      <c r="J676" s="706">
        <v>8652</v>
      </c>
      <c r="K676" s="706">
        <v>11822</v>
      </c>
      <c r="L676" s="706">
        <v>13092</v>
      </c>
      <c r="M676" s="706">
        <v>18403</v>
      </c>
      <c r="N676" s="706">
        <v>21121</v>
      </c>
      <c r="O676" s="706">
        <v>23321</v>
      </c>
      <c r="P676" s="706">
        <v>0</v>
      </c>
      <c r="Q676" s="706">
        <v>0</v>
      </c>
      <c r="R676" s="706">
        <v>0</v>
      </c>
      <c r="S676" s="706">
        <v>2640.13</v>
      </c>
      <c r="T676" s="706">
        <v>2640.13</v>
      </c>
      <c r="U676" s="706">
        <v>0</v>
      </c>
      <c r="V676" s="706">
        <v>0</v>
      </c>
      <c r="W676" s="706">
        <v>2</v>
      </c>
      <c r="X676" s="706">
        <v>7</v>
      </c>
      <c r="Y676" s="706">
        <v>16</v>
      </c>
      <c r="Z676" s="706">
        <v>21</v>
      </c>
      <c r="AA676" s="706">
        <v>23</v>
      </c>
      <c r="AB676" s="706">
        <v>29</v>
      </c>
      <c r="AC676" s="706">
        <v>33</v>
      </c>
      <c r="AD676" s="706">
        <v>37</v>
      </c>
      <c r="AE676" s="706">
        <v>0</v>
      </c>
      <c r="AF676" s="706">
        <v>0</v>
      </c>
      <c r="AG676" s="706">
        <v>0</v>
      </c>
      <c r="AH676" s="706">
        <v>4</v>
      </c>
      <c r="AI676" s="706">
        <v>4</v>
      </c>
      <c r="AJ676" s="905" t="str">
        <f t="shared" si="68"/>
        <v>G44503</v>
      </c>
      <c r="AK676" s="905" t="str">
        <f t="shared" si="69"/>
        <v>V.TEINTÉE-PEINTURE-TISSUS</v>
      </c>
      <c r="AL676" s="905">
        <f>IFERROR(INDEX(G676:R676,1,MATCH(Parametres!$B$3,G$1:R$1,0)-1)*IF(OR(F676="L",F676="S",F676="I"),-1,1),"")</f>
        <v>-18403</v>
      </c>
      <c r="AM676" s="905">
        <f t="shared" si="70"/>
        <v>-2718</v>
      </c>
      <c r="AN676" s="905">
        <f>INDEX(G676:R676,1,MATCH(Parametres!$B$3,G$1:R$1,0))*IF(OR(F676="L",F676="S",F676="I"),-1,1)</f>
        <v>-21121</v>
      </c>
      <c r="AO676" s="487" t="str">
        <f>+VLOOKUP($AJ676,Data_Validation!$A:$D,1,0)</f>
        <v>G44503</v>
      </c>
      <c r="AP676" s="487" t="str">
        <f>+VLOOKUP($AJ676,Data_Validation!$A:$D,3,0)</f>
        <v>Véhicules neufs</v>
      </c>
      <c r="AQ676" s="487" t="str">
        <f>+VLOOKUP($AJ676,Data_Validation!$A:$D,4,0)</f>
        <v>Rev. Autres</v>
      </c>
      <c r="AR676" s="487" t="s">
        <v>299</v>
      </c>
      <c r="AS676" s="487" t="str">
        <f>+VLOOKUP($AJ676,Data_Validation!$A:$E,5,0)</f>
        <v>Oui</v>
      </c>
      <c r="AT676" s="904" t="str">
        <f t="shared" si="71"/>
        <v>G44503</v>
      </c>
      <c r="AU676" s="488" t="str">
        <f t="shared" si="72"/>
        <v>V.TEINTÉE-PEINTURE-TISSUS</v>
      </c>
      <c r="AV676" s="899">
        <f>IFERROR(INDEX(V676:AG676,1,MATCH(Parametres!$B$3,V$1:AG$1,0)-1)*IF(OR(C676="L",C676="S",C676="I"),-1,1),"")</f>
        <v>29</v>
      </c>
      <c r="AW676" s="899">
        <f t="shared" si="73"/>
        <v>4</v>
      </c>
      <c r="AX676" s="899">
        <f>INDEX(V676:AG676,1,MATCH(Parametres!$B$3,V$1:AG$1,0))*IF(OR(C676="L",C676="S",C676="I"),-1,1)</f>
        <v>33</v>
      </c>
      <c r="AY676" s="487" t="s">
        <v>337</v>
      </c>
      <c r="AZ676" s="487" t="str">
        <f>+VLOOKUP($AJ676,Data_Validation!$A:$E,5,0)</f>
        <v>Oui</v>
      </c>
    </row>
    <row r="677" spans="1:52" ht="15" customHeight="1">
      <c r="A677" s="706" t="s">
        <v>1148</v>
      </c>
      <c r="B677" s="706">
        <v>2026</v>
      </c>
      <c r="C677" s="706" t="s">
        <v>2388</v>
      </c>
      <c r="D677" s="706" t="s">
        <v>2389</v>
      </c>
      <c r="E677" s="706" t="s">
        <v>333</v>
      </c>
      <c r="F677" s="706" t="s">
        <v>1149</v>
      </c>
      <c r="G677" s="706">
        <v>0</v>
      </c>
      <c r="H677" s="706">
        <v>4605</v>
      </c>
      <c r="I677" s="706">
        <v>7706.34</v>
      </c>
      <c r="J677" s="706">
        <v>10823.34</v>
      </c>
      <c r="K677" s="706">
        <v>10823.34</v>
      </c>
      <c r="L677" s="706">
        <v>10823.34</v>
      </c>
      <c r="M677" s="706">
        <v>14163.34</v>
      </c>
      <c r="N677" s="706">
        <v>14163.34</v>
      </c>
      <c r="O677" s="706">
        <v>14163.34</v>
      </c>
      <c r="P677" s="706">
        <v>0</v>
      </c>
      <c r="Q677" s="706">
        <v>0</v>
      </c>
      <c r="R677" s="706">
        <v>0</v>
      </c>
      <c r="S677" s="706">
        <v>1770.42</v>
      </c>
      <c r="T677" s="706">
        <v>1770.42</v>
      </c>
      <c r="U677" s="706">
        <v>0</v>
      </c>
      <c r="V677" s="706">
        <v>0</v>
      </c>
      <c r="W677" s="706">
        <v>2</v>
      </c>
      <c r="X677" s="706">
        <v>4</v>
      </c>
      <c r="Y677" s="706">
        <v>5</v>
      </c>
      <c r="Z677" s="706">
        <v>5</v>
      </c>
      <c r="AA677" s="706">
        <v>5</v>
      </c>
      <c r="AB677" s="706">
        <v>6</v>
      </c>
      <c r="AC677" s="706">
        <v>6</v>
      </c>
      <c r="AD677" s="706">
        <v>6</v>
      </c>
      <c r="AE677" s="706">
        <v>0</v>
      </c>
      <c r="AF677" s="706">
        <v>0</v>
      </c>
      <c r="AG677" s="706">
        <v>0</v>
      </c>
      <c r="AH677" s="706">
        <v>1</v>
      </c>
      <c r="AI677" s="706">
        <v>1</v>
      </c>
      <c r="AJ677" s="905" t="str">
        <f t="shared" si="68"/>
        <v>G44504</v>
      </c>
      <c r="AK677" s="905" t="str">
        <f t="shared" si="69"/>
        <v>VTES-ASS. VALEUR REMPL</v>
      </c>
      <c r="AL677" s="905">
        <f>IFERROR(INDEX(G677:R677,1,MATCH(Parametres!$B$3,G$1:R$1,0)-1)*IF(OR(F677="L",F677="S",F677="I"),-1,1),"")</f>
        <v>-14163.34</v>
      </c>
      <c r="AM677" s="905">
        <f t="shared" si="70"/>
        <v>0</v>
      </c>
      <c r="AN677" s="905">
        <f>INDEX(G677:R677,1,MATCH(Parametres!$B$3,G$1:R$1,0))*IF(OR(F677="L",F677="S",F677="I"),-1,1)</f>
        <v>-14163.34</v>
      </c>
      <c r="AO677" s="487" t="str">
        <f>+VLOOKUP($AJ677,Data_Validation!$A:$D,1,0)</f>
        <v>G44504</v>
      </c>
      <c r="AP677" s="487" t="str">
        <f>+VLOOKUP($AJ677,Data_Validation!$A:$D,3,0)</f>
        <v>Véhicules neufs</v>
      </c>
      <c r="AQ677" s="487" t="str">
        <f>+VLOOKUP($AJ677,Data_Validation!$A:$D,4,0)</f>
        <v>Rev. Protections</v>
      </c>
      <c r="AR677" s="487" t="s">
        <v>299</v>
      </c>
      <c r="AS677" s="487" t="str">
        <f>+VLOOKUP($AJ677,Data_Validation!$A:$E,5,0)</f>
        <v>Oui</v>
      </c>
      <c r="AT677" s="904" t="str">
        <f t="shared" si="71"/>
        <v>G44504</v>
      </c>
      <c r="AU677" s="488" t="str">
        <f t="shared" si="72"/>
        <v>VTES-ASS. VALEUR REMPL</v>
      </c>
      <c r="AV677" s="899">
        <f>IFERROR(INDEX(V677:AG677,1,MATCH(Parametres!$B$3,V$1:AG$1,0)-1)*IF(OR(C677="L",C677="S",C677="I"),-1,1),"")</f>
        <v>6</v>
      </c>
      <c r="AW677" s="899">
        <f t="shared" si="73"/>
        <v>0</v>
      </c>
      <c r="AX677" s="899">
        <f>INDEX(V677:AG677,1,MATCH(Parametres!$B$3,V$1:AG$1,0))*IF(OR(C677="L",C677="S",C677="I"),-1,1)</f>
        <v>6</v>
      </c>
      <c r="AY677" s="487" t="s">
        <v>337</v>
      </c>
      <c r="AZ677" s="487" t="str">
        <f>+VLOOKUP($AJ677,Data_Validation!$A:$E,5,0)</f>
        <v>Oui</v>
      </c>
    </row>
    <row r="678" spans="1:52" ht="15" customHeight="1">
      <c r="A678" s="706" t="s">
        <v>1148</v>
      </c>
      <c r="B678" s="706">
        <v>2026</v>
      </c>
      <c r="C678" s="706" t="s">
        <v>2390</v>
      </c>
      <c r="D678" s="706" t="s">
        <v>2391</v>
      </c>
      <c r="E678" s="706" t="s">
        <v>333</v>
      </c>
      <c r="F678" s="706" t="s">
        <v>1149</v>
      </c>
      <c r="G678" s="706">
        <v>3025</v>
      </c>
      <c r="H678" s="706">
        <v>6180</v>
      </c>
      <c r="I678" s="706">
        <v>10433</v>
      </c>
      <c r="J678" s="706">
        <v>14488</v>
      </c>
      <c r="K678" s="706">
        <v>16883</v>
      </c>
      <c r="L678" s="706">
        <v>18779</v>
      </c>
      <c r="M678" s="706">
        <v>23769</v>
      </c>
      <c r="N678" s="706">
        <v>27761</v>
      </c>
      <c r="O678" s="706">
        <v>28019</v>
      </c>
      <c r="P678" s="706">
        <v>0</v>
      </c>
      <c r="Q678" s="706">
        <v>0</v>
      </c>
      <c r="R678" s="706">
        <v>0</v>
      </c>
      <c r="S678" s="706">
        <v>3470.13</v>
      </c>
      <c r="T678" s="706">
        <v>3470.13</v>
      </c>
      <c r="U678" s="706">
        <v>0</v>
      </c>
      <c r="V678" s="706">
        <v>6</v>
      </c>
      <c r="W678" s="706">
        <v>13</v>
      </c>
      <c r="X678" s="706">
        <v>22</v>
      </c>
      <c r="Y678" s="706">
        <v>29</v>
      </c>
      <c r="Z678" s="706">
        <v>34</v>
      </c>
      <c r="AA678" s="706">
        <v>38</v>
      </c>
      <c r="AB678" s="706">
        <v>48</v>
      </c>
      <c r="AC678" s="706">
        <v>56</v>
      </c>
      <c r="AD678" s="706">
        <v>57</v>
      </c>
      <c r="AE678" s="706">
        <v>0</v>
      </c>
      <c r="AF678" s="706">
        <v>0</v>
      </c>
      <c r="AG678" s="706">
        <v>0</v>
      </c>
      <c r="AH678" s="706">
        <v>7</v>
      </c>
      <c r="AI678" s="706">
        <v>7</v>
      </c>
      <c r="AJ678" s="905" t="str">
        <f t="shared" si="68"/>
        <v>G44505</v>
      </c>
      <c r="AK678" s="905" t="str">
        <f t="shared" si="69"/>
        <v>VENTES-ANTIVOL &amp; TAG</v>
      </c>
      <c r="AL678" s="905">
        <f>IFERROR(INDEX(G678:R678,1,MATCH(Parametres!$B$3,G$1:R$1,0)-1)*IF(OR(F678="L",F678="S",F678="I"),-1,1),"")</f>
        <v>-23769</v>
      </c>
      <c r="AM678" s="905">
        <f t="shared" si="70"/>
        <v>-3992</v>
      </c>
      <c r="AN678" s="905">
        <f>INDEX(G678:R678,1,MATCH(Parametres!$B$3,G$1:R$1,0))*IF(OR(F678="L",F678="S",F678="I"),-1,1)</f>
        <v>-27761</v>
      </c>
      <c r="AO678" s="487" t="str">
        <f>+VLOOKUP($AJ678,Data_Validation!$A:$D,1,0)</f>
        <v>G44505</v>
      </c>
      <c r="AP678" s="487" t="str">
        <f>+VLOOKUP($AJ678,Data_Validation!$A:$D,3,0)</f>
        <v>Véhicules neufs</v>
      </c>
      <c r="AQ678" s="487" t="str">
        <f>+VLOOKUP($AJ678,Data_Validation!$A:$D,4,0)</f>
        <v>Rev. Autres</v>
      </c>
      <c r="AR678" s="487" t="s">
        <v>299</v>
      </c>
      <c r="AS678" s="487" t="str">
        <f>+VLOOKUP($AJ678,Data_Validation!$A:$E,5,0)</f>
        <v>Oui</v>
      </c>
      <c r="AT678" s="904" t="str">
        <f t="shared" si="71"/>
        <v>G44505</v>
      </c>
      <c r="AU678" s="488" t="str">
        <f t="shared" si="72"/>
        <v>VENTES-ANTIVOL &amp; TAG</v>
      </c>
      <c r="AV678" s="899">
        <f>IFERROR(INDEX(V678:AG678,1,MATCH(Parametres!$B$3,V$1:AG$1,0)-1)*IF(OR(C678="L",C678="S",C678="I"),-1,1),"")</f>
        <v>48</v>
      </c>
      <c r="AW678" s="899">
        <f t="shared" si="73"/>
        <v>8</v>
      </c>
      <c r="AX678" s="899">
        <f>INDEX(V678:AG678,1,MATCH(Parametres!$B$3,V$1:AG$1,0))*IF(OR(C678="L",C678="S",C678="I"),-1,1)</f>
        <v>56</v>
      </c>
      <c r="AY678" s="487" t="s">
        <v>337</v>
      </c>
      <c r="AZ678" s="487" t="str">
        <f>+VLOOKUP($AJ678,Data_Validation!$A:$E,5,0)</f>
        <v>Oui</v>
      </c>
    </row>
    <row r="679" spans="1:52" ht="15" customHeight="1">
      <c r="A679" s="706" t="s">
        <v>1148</v>
      </c>
      <c r="B679" s="706">
        <v>2026</v>
      </c>
      <c r="C679" s="706" t="s">
        <v>2392</v>
      </c>
      <c r="D679" s="706" t="s">
        <v>2393</v>
      </c>
      <c r="E679" s="706" t="s">
        <v>1149</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G44600</v>
      </c>
      <c r="AK679" s="905" t="str">
        <f t="shared" si="69"/>
        <v>VTES-AUTOS OCC. DET.OPT.</v>
      </c>
      <c r="AL679" s="905">
        <f>IFERROR(INDEX(G679:R679,1,MATCH(Parametres!$B$3,G$1:R$1,0)-1)*IF(OR(F679="L",F679="S",F679="I"),-1,1),"")</f>
        <v>0</v>
      </c>
      <c r="AM679" s="905">
        <f t="shared" si="70"/>
        <v>0</v>
      </c>
      <c r="AN679" s="905">
        <f>INDEX(G679:R679,1,MATCH(Parametres!$B$3,G$1:R$1,0))*IF(OR(F679="L",F679="S",F679="I"),-1,1)</f>
        <v>0</v>
      </c>
      <c r="AO679" s="487" t="str">
        <f>+VLOOKUP($AJ679,Data_Validation!$A:$D,1,0)</f>
        <v>G44600</v>
      </c>
      <c r="AP679" s="487" t="str">
        <f>+VLOOKUP($AJ679,Data_Validation!$A:$D,3,0)</f>
        <v>Véhicules usagés</v>
      </c>
      <c r="AQ679" s="487" t="str">
        <f>+VLOOKUP($AJ679,Data_Validation!$A:$D,4,0)</f>
        <v>Certifié</v>
      </c>
      <c r="AR679" s="487" t="s">
        <v>299</v>
      </c>
      <c r="AS679" s="487" t="str">
        <f>+VLOOKUP($AJ679,Data_Validation!$A:$E,5,0)</f>
        <v>Oui</v>
      </c>
      <c r="AT679" s="904" t="str">
        <f t="shared" si="71"/>
        <v>G44600</v>
      </c>
      <c r="AU679" s="488" t="str">
        <f t="shared" si="72"/>
        <v>VTES-AUTOS OCC. DET.OPT.</v>
      </c>
      <c r="AV679" s="899">
        <f>IFERROR(INDEX(V679:AG679,1,MATCH(Parametres!$B$3,V$1:AG$1,0)-1)*IF(OR(C679="L",C679="S",C679="I"),-1,1),"")</f>
        <v>0</v>
      </c>
      <c r="AW679" s="899">
        <f t="shared" si="73"/>
        <v>0</v>
      </c>
      <c r="AX679" s="899">
        <f>INDEX(V679:AG679,1,MATCH(Parametres!$B$3,V$1:AG$1,0))*IF(OR(C679="L",C679="S",C679="I"),-1,1)</f>
        <v>0</v>
      </c>
      <c r="AY679" s="487" t="s">
        <v>337</v>
      </c>
      <c r="AZ679" s="487" t="str">
        <f>+VLOOKUP($AJ679,Data_Validation!$A:$E,5,0)</f>
        <v>Oui</v>
      </c>
    </row>
    <row r="680" spans="1:52" ht="15" customHeight="1">
      <c r="A680" s="706" t="s">
        <v>1148</v>
      </c>
      <c r="B680" s="706">
        <v>2026</v>
      </c>
      <c r="C680" s="706" t="s">
        <v>2394</v>
      </c>
      <c r="D680" s="706" t="s">
        <v>3332</v>
      </c>
      <c r="E680" s="706" t="s">
        <v>1149</v>
      </c>
      <c r="F680" s="706" t="s">
        <v>1149</v>
      </c>
      <c r="G680" s="706">
        <v>94496</v>
      </c>
      <c r="H680" s="706">
        <v>154194</v>
      </c>
      <c r="I680" s="706">
        <v>200681</v>
      </c>
      <c r="J680" s="706">
        <v>304926</v>
      </c>
      <c r="K680" s="706">
        <v>408239.48</v>
      </c>
      <c r="L680" s="706">
        <v>495214.48</v>
      </c>
      <c r="M680" s="706">
        <v>643307.48</v>
      </c>
      <c r="N680" s="706">
        <v>657154.48</v>
      </c>
      <c r="O680" s="706">
        <v>709902.48</v>
      </c>
      <c r="P680" s="706">
        <v>0</v>
      </c>
      <c r="Q680" s="706">
        <v>0</v>
      </c>
      <c r="R680" s="706">
        <v>0</v>
      </c>
      <c r="S680" s="706">
        <v>82144.31</v>
      </c>
      <c r="T680" s="706">
        <v>82144.31</v>
      </c>
      <c r="U680" s="706">
        <v>0</v>
      </c>
      <c r="V680" s="706">
        <v>2</v>
      </c>
      <c r="W680" s="706">
        <v>4</v>
      </c>
      <c r="X680" s="706">
        <v>6</v>
      </c>
      <c r="Y680" s="706">
        <v>8</v>
      </c>
      <c r="Z680" s="706">
        <v>14</v>
      </c>
      <c r="AA680" s="706">
        <v>15</v>
      </c>
      <c r="AB680" s="706">
        <v>20</v>
      </c>
      <c r="AC680" s="706">
        <v>21</v>
      </c>
      <c r="AD680" s="706">
        <v>26</v>
      </c>
      <c r="AE680" s="706">
        <v>0</v>
      </c>
      <c r="AF680" s="706">
        <v>0</v>
      </c>
      <c r="AG680" s="706">
        <v>0</v>
      </c>
      <c r="AH680" s="706">
        <v>3</v>
      </c>
      <c r="AI680" s="706">
        <v>3</v>
      </c>
      <c r="AJ680" s="905" t="str">
        <f t="shared" si="68"/>
        <v>G44601</v>
      </c>
      <c r="AK680" s="905" t="str">
        <f t="shared" si="69"/>
        <v>VTES-VOIT.OCC.GM N-CERT</v>
      </c>
      <c r="AL680" s="905">
        <f>IFERROR(INDEX(G680:R680,1,MATCH(Parametres!$B$3,G$1:R$1,0)-1)*IF(OR(F680="L",F680="S",F680="I"),-1,1),"")</f>
        <v>-643307.48</v>
      </c>
      <c r="AM680" s="905">
        <f t="shared" si="70"/>
        <v>-13847</v>
      </c>
      <c r="AN680" s="905">
        <f>INDEX(G680:R680,1,MATCH(Parametres!$B$3,G$1:R$1,0))*IF(OR(F680="L",F680="S",F680="I"),-1,1)</f>
        <v>-657154.48</v>
      </c>
      <c r="AO680" s="487" t="str">
        <f>+VLOOKUP($AJ680,Data_Validation!$A:$D,1,0)</f>
        <v>G44601</v>
      </c>
      <c r="AP680" s="487" t="str">
        <f>+VLOOKUP($AJ680,Data_Validation!$A:$D,3,0)</f>
        <v>Véhicules usagés</v>
      </c>
      <c r="AQ680" s="487" t="str">
        <f>+VLOOKUP($AJ680,Data_Validation!$A:$D,4,0)</f>
        <v>Non Certifié</v>
      </c>
      <c r="AR680" s="487" t="s">
        <v>299</v>
      </c>
      <c r="AS680" s="487" t="str">
        <f>+VLOOKUP($AJ680,Data_Validation!$A:$E,5,0)</f>
        <v>Oui</v>
      </c>
      <c r="AT680" s="904" t="str">
        <f t="shared" si="71"/>
        <v>G44601</v>
      </c>
      <c r="AU680" s="488" t="str">
        <f t="shared" si="72"/>
        <v>VTES-VOIT.OCC.GM N-CERT</v>
      </c>
      <c r="AV680" s="899">
        <f>IFERROR(INDEX(V680:AG680,1,MATCH(Parametres!$B$3,V$1:AG$1,0)-1)*IF(OR(C680="L",C680="S",C680="I"),-1,1),"")</f>
        <v>20</v>
      </c>
      <c r="AW680" s="899">
        <f t="shared" si="73"/>
        <v>1</v>
      </c>
      <c r="AX680" s="899">
        <f>INDEX(V680:AG680,1,MATCH(Parametres!$B$3,V$1:AG$1,0))*IF(OR(C680="L",C680="S",C680="I"),-1,1)</f>
        <v>21</v>
      </c>
      <c r="AY680" s="487" t="s">
        <v>337</v>
      </c>
      <c r="AZ680" s="487" t="str">
        <f>+VLOOKUP($AJ680,Data_Validation!$A:$E,5,0)</f>
        <v>Oui</v>
      </c>
    </row>
    <row r="681" spans="1:52" ht="15" customHeight="1">
      <c r="A681" s="706" t="s">
        <v>1148</v>
      </c>
      <c r="B681" s="706">
        <v>2026</v>
      </c>
      <c r="C681" s="706" t="s">
        <v>3333</v>
      </c>
      <c r="D681" s="706" t="s">
        <v>3334</v>
      </c>
      <c r="E681" s="706" t="s">
        <v>1149</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G44602</v>
      </c>
      <c r="AK681" s="905" t="str">
        <f t="shared" si="69"/>
        <v>VTES-AUTO AUTRE MARQ</v>
      </c>
      <c r="AL681" s="905">
        <f>IFERROR(INDEX(G681:R681,1,MATCH(Parametres!$B$3,G$1:R$1,0)-1)*IF(OR(F681="L",F681="S",F681="I"),-1,1),"")</f>
        <v>0</v>
      </c>
      <c r="AM681" s="905">
        <f t="shared" si="70"/>
        <v>0</v>
      </c>
      <c r="AN681" s="905">
        <f>INDEX(G681:R681,1,MATCH(Parametres!$B$3,G$1:R$1,0))*IF(OR(F681="L",F681="S",F681="I"),-1,1)</f>
        <v>0</v>
      </c>
      <c r="AO681" s="487" t="str">
        <f>+VLOOKUP($AJ681,Data_Validation!$A:$D,1,0)</f>
        <v>G44602</v>
      </c>
      <c r="AP681" s="487" t="str">
        <f>+VLOOKUP($AJ681,Data_Validation!$A:$D,3,0)</f>
        <v>Véhicules usagés</v>
      </c>
      <c r="AQ681" s="487" t="str">
        <f>+VLOOKUP($AJ681,Data_Validation!$A:$D,4,0)</f>
        <v>Autres Marques</v>
      </c>
      <c r="AR681" s="487" t="s">
        <v>299</v>
      </c>
      <c r="AS681" s="487">
        <f>+VLOOKUP($AJ681,Data_Validation!$A:$E,5,0)</f>
        <v>0</v>
      </c>
      <c r="AT681" s="904" t="str">
        <f t="shared" si="71"/>
        <v>G44602</v>
      </c>
      <c r="AU681" s="488" t="str">
        <f t="shared" si="72"/>
        <v>VTES-AUTO AUTRE MARQ</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3144</v>
      </c>
      <c r="D682" s="706" t="s">
        <v>3145</v>
      </c>
      <c r="E682" s="706" t="s">
        <v>1149</v>
      </c>
      <c r="F682" s="706" t="s">
        <v>1149</v>
      </c>
      <c r="G682" s="706">
        <v>0</v>
      </c>
      <c r="H682" s="706">
        <v>0</v>
      </c>
      <c r="I682" s="706">
        <v>0</v>
      </c>
      <c r="J682" s="706">
        <v>0</v>
      </c>
      <c r="K682" s="706">
        <v>0</v>
      </c>
      <c r="L682" s="706">
        <v>7217.34</v>
      </c>
      <c r="M682" s="706">
        <v>7217.34</v>
      </c>
      <c r="N682" s="706">
        <v>7217.34</v>
      </c>
      <c r="O682" s="706">
        <v>7217.34</v>
      </c>
      <c r="P682" s="706">
        <v>0</v>
      </c>
      <c r="Q682" s="706">
        <v>0</v>
      </c>
      <c r="R682" s="706">
        <v>0</v>
      </c>
      <c r="S682" s="706">
        <v>902.17</v>
      </c>
      <c r="T682" s="706">
        <v>902.17</v>
      </c>
      <c r="U682" s="706">
        <v>0</v>
      </c>
      <c r="V682" s="706">
        <v>0</v>
      </c>
      <c r="W682" s="706">
        <v>0</v>
      </c>
      <c r="X682" s="706">
        <v>0</v>
      </c>
      <c r="Y682" s="706">
        <v>0</v>
      </c>
      <c r="Z682" s="706">
        <v>0</v>
      </c>
      <c r="AA682" s="706">
        <v>1</v>
      </c>
      <c r="AB682" s="706">
        <v>1</v>
      </c>
      <c r="AC682" s="706">
        <v>1</v>
      </c>
      <c r="AD682" s="706">
        <v>1</v>
      </c>
      <c r="AE682" s="706">
        <v>0</v>
      </c>
      <c r="AF682" s="706">
        <v>0</v>
      </c>
      <c r="AG682" s="706">
        <v>0</v>
      </c>
      <c r="AH682" s="706">
        <v>0</v>
      </c>
      <c r="AI682" s="706">
        <v>0</v>
      </c>
      <c r="AJ682" s="905" t="str">
        <f t="shared" si="68"/>
        <v>G44603</v>
      </c>
      <c r="AK682" s="905" t="str">
        <f t="shared" si="69"/>
        <v>VTES-RACHAT BAIL AUTO</v>
      </c>
      <c r="AL682" s="905">
        <f>IFERROR(INDEX(G682:R682,1,MATCH(Parametres!$B$3,G$1:R$1,0)-1)*IF(OR(F682="L",F682="S",F682="I"),-1,1),"")</f>
        <v>-7217.34</v>
      </c>
      <c r="AM682" s="1047">
        <f t="shared" si="70"/>
        <v>0</v>
      </c>
      <c r="AN682" s="905">
        <f>INDEX(G682:R682,1,MATCH(Parametres!$B$3,G$1:R$1,0))*IF(OR(F682="L",F682="S",F682="I"),-1,1)</f>
        <v>-7217.34</v>
      </c>
      <c r="AO682" s="487" t="str">
        <f>+VLOOKUP($AJ682,Data_Validation!$A:$D,1,0)</f>
        <v>G44603</v>
      </c>
      <c r="AP682" s="487">
        <f>+VLOOKUP($AJ682,Data_Validation!$A:$D,3,0)</f>
        <v>0</v>
      </c>
      <c r="AQ682" s="487">
        <f>+VLOOKUP($AJ682,Data_Validation!$A:$D,4,0)</f>
        <v>0</v>
      </c>
      <c r="AR682" s="487" t="s">
        <v>299</v>
      </c>
      <c r="AS682" s="487">
        <f>+VLOOKUP($AJ682,Data_Validation!$A:$E,5,0)</f>
        <v>0</v>
      </c>
      <c r="AT682" s="904" t="str">
        <f t="shared" si="71"/>
        <v>G44603</v>
      </c>
      <c r="AU682" s="488" t="str">
        <f t="shared" si="72"/>
        <v>VTES-RACHAT BAIL AUTO</v>
      </c>
      <c r="AV682" s="899">
        <f>IFERROR(INDEX(V682:AG682,1,MATCH(Parametres!$B$3,V$1:AG$1,0)-1)*IF(OR(C682="L",C682="S",C682="I"),-1,1),"")</f>
        <v>1</v>
      </c>
      <c r="AW682" s="899">
        <f t="shared" si="73"/>
        <v>0</v>
      </c>
      <c r="AX682" s="899">
        <f>INDEX(V682:AG682,1,MATCH(Parametres!$B$3,V$1:AG$1,0))*IF(OR(C682="L",C682="S",C682="I"),-1,1)</f>
        <v>1</v>
      </c>
      <c r="AY682" s="487" t="s">
        <v>337</v>
      </c>
      <c r="AZ682" s="487">
        <f>+VLOOKUP($AJ682,Data_Validation!$A:$E,5,0)</f>
        <v>0</v>
      </c>
    </row>
    <row r="683" spans="1:52" ht="15" customHeight="1">
      <c r="A683" s="706" t="s">
        <v>1148</v>
      </c>
      <c r="B683" s="706">
        <v>2026</v>
      </c>
      <c r="C683" s="706" t="s">
        <v>2396</v>
      </c>
      <c r="D683" s="706" t="s">
        <v>2397</v>
      </c>
      <c r="E683" s="706" t="s">
        <v>1149</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G44620</v>
      </c>
      <c r="AK683" s="905" t="str">
        <f t="shared" si="69"/>
        <v>VTES-LOC AUTOS USAGE OPT.</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G44620</v>
      </c>
      <c r="AU683" s="488" t="str">
        <f t="shared" si="72"/>
        <v>VTES-LOC AUTOS USAGE OPT.</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customHeight="1">
      <c r="A684" s="706" t="s">
        <v>1148</v>
      </c>
      <c r="B684" s="706">
        <v>2026</v>
      </c>
      <c r="C684" s="706" t="s">
        <v>2398</v>
      </c>
      <c r="D684" s="706" t="s">
        <v>2399</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G44700</v>
      </c>
      <c r="AK684" s="905" t="str">
        <f t="shared" si="69"/>
        <v>*REM.NEUF VOITURE DET.OPT</v>
      </c>
      <c r="AL684" s="905">
        <f>IFERROR(INDEX(G684:R684,1,MATCH(Parametres!$B$3,G$1:R$1,0)-1)*IF(OR(F684="L",F684="S",F684="I"),-1,1),"")</f>
        <v>0</v>
      </c>
      <c r="AM684" s="905">
        <f t="shared" si="70"/>
        <v>0</v>
      </c>
      <c r="AN684" s="905">
        <f>INDEX(G684:R684,1,MATCH(Parametres!$B$3,G$1:R$1,0))*IF(OR(F684="L",F684="S",F684="I"),-1,1)</f>
        <v>0</v>
      </c>
      <c r="AO684" s="487" t="str">
        <f>+VLOOKUP($AJ684,Data_Validation!$A:$D,1,0)</f>
        <v>G44700</v>
      </c>
      <c r="AP684" s="487">
        <f>+VLOOKUP($AJ684,Data_Validation!$A:$D,3,0)</f>
        <v>0</v>
      </c>
      <c r="AQ684" s="487">
        <f>+VLOOKUP($AJ684,Data_Validation!$A:$D,4,0)</f>
        <v>0</v>
      </c>
      <c r="AR684" s="487" t="s">
        <v>299</v>
      </c>
      <c r="AS684" s="487">
        <f>+VLOOKUP($AJ684,Data_Validation!$A:$E,5,0)</f>
        <v>0</v>
      </c>
      <c r="AT684" s="904" t="str">
        <f t="shared" si="71"/>
        <v>G44700</v>
      </c>
      <c r="AU684" s="488" t="str">
        <f t="shared" si="72"/>
        <v>*REM.NEUF VOITURE DET.OPT</v>
      </c>
      <c r="AV684" s="899">
        <f>IFERROR(INDEX(V684:AG684,1,MATCH(Parametres!$B$3,V$1:AG$1,0)-1)*IF(OR(C684="L",C684="S",C684="I"),-1,1),"")</f>
        <v>0</v>
      </c>
      <c r="AW684" s="899">
        <f t="shared" si="73"/>
        <v>0</v>
      </c>
      <c r="AX684" s="899">
        <f>INDEX(V684:AG684,1,MATCH(Parametres!$B$3,V$1:AG$1,0))*IF(OR(C684="L",C684="S",C684="I"),-1,1)</f>
        <v>0</v>
      </c>
      <c r="AY684" s="487" t="s">
        <v>337</v>
      </c>
      <c r="AZ684" s="487">
        <f>+VLOOKUP($AJ684,Data_Validation!$A:$E,5,0)</f>
        <v>0</v>
      </c>
    </row>
    <row r="685" spans="1:52" ht="15" customHeight="1">
      <c r="A685" s="706" t="s">
        <v>1148</v>
      </c>
      <c r="B685" s="706">
        <v>2026</v>
      </c>
      <c r="C685" s="706" t="s">
        <v>2400</v>
      </c>
      <c r="D685" s="706" t="s">
        <v>2401</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G44701</v>
      </c>
      <c r="AK685" s="905" t="str">
        <f t="shared" si="69"/>
        <v>*REM.NEUF VOIT.DET.AUTRES</v>
      </c>
      <c r="AL685" s="905">
        <f>IFERROR(INDEX(G685:R685,1,MATCH(Parametres!$B$3,G$1:R$1,0)-1)*IF(OR(F685="L",F685="S",F685="I"),-1,1),"")</f>
        <v>0</v>
      </c>
      <c r="AM685" s="905">
        <f t="shared" si="70"/>
        <v>0</v>
      </c>
      <c r="AN685" s="905">
        <f>INDEX(G685:R685,1,MATCH(Parametres!$B$3,G$1:R$1,0))*IF(OR(F685="L",F685="S",F685="I"),-1,1)</f>
        <v>0</v>
      </c>
      <c r="AO685" s="487" t="str">
        <f>+VLOOKUP($AJ685,Data_Validation!$A:$D,1,0)</f>
        <v>G44701</v>
      </c>
      <c r="AP685" s="487">
        <f>+VLOOKUP($AJ685,Data_Validation!$A:$D,3,0)</f>
        <v>0</v>
      </c>
      <c r="AQ685" s="487">
        <f>+VLOOKUP($AJ685,Data_Validation!$A:$D,4,0)</f>
        <v>0</v>
      </c>
      <c r="AR685" s="487" t="s">
        <v>299</v>
      </c>
      <c r="AS685" s="487">
        <f>+VLOOKUP($AJ685,Data_Validation!$A:$E,5,0)</f>
        <v>0</v>
      </c>
      <c r="AT685" s="904" t="str">
        <f t="shared" si="71"/>
        <v>G44701</v>
      </c>
      <c r="AU685" s="488" t="str">
        <f t="shared" si="72"/>
        <v>*REM.NEUF VOIT.DET.AUTRES</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2402</v>
      </c>
      <c r="D686" s="706" t="s">
        <v>2403</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G44720</v>
      </c>
      <c r="AK686" s="905" t="str">
        <f t="shared" si="69"/>
        <v>*REM.NEUF LOC.AUTO DET.OP</v>
      </c>
      <c r="AL686" s="905">
        <f>IFERROR(INDEX(G686:R686,1,MATCH(Parametres!$B$3,G$1:R$1,0)-1)*IF(OR(F686="L",F686="S",F686="I"),-1,1),"")</f>
        <v>0</v>
      </c>
      <c r="AM686" s="905">
        <f t="shared" si="70"/>
        <v>0</v>
      </c>
      <c r="AN686" s="905">
        <f>INDEX(G686:R686,1,MATCH(Parametres!$B$3,G$1:R$1,0))*IF(OR(F686="L",F686="S",F686="I"),-1,1)</f>
        <v>0</v>
      </c>
      <c r="AO686" s="487" t="str">
        <f>+VLOOKUP($AJ686,Data_Validation!$A:$D,1,0)</f>
        <v>G44720</v>
      </c>
      <c r="AP686" s="487">
        <f>+VLOOKUP($AJ686,Data_Validation!$A:$D,3,0)</f>
        <v>0</v>
      </c>
      <c r="AQ686" s="487">
        <f>+VLOOKUP($AJ686,Data_Validation!$A:$D,4,0)</f>
        <v>0</v>
      </c>
      <c r="AR686" s="487" t="s">
        <v>299</v>
      </c>
      <c r="AS686" s="487">
        <f>+VLOOKUP($AJ686,Data_Validation!$A:$E,5,0)</f>
        <v>0</v>
      </c>
      <c r="AT686" s="904" t="str">
        <f t="shared" si="71"/>
        <v>G44720</v>
      </c>
      <c r="AU686" s="488" t="str">
        <f t="shared" si="72"/>
        <v>*REM.NEUF LOC.AUTO DET.OP</v>
      </c>
      <c r="AV686" s="899">
        <f>IFERROR(INDEX(V686:AG686,1,MATCH(Parametres!$B$3,V$1:AG$1,0)-1)*IF(OR(C686="L",C686="S",C686="I"),-1,1),"")</f>
        <v>0</v>
      </c>
      <c r="AW686" s="899">
        <f t="shared" si="73"/>
        <v>0</v>
      </c>
      <c r="AX686" s="899">
        <f>INDEX(V686:AG686,1,MATCH(Parametres!$B$3,V$1:AG$1,0))*IF(OR(C686="L",C686="S",C686="I"),-1,1)</f>
        <v>0</v>
      </c>
      <c r="AY686" s="487" t="s">
        <v>337</v>
      </c>
      <c r="AZ686" s="487">
        <f>+VLOOKUP($AJ686,Data_Validation!$A:$E,5,0)</f>
        <v>0</v>
      </c>
    </row>
    <row r="687" spans="1:52" ht="15" customHeight="1">
      <c r="A687" s="706" t="s">
        <v>1148</v>
      </c>
      <c r="B687" s="706">
        <v>2026</v>
      </c>
      <c r="C687" s="706" t="s">
        <v>2404</v>
      </c>
      <c r="D687" s="706" t="s">
        <v>2405</v>
      </c>
      <c r="E687" s="706" t="s">
        <v>1149</v>
      </c>
      <c r="F687" s="706" t="s">
        <v>1149</v>
      </c>
      <c r="G687" s="706">
        <v>7950</v>
      </c>
      <c r="H687" s="706">
        <v>123560</v>
      </c>
      <c r="I687" s="706">
        <v>323591</v>
      </c>
      <c r="J687" s="706">
        <v>421541</v>
      </c>
      <c r="K687" s="706">
        <v>370508</v>
      </c>
      <c r="L687" s="706">
        <v>464008</v>
      </c>
      <c r="M687" s="706">
        <v>505648</v>
      </c>
      <c r="N687" s="706">
        <v>599699</v>
      </c>
      <c r="O687" s="706">
        <v>605949</v>
      </c>
      <c r="P687" s="706">
        <v>0</v>
      </c>
      <c r="Q687" s="706">
        <v>0</v>
      </c>
      <c r="R687" s="706">
        <v>0</v>
      </c>
      <c r="S687" s="706">
        <v>74962.38</v>
      </c>
      <c r="T687" s="706">
        <v>74962.38</v>
      </c>
      <c r="U687" s="706">
        <v>0</v>
      </c>
      <c r="V687" s="706">
        <v>2</v>
      </c>
      <c r="W687" s="706">
        <v>9</v>
      </c>
      <c r="X687" s="706">
        <v>19</v>
      </c>
      <c r="Y687" s="706">
        <v>30</v>
      </c>
      <c r="Z687" s="706">
        <v>27</v>
      </c>
      <c r="AA687" s="706">
        <v>33</v>
      </c>
      <c r="AB687" s="706">
        <v>39</v>
      </c>
      <c r="AC687" s="706">
        <v>47</v>
      </c>
      <c r="AD687" s="706">
        <v>49</v>
      </c>
      <c r="AE687" s="706">
        <v>0</v>
      </c>
      <c r="AF687" s="706">
        <v>0</v>
      </c>
      <c r="AG687" s="706">
        <v>0</v>
      </c>
      <c r="AH687" s="706">
        <v>6</v>
      </c>
      <c r="AI687" s="706">
        <v>6</v>
      </c>
      <c r="AJ687" s="905" t="str">
        <f t="shared" si="68"/>
        <v>G44800</v>
      </c>
      <c r="AK687" s="905" t="str">
        <f t="shared" si="69"/>
        <v>VTES-VOIT.OCC.EN GROS-DET</v>
      </c>
      <c r="AL687" s="905">
        <f>IFERROR(INDEX(G687:R687,1,MATCH(Parametres!$B$3,G$1:R$1,0)-1)*IF(OR(F687="L",F687="S",F687="I"),-1,1),"")</f>
        <v>-505648</v>
      </c>
      <c r="AM687" s="905">
        <f t="shared" si="70"/>
        <v>-94051</v>
      </c>
      <c r="AN687" s="905">
        <f>INDEX(G687:R687,1,MATCH(Parametres!$B$3,G$1:R$1,0))*IF(OR(F687="L",F687="S",F687="I"),-1,1)</f>
        <v>-599699</v>
      </c>
      <c r="AO687" s="487" t="str">
        <f>+VLOOKUP($AJ687,Data_Validation!$A:$D,1,0)</f>
        <v>G44800</v>
      </c>
      <c r="AP687" s="487" t="str">
        <f>+VLOOKUP($AJ687,Data_Validation!$A:$D,3,0)</f>
        <v>Véhicules usagés</v>
      </c>
      <c r="AQ687" s="487" t="str">
        <f>+VLOOKUP($AJ687,Data_Validation!$A:$D,4,0)</f>
        <v>Ventes au Gros</v>
      </c>
      <c r="AR687" s="487" t="s">
        <v>299</v>
      </c>
      <c r="AS687" s="487" t="str">
        <f>+VLOOKUP($AJ687,Data_Validation!$A:$E,5,0)</f>
        <v>Oui</v>
      </c>
      <c r="AT687" s="904" t="str">
        <f t="shared" si="71"/>
        <v>G44800</v>
      </c>
      <c r="AU687" s="488" t="str">
        <f t="shared" si="72"/>
        <v>VTES-VOIT.OCC.EN GROS-DET</v>
      </c>
      <c r="AV687" s="899">
        <f>IFERROR(INDEX(V687:AG687,1,MATCH(Parametres!$B$3,V$1:AG$1,0)-1)*IF(OR(C687="L",C687="S",C687="I"),-1,1),"")</f>
        <v>39</v>
      </c>
      <c r="AW687" s="899">
        <f t="shared" si="73"/>
        <v>8</v>
      </c>
      <c r="AX687" s="899">
        <f>INDEX(V687:AG687,1,MATCH(Parametres!$B$3,V$1:AG$1,0))*IF(OR(C687="L",C687="S",C687="I"),-1,1)</f>
        <v>47</v>
      </c>
      <c r="AY687" s="487" t="s">
        <v>337</v>
      </c>
      <c r="AZ687" s="487" t="str">
        <f>+VLOOKUP($AJ687,Data_Validation!$A:$E,5,0)</f>
        <v>Oui</v>
      </c>
    </row>
    <row r="688" spans="1:52" ht="15" customHeight="1">
      <c r="A688" s="706" t="s">
        <v>1148</v>
      </c>
      <c r="B688" s="706">
        <v>2026</v>
      </c>
      <c r="C688" s="706" t="s">
        <v>2406</v>
      </c>
      <c r="D688" s="706" t="s">
        <v>2407</v>
      </c>
      <c r="E688" s="706" t="s">
        <v>333</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G44900</v>
      </c>
      <c r="AK688" s="905" t="str">
        <f t="shared" si="69"/>
        <v>*RECTIFICATION STOCK AUTO</v>
      </c>
      <c r="AL688" s="905">
        <f>IFERROR(INDEX(G688:R688,1,MATCH(Parametres!$B$3,G$1:R$1,0)-1)*IF(OR(F688="L",F688="S",F688="I"),-1,1),"")</f>
        <v>0</v>
      </c>
      <c r="AM688" s="905">
        <f t="shared" si="70"/>
        <v>0</v>
      </c>
      <c r="AN688" s="905">
        <f>INDEX(G688:R688,1,MATCH(Parametres!$B$3,G$1:R$1,0))*IF(OR(F688="L",F688="S",F688="I"),-1,1)</f>
        <v>0</v>
      </c>
      <c r="AO688" s="487" t="str">
        <f>+VLOOKUP($AJ688,Data_Validation!$A:$D,1,0)</f>
        <v>G44900</v>
      </c>
      <c r="AP688" s="487">
        <f>+VLOOKUP($AJ688,Data_Validation!$A:$D,3,0)</f>
        <v>0</v>
      </c>
      <c r="AQ688" s="487">
        <f>+VLOOKUP($AJ688,Data_Validation!$A:$D,4,0)</f>
        <v>0</v>
      </c>
      <c r="AR688" s="487" t="s">
        <v>299</v>
      </c>
      <c r="AS688" s="487">
        <f>+VLOOKUP($AJ688,Data_Validation!$A:$E,5,0)</f>
        <v>0</v>
      </c>
      <c r="AT688" s="904" t="str">
        <f t="shared" si="71"/>
        <v>G44900</v>
      </c>
      <c r="AU688" s="488" t="str">
        <f t="shared" si="72"/>
        <v>*RECTIFICATION STOCK AUTO</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customHeight="1">
      <c r="A689" s="706" t="s">
        <v>1148</v>
      </c>
      <c r="B689" s="706">
        <v>2026</v>
      </c>
      <c r="C689" s="706" t="s">
        <v>2408</v>
      </c>
      <c r="D689" s="706" t="s">
        <v>3335</v>
      </c>
      <c r="E689" s="706" t="s">
        <v>1149</v>
      </c>
      <c r="F689" s="706" t="s">
        <v>1149</v>
      </c>
      <c r="G689" s="706">
        <v>41059.599999999999</v>
      </c>
      <c r="H689" s="706">
        <v>355959.6</v>
      </c>
      <c r="I689" s="706">
        <v>1255785.6000000001</v>
      </c>
      <c r="J689" s="706">
        <v>2107096.6</v>
      </c>
      <c r="K689" s="706">
        <v>0</v>
      </c>
      <c r="L689" s="706">
        <v>0</v>
      </c>
      <c r="M689" s="706">
        <v>0</v>
      </c>
      <c r="N689" s="706">
        <v>0</v>
      </c>
      <c r="O689" s="706">
        <v>0</v>
      </c>
      <c r="P689" s="706">
        <v>0</v>
      </c>
      <c r="Q689" s="706">
        <v>0</v>
      </c>
      <c r="R689" s="706">
        <v>0</v>
      </c>
      <c r="S689" s="706">
        <v>0</v>
      </c>
      <c r="T689" s="706">
        <v>0</v>
      </c>
      <c r="U689" s="706">
        <v>0</v>
      </c>
      <c r="V689" s="706">
        <v>1</v>
      </c>
      <c r="W689" s="706">
        <v>8</v>
      </c>
      <c r="X689" s="706">
        <v>30</v>
      </c>
      <c r="Y689" s="706">
        <v>47</v>
      </c>
      <c r="Z689" s="706">
        <v>0</v>
      </c>
      <c r="AA689" s="706">
        <v>0</v>
      </c>
      <c r="AB689" s="706">
        <v>0</v>
      </c>
      <c r="AC689" s="706">
        <v>0</v>
      </c>
      <c r="AD689" s="706">
        <v>0</v>
      </c>
      <c r="AE689" s="706">
        <v>0</v>
      </c>
      <c r="AF689" s="706">
        <v>0</v>
      </c>
      <c r="AG689" s="706">
        <v>0</v>
      </c>
      <c r="AH689" s="706">
        <v>0</v>
      </c>
      <c r="AI689" s="706">
        <v>0</v>
      </c>
      <c r="AJ689" s="905" t="str">
        <f t="shared" si="68"/>
        <v>G45000</v>
      </c>
      <c r="AK689" s="905" t="str">
        <f t="shared" si="69"/>
        <v>VTES - CAMION DET CERTIFI</v>
      </c>
      <c r="AL689" s="905">
        <f>IFERROR(INDEX(G689:R689,1,MATCH(Parametres!$B$3,G$1:R$1,0)-1)*IF(OR(F689="L",F689="S",F689="I"),-1,1),"")</f>
        <v>0</v>
      </c>
      <c r="AM689" s="905">
        <f t="shared" si="70"/>
        <v>0</v>
      </c>
      <c r="AN689" s="905">
        <f>INDEX(G689:R689,1,MATCH(Parametres!$B$3,G$1:R$1,0))*IF(OR(F689="L",F689="S",F689="I"),-1,1)</f>
        <v>0</v>
      </c>
      <c r="AO689" s="487" t="str">
        <f>+VLOOKUP($AJ689,Data_Validation!$A:$D,1,0)</f>
        <v>G45000</v>
      </c>
      <c r="AP689" s="487" t="str">
        <f>+VLOOKUP($AJ689,Data_Validation!$A:$D,3,0)</f>
        <v>Véhicules usagés</v>
      </c>
      <c r="AQ689" s="487" t="str">
        <f>+VLOOKUP($AJ689,Data_Validation!$A:$D,4,0)</f>
        <v>Ventes au Gros</v>
      </c>
      <c r="AR689" s="487" t="s">
        <v>299</v>
      </c>
      <c r="AS689" s="487" t="str">
        <f>+VLOOKUP($AJ689,Data_Validation!$A:$E,5,0)</f>
        <v>Oui</v>
      </c>
      <c r="AT689" s="904" t="str">
        <f t="shared" si="71"/>
        <v>G45000</v>
      </c>
      <c r="AU689" s="488" t="str">
        <f t="shared" si="72"/>
        <v>VTES - CAMION DET CERTIFI</v>
      </c>
      <c r="AV689" s="899">
        <f>IFERROR(INDEX(V689:AG689,1,MATCH(Parametres!$B$3,V$1:AG$1,0)-1)*IF(OR(C689="L",C689="S",C689="I"),-1,1),"")</f>
        <v>0</v>
      </c>
      <c r="AW689" s="899">
        <f t="shared" si="73"/>
        <v>0</v>
      </c>
      <c r="AX689" s="899">
        <f>INDEX(V689:AG689,1,MATCH(Parametres!$B$3,V$1:AG$1,0))*IF(OR(C689="L",C689="S",C689="I"),-1,1)</f>
        <v>0</v>
      </c>
      <c r="AY689" s="487" t="s">
        <v>337</v>
      </c>
      <c r="AZ689" s="487" t="str">
        <f>+VLOOKUP($AJ689,Data_Validation!$A:$E,5,0)</f>
        <v>Oui</v>
      </c>
    </row>
    <row r="690" spans="1:52" ht="15" customHeight="1">
      <c r="A690" s="706" t="s">
        <v>1148</v>
      </c>
      <c r="B690" s="706">
        <v>2026</v>
      </c>
      <c r="C690" s="706" t="s">
        <v>2410</v>
      </c>
      <c r="D690" s="706" t="s">
        <v>3336</v>
      </c>
      <c r="E690" s="706" t="s">
        <v>1149</v>
      </c>
      <c r="F690" s="706" t="s">
        <v>1149</v>
      </c>
      <c r="G690" s="706">
        <v>464168.65</v>
      </c>
      <c r="H690" s="706">
        <v>724146.28</v>
      </c>
      <c r="I690" s="706">
        <v>1278286.0900000001</v>
      </c>
      <c r="J690" s="706">
        <v>2169663.9700000002</v>
      </c>
      <c r="K690" s="706">
        <v>3106730.33</v>
      </c>
      <c r="L690" s="706">
        <v>3751111.74</v>
      </c>
      <c r="M690" s="706">
        <v>4464265.6500000004</v>
      </c>
      <c r="N690" s="706">
        <v>5254550.8600000003</v>
      </c>
      <c r="O690" s="706">
        <v>5547629.8600000003</v>
      </c>
      <c r="P690" s="706">
        <v>0</v>
      </c>
      <c r="Q690" s="706">
        <v>0</v>
      </c>
      <c r="R690" s="706">
        <v>0</v>
      </c>
      <c r="S690" s="706">
        <v>656818.86</v>
      </c>
      <c r="T690" s="706">
        <v>656818.86</v>
      </c>
      <c r="U690" s="706">
        <v>0</v>
      </c>
      <c r="V690" s="706">
        <v>15</v>
      </c>
      <c r="W690" s="706">
        <v>22</v>
      </c>
      <c r="X690" s="706">
        <v>40</v>
      </c>
      <c r="Y690" s="706">
        <v>63</v>
      </c>
      <c r="Z690" s="706">
        <v>91</v>
      </c>
      <c r="AA690" s="706">
        <v>109</v>
      </c>
      <c r="AB690" s="706">
        <v>127</v>
      </c>
      <c r="AC690" s="706">
        <v>150</v>
      </c>
      <c r="AD690" s="706">
        <v>160</v>
      </c>
      <c r="AE690" s="706">
        <v>0</v>
      </c>
      <c r="AF690" s="706">
        <v>0</v>
      </c>
      <c r="AG690" s="706">
        <v>0</v>
      </c>
      <c r="AH690" s="706">
        <v>19</v>
      </c>
      <c r="AI690" s="706">
        <v>19</v>
      </c>
      <c r="AJ690" s="905" t="str">
        <f t="shared" si="68"/>
        <v>G45001</v>
      </c>
      <c r="AK690" s="905" t="str">
        <f t="shared" si="69"/>
        <v>VTES-CAM OCC. GM N-CERT</v>
      </c>
      <c r="AL690" s="905">
        <f>IFERROR(INDEX(G690:R690,1,MATCH(Parametres!$B$3,G$1:R$1,0)-1)*IF(OR(F690="L",F690="S",F690="I"),-1,1),"")</f>
        <v>-4464265.6500000004</v>
      </c>
      <c r="AM690" s="905">
        <f t="shared" si="70"/>
        <v>-790285.21</v>
      </c>
      <c r="AN690" s="905">
        <f>INDEX(G690:R690,1,MATCH(Parametres!$B$3,G$1:R$1,0))*IF(OR(F690="L",F690="S",F690="I"),-1,1)</f>
        <v>-5254550.8600000003</v>
      </c>
      <c r="AO690" s="487" t="str">
        <f>+VLOOKUP($AJ690,Data_Validation!$A:$D,1,0)</f>
        <v>G45001</v>
      </c>
      <c r="AP690" s="487" t="str">
        <f>+VLOOKUP($AJ690,Data_Validation!$A:$D,3,0)</f>
        <v>Véhicules usagés</v>
      </c>
      <c r="AQ690" s="487" t="str">
        <f>+VLOOKUP($AJ690,Data_Validation!$A:$D,4,0)</f>
        <v>Non Certifié</v>
      </c>
      <c r="AR690" s="487" t="s">
        <v>299</v>
      </c>
      <c r="AS690" s="487" t="str">
        <f>+VLOOKUP($AJ690,Data_Validation!$A:$E,5,0)</f>
        <v>Oui</v>
      </c>
      <c r="AT690" s="904" t="str">
        <f t="shared" si="71"/>
        <v>G45001</v>
      </c>
      <c r="AU690" s="488" t="str">
        <f t="shared" si="72"/>
        <v>VTES-CAM OCC. GM N-CERT</v>
      </c>
      <c r="AV690" s="899">
        <f>IFERROR(INDEX(V690:AG690,1,MATCH(Parametres!$B$3,V$1:AG$1,0)-1)*IF(OR(C690="L",C690="S",C690="I"),-1,1),"")</f>
        <v>127</v>
      </c>
      <c r="AW690" s="899">
        <f t="shared" si="73"/>
        <v>23</v>
      </c>
      <c r="AX690" s="899">
        <f>INDEX(V690:AG690,1,MATCH(Parametres!$B$3,V$1:AG$1,0))*IF(OR(C690="L",C690="S",C690="I"),-1,1)</f>
        <v>150</v>
      </c>
      <c r="AY690" s="487" t="s">
        <v>337</v>
      </c>
      <c r="AZ690" s="487" t="str">
        <f>+VLOOKUP($AJ690,Data_Validation!$A:$E,5,0)</f>
        <v>Oui</v>
      </c>
    </row>
    <row r="691" spans="1:52" ht="15" customHeight="1">
      <c r="A691" s="706" t="s">
        <v>1148</v>
      </c>
      <c r="B691" s="706">
        <v>2026</v>
      </c>
      <c r="C691" s="706" t="s">
        <v>3337</v>
      </c>
      <c r="D691" s="706" t="s">
        <v>3338</v>
      </c>
      <c r="E691" s="706" t="s">
        <v>1149</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G45002</v>
      </c>
      <c r="AK691" s="905" t="str">
        <f t="shared" si="69"/>
        <v>VTES- CAMION AUTRE MARQ</v>
      </c>
      <c r="AL691" s="905">
        <f>IFERROR(INDEX(G691:R691,1,MATCH(Parametres!$B$3,G$1:R$1,0)-1)*IF(OR(F691="L",F691="S",F691="I"),-1,1),"")</f>
        <v>0</v>
      </c>
      <c r="AM691" s="905">
        <f t="shared" si="70"/>
        <v>0</v>
      </c>
      <c r="AN691" s="905">
        <f>INDEX(G691:R691,1,MATCH(Parametres!$B$3,G$1:R$1,0))*IF(OR(F691="L",F691="S",F691="I"),-1,1)</f>
        <v>0</v>
      </c>
      <c r="AO691" s="487" t="str">
        <f>+VLOOKUP($AJ691,Data_Validation!$A:$D,1,0)</f>
        <v>G45002</v>
      </c>
      <c r="AP691" s="487" t="str">
        <f>+VLOOKUP($AJ691,Data_Validation!$A:$D,3,0)</f>
        <v>Véhicules usagés</v>
      </c>
      <c r="AQ691" s="487" t="str">
        <f>+VLOOKUP($AJ691,Data_Validation!$A:$D,4,0)</f>
        <v>Autres Marques</v>
      </c>
      <c r="AR691" s="487" t="s">
        <v>299</v>
      </c>
      <c r="AS691" s="487">
        <f>+VLOOKUP($AJ691,Data_Validation!$A:$E,5,0)</f>
        <v>0</v>
      </c>
      <c r="AT691" s="904" t="str">
        <f t="shared" si="71"/>
        <v>G45002</v>
      </c>
      <c r="AU691" s="488" t="str">
        <f t="shared" si="72"/>
        <v>VTES- CAMION AUTRE MARQ</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3339</v>
      </c>
      <c r="D692" s="706" t="s">
        <v>3340</v>
      </c>
      <c r="E692" s="706" t="s">
        <v>1149</v>
      </c>
      <c r="F692" s="706" t="s">
        <v>1149</v>
      </c>
      <c r="G692" s="706">
        <v>0</v>
      </c>
      <c r="H692" s="706">
        <v>0</v>
      </c>
      <c r="I692" s="706">
        <v>0</v>
      </c>
      <c r="J692" s="706">
        <v>0</v>
      </c>
      <c r="K692" s="706">
        <v>0</v>
      </c>
      <c r="L692" s="706">
        <v>0</v>
      </c>
      <c r="M692" s="706">
        <v>163049.32</v>
      </c>
      <c r="N692" s="706">
        <v>336173.43</v>
      </c>
      <c r="O692" s="706">
        <v>336173.43</v>
      </c>
      <c r="P692" s="706">
        <v>0</v>
      </c>
      <c r="Q692" s="706">
        <v>0</v>
      </c>
      <c r="R692" s="706">
        <v>0</v>
      </c>
      <c r="S692" s="706">
        <v>42021.68</v>
      </c>
      <c r="T692" s="706">
        <v>42021.68</v>
      </c>
      <c r="U692" s="706">
        <v>0</v>
      </c>
      <c r="V692" s="706">
        <v>0</v>
      </c>
      <c r="W692" s="706">
        <v>0</v>
      </c>
      <c r="X692" s="706">
        <v>0</v>
      </c>
      <c r="Y692" s="706">
        <v>0</v>
      </c>
      <c r="Z692" s="706">
        <v>0</v>
      </c>
      <c r="AA692" s="706">
        <v>0</v>
      </c>
      <c r="AB692" s="706">
        <v>4</v>
      </c>
      <c r="AC692" s="706">
        <v>9</v>
      </c>
      <c r="AD692" s="706">
        <v>9</v>
      </c>
      <c r="AE692" s="706">
        <v>0</v>
      </c>
      <c r="AF692" s="706">
        <v>0</v>
      </c>
      <c r="AG692" s="706">
        <v>0</v>
      </c>
      <c r="AH692" s="706">
        <v>1</v>
      </c>
      <c r="AI692" s="706">
        <v>1</v>
      </c>
      <c r="AJ692" s="905" t="str">
        <f t="shared" si="68"/>
        <v>G45003</v>
      </c>
      <c r="AK692" s="905" t="str">
        <f t="shared" si="69"/>
        <v>VTES-RACHAT BAIL CAMION</v>
      </c>
      <c r="AL692" s="905">
        <f>IFERROR(INDEX(G692:R692,1,MATCH(Parametres!$B$3,G$1:R$1,0)-1)*IF(OR(F692="L",F692="S",F692="I"),-1,1),"")</f>
        <v>-163049.32</v>
      </c>
      <c r="AM692" s="1047">
        <f t="shared" si="70"/>
        <v>-173124.11</v>
      </c>
      <c r="AN692" s="905">
        <f>INDEX(G692:R692,1,MATCH(Parametres!$B$3,G$1:R$1,0))*IF(OR(F692="L",F692="S",F692="I"),-1,1)</f>
        <v>-336173.43</v>
      </c>
      <c r="AO692" s="487" t="str">
        <f>+VLOOKUP($AJ692,Data_Validation!$A:$D,1,0)</f>
        <v>G45003</v>
      </c>
      <c r="AP692" s="487" t="str">
        <f>+VLOOKUP($AJ692,Data_Validation!$A:$D,3,0)</f>
        <v>Véhicules usagés</v>
      </c>
      <c r="AQ692" s="487" t="str">
        <f>+VLOOKUP($AJ692,Data_Validation!$A:$D,4,0)</f>
        <v>Rachat bail</v>
      </c>
      <c r="AR692" s="487" t="s">
        <v>299</v>
      </c>
      <c r="AS692" s="487" t="str">
        <f>+VLOOKUP($AJ692,Data_Validation!$A:$E,5,0)</f>
        <v>OUI</v>
      </c>
      <c r="AT692" s="904" t="str">
        <f t="shared" si="71"/>
        <v>G45003</v>
      </c>
      <c r="AU692" s="488" t="str">
        <f t="shared" si="72"/>
        <v>VTES-RACHAT BAIL CAMION</v>
      </c>
      <c r="AV692" s="899">
        <f>IFERROR(INDEX(V692:AG692,1,MATCH(Parametres!$B$3,V$1:AG$1,0)-1)*IF(OR(C692="L",C692="S",C692="I"),-1,1),"")</f>
        <v>4</v>
      </c>
      <c r="AW692" s="899">
        <f t="shared" si="73"/>
        <v>5</v>
      </c>
      <c r="AX692" s="899">
        <f>INDEX(V692:AG692,1,MATCH(Parametres!$B$3,V$1:AG$1,0))*IF(OR(C692="L",C692="S",C692="I"),-1,1)</f>
        <v>9</v>
      </c>
      <c r="AY692" s="487" t="s">
        <v>337</v>
      </c>
      <c r="AZ692" s="487" t="str">
        <f>+VLOOKUP($AJ692,Data_Validation!$A:$E,5,0)</f>
        <v>OUI</v>
      </c>
    </row>
    <row r="693" spans="1:52" ht="15" customHeight="1">
      <c r="A693" s="706" t="s">
        <v>1148</v>
      </c>
      <c r="B693" s="706">
        <v>2026</v>
      </c>
      <c r="C693" s="706" t="s">
        <v>2412</v>
      </c>
      <c r="D693" s="706" t="s">
        <v>2413</v>
      </c>
      <c r="E693" s="706" t="s">
        <v>1149</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G45020</v>
      </c>
      <c r="AK693" s="905" t="str">
        <f t="shared" si="69"/>
        <v>VTES-CAM USAGE OPT. -LOC.</v>
      </c>
      <c r="AL693" s="905">
        <f>IFERROR(INDEX(G693:R693,1,MATCH(Parametres!$B$3,G$1:R$1,0)-1)*IF(OR(F693="L",F693="S",F693="I"),-1,1),"")</f>
        <v>0</v>
      </c>
      <c r="AM693" s="1047">
        <f t="shared" si="70"/>
        <v>0</v>
      </c>
      <c r="AN693" s="905">
        <f>INDEX(G693:R693,1,MATCH(Parametres!$B$3,G$1:R$1,0))*IF(OR(F693="L",F693="S",F693="I"),-1,1)</f>
        <v>0</v>
      </c>
      <c r="AO693" s="487" t="e">
        <f>+VLOOKUP($AJ693,Data_Validation!$A:$D,1,0)</f>
        <v>#N/A</v>
      </c>
      <c r="AP693" s="487" t="e">
        <f>+VLOOKUP($AJ693,Data_Validation!$A:$D,3,0)</f>
        <v>#N/A</v>
      </c>
      <c r="AQ693" s="487" t="e">
        <f>+VLOOKUP($AJ693,Data_Validation!$A:$D,4,0)</f>
        <v>#N/A</v>
      </c>
      <c r="AR693" s="487" t="s">
        <v>299</v>
      </c>
      <c r="AS693" s="487" t="e">
        <f>+VLOOKUP($AJ693,Data_Validation!$A:$E,5,0)</f>
        <v>#N/A</v>
      </c>
      <c r="AT693" s="904" t="str">
        <f t="shared" si="71"/>
        <v>G45020</v>
      </c>
      <c r="AU693" s="488" t="str">
        <f t="shared" si="72"/>
        <v>VTES-CAM USAGE OPT. -LOC.</v>
      </c>
      <c r="AV693" s="899">
        <f>IFERROR(INDEX(V693:AG693,1,MATCH(Parametres!$B$3,V$1:AG$1,0)-1)*IF(OR(C693="L",C693="S",C693="I"),-1,1),"")</f>
        <v>0</v>
      </c>
      <c r="AW693" s="899">
        <f t="shared" si="73"/>
        <v>0</v>
      </c>
      <c r="AX693" s="899">
        <f>INDEX(V693:AG693,1,MATCH(Parametres!$B$3,V$1:AG$1,0))*IF(OR(C693="L",C693="S",C693="I"),-1,1)</f>
        <v>0</v>
      </c>
      <c r="AY693" s="487" t="s">
        <v>337</v>
      </c>
      <c r="AZ693" s="487" t="e">
        <f>+VLOOKUP($AJ693,Data_Validation!$A:$E,5,0)</f>
        <v>#N/A</v>
      </c>
    </row>
    <row r="694" spans="1:52" ht="15" customHeight="1">
      <c r="A694" s="706" t="s">
        <v>1148</v>
      </c>
      <c r="B694" s="706">
        <v>2026</v>
      </c>
      <c r="C694" s="706" t="s">
        <v>2414</v>
      </c>
      <c r="D694" s="706" t="s">
        <v>2415</v>
      </c>
      <c r="E694" s="706" t="s">
        <v>333</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G45100</v>
      </c>
      <c r="AK694" s="905" t="str">
        <f t="shared" si="69"/>
        <v>*REM.NEUF CAM DET. OPT.</v>
      </c>
      <c r="AL694" s="905">
        <f>IFERROR(INDEX(G694:R694,1,MATCH(Parametres!$B$3,G$1:R$1,0)-1)*IF(OR(F694="L",F694="S",F694="I"),-1,1),"")</f>
        <v>0</v>
      </c>
      <c r="AM694" s="1047">
        <f t="shared" si="70"/>
        <v>0</v>
      </c>
      <c r="AN694" s="905">
        <f>INDEX(G694:R694,1,MATCH(Parametres!$B$3,G$1:R$1,0))*IF(OR(F694="L",F694="S",F694="I"),-1,1)</f>
        <v>0</v>
      </c>
      <c r="AO694" s="487" t="str">
        <f>+VLOOKUP($AJ694,Data_Validation!$A:$D,1,0)</f>
        <v>G45100</v>
      </c>
      <c r="AP694" s="487">
        <f>+VLOOKUP($AJ694,Data_Validation!$A:$D,3,0)</f>
        <v>0</v>
      </c>
      <c r="AQ694" s="487">
        <f>+VLOOKUP($AJ694,Data_Validation!$A:$D,4,0)</f>
        <v>0</v>
      </c>
      <c r="AR694" s="487" t="s">
        <v>299</v>
      </c>
      <c r="AS694" s="487">
        <f>+VLOOKUP($AJ694,Data_Validation!$A:$E,5,0)</f>
        <v>0</v>
      </c>
      <c r="AT694" s="904" t="str">
        <f t="shared" si="71"/>
        <v>G45100</v>
      </c>
      <c r="AU694" s="488" t="str">
        <f t="shared" si="72"/>
        <v>*REM.NEUF CAM DET. OPT.</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2416</v>
      </c>
      <c r="D695" s="706" t="s">
        <v>2417</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G45101</v>
      </c>
      <c r="AK695" s="905" t="str">
        <f t="shared" si="69"/>
        <v>*REM.NEUF CAM DET.AUTRES</v>
      </c>
      <c r="AL695" s="905">
        <f>IFERROR(INDEX(G695:R695,1,MATCH(Parametres!$B$3,G$1:R$1,0)-1)*IF(OR(F695="L",F695="S",F695="I"),-1,1),"")</f>
        <v>0</v>
      </c>
      <c r="AM695" s="905">
        <f t="shared" si="70"/>
        <v>0</v>
      </c>
      <c r="AN695" s="905">
        <f>INDEX(G695:R695,1,MATCH(Parametres!$B$3,G$1:R$1,0))*IF(OR(F695="L",F695="S",F695="I"),-1,1)</f>
        <v>0</v>
      </c>
      <c r="AO695" s="487" t="str">
        <f>+VLOOKUP($AJ695,Data_Validation!$A:$D,1,0)</f>
        <v>G45101</v>
      </c>
      <c r="AP695" s="487">
        <f>+VLOOKUP($AJ695,Data_Validation!$A:$D,3,0)</f>
        <v>0</v>
      </c>
      <c r="AQ695" s="487">
        <f>+VLOOKUP($AJ695,Data_Validation!$A:$D,4,0)</f>
        <v>0</v>
      </c>
      <c r="AR695" s="487" t="s">
        <v>299</v>
      </c>
      <c r="AS695" s="487">
        <f>+VLOOKUP($AJ695,Data_Validation!$A:$E,5,0)</f>
        <v>0</v>
      </c>
      <c r="AT695" s="904" t="str">
        <f t="shared" si="71"/>
        <v>G45101</v>
      </c>
      <c r="AU695" s="488" t="str">
        <f t="shared" si="72"/>
        <v>*REM.NEUF CAM DET.AUTRES</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customHeight="1">
      <c r="A696" s="706" t="s">
        <v>1148</v>
      </c>
      <c r="B696" s="706">
        <v>2026</v>
      </c>
      <c r="C696" s="706" t="s">
        <v>2418</v>
      </c>
      <c r="D696" s="706" t="s">
        <v>2419</v>
      </c>
      <c r="E696" s="706" t="s">
        <v>333</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G45120</v>
      </c>
      <c r="AK696" s="905" t="str">
        <f t="shared" si="69"/>
        <v>*REM.NEUF LOC.CAM.DET.OPT</v>
      </c>
      <c r="AL696" s="905">
        <f>IFERROR(INDEX(G696:R696,1,MATCH(Parametres!$B$3,G$1:R$1,0)-1)*IF(OR(F696="L",F696="S",F696="I"),-1,1),"")</f>
        <v>0</v>
      </c>
      <c r="AM696" s="1047">
        <f t="shared" si="70"/>
        <v>0</v>
      </c>
      <c r="AN696" s="905">
        <f>INDEX(G696:R696,1,MATCH(Parametres!$B$3,G$1:R$1,0))*IF(OR(F696="L",F696="S",F696="I"),-1,1)</f>
        <v>0</v>
      </c>
      <c r="AO696" s="487" t="str">
        <f>+VLOOKUP($AJ696,Data_Validation!$A:$D,1,0)</f>
        <v>G45120</v>
      </c>
      <c r="AP696" s="487">
        <f>+VLOOKUP($AJ696,Data_Validation!$A:$D,3,0)</f>
        <v>0</v>
      </c>
      <c r="AQ696" s="487">
        <f>+VLOOKUP($AJ696,Data_Validation!$A:$D,4,0)</f>
        <v>0</v>
      </c>
      <c r="AR696" s="487" t="s">
        <v>299</v>
      </c>
      <c r="AS696" s="487">
        <f>+VLOOKUP($AJ696,Data_Validation!$A:$E,5,0)</f>
        <v>0</v>
      </c>
      <c r="AT696" s="904" t="str">
        <f t="shared" si="71"/>
        <v>G45120</v>
      </c>
      <c r="AU696" s="488" t="str">
        <f t="shared" si="72"/>
        <v>*REM.NEUF LOC.CAM.DET.OPT</v>
      </c>
      <c r="AV696" s="899">
        <f>IFERROR(INDEX(V696:AG696,1,MATCH(Parametres!$B$3,V$1:AG$1,0)-1)*IF(OR(C696="L",C696="S",C696="I"),-1,1),"")</f>
        <v>0</v>
      </c>
      <c r="AW696" s="899">
        <f t="shared" si="73"/>
        <v>0</v>
      </c>
      <c r="AX696" s="899">
        <f>INDEX(V696:AG696,1,MATCH(Parametres!$B$3,V$1:AG$1,0))*IF(OR(C696="L",C696="S",C696="I"),-1,1)</f>
        <v>0</v>
      </c>
      <c r="AY696" s="487" t="s">
        <v>337</v>
      </c>
      <c r="AZ696" s="487">
        <f>+VLOOKUP($AJ696,Data_Validation!$A:$E,5,0)</f>
        <v>0</v>
      </c>
    </row>
    <row r="697" spans="1:52" ht="15" customHeight="1">
      <c r="A697" s="706" t="s">
        <v>1148</v>
      </c>
      <c r="B697" s="706">
        <v>2026</v>
      </c>
      <c r="C697" s="706" t="s">
        <v>2420</v>
      </c>
      <c r="D697" s="706" t="s">
        <v>2421</v>
      </c>
      <c r="E697" s="706" t="s">
        <v>1149</v>
      </c>
      <c r="F697" s="706" t="s">
        <v>1149</v>
      </c>
      <c r="G697" s="706">
        <v>2100379.8199999998</v>
      </c>
      <c r="H697" s="706">
        <v>3762756.44</v>
      </c>
      <c r="I697" s="706">
        <v>6990224.5099999998</v>
      </c>
      <c r="J697" s="706">
        <v>9896233.2899999991</v>
      </c>
      <c r="K697" s="706">
        <v>4745727.26</v>
      </c>
      <c r="L697" s="706">
        <v>5406103.9400000004</v>
      </c>
      <c r="M697" s="706">
        <v>5947334.9400000004</v>
      </c>
      <c r="N697" s="706">
        <v>6873627.2699999996</v>
      </c>
      <c r="O697" s="706">
        <v>7237999.2699999996</v>
      </c>
      <c r="P697" s="706">
        <v>0</v>
      </c>
      <c r="Q697" s="706">
        <v>0</v>
      </c>
      <c r="R697" s="706">
        <v>0</v>
      </c>
      <c r="S697" s="706">
        <v>859203.41</v>
      </c>
      <c r="T697" s="706">
        <v>859203.41</v>
      </c>
      <c r="U697" s="706">
        <v>0</v>
      </c>
      <c r="V697" s="706">
        <v>58</v>
      </c>
      <c r="W697" s="706">
        <v>107</v>
      </c>
      <c r="X697" s="706">
        <v>197</v>
      </c>
      <c r="Y697" s="706">
        <v>277</v>
      </c>
      <c r="Z697" s="706">
        <v>116</v>
      </c>
      <c r="AA697" s="706">
        <v>140</v>
      </c>
      <c r="AB697" s="706">
        <v>155</v>
      </c>
      <c r="AC697" s="706">
        <v>182</v>
      </c>
      <c r="AD697" s="706">
        <v>192</v>
      </c>
      <c r="AE697" s="706">
        <v>0</v>
      </c>
      <c r="AF697" s="706">
        <v>0</v>
      </c>
      <c r="AG697" s="706">
        <v>0</v>
      </c>
      <c r="AH697" s="706">
        <v>23</v>
      </c>
      <c r="AI697" s="706">
        <v>23</v>
      </c>
      <c r="AJ697" s="905" t="str">
        <f t="shared" si="68"/>
        <v>G45200</v>
      </c>
      <c r="AK697" s="905" t="str">
        <f t="shared" si="69"/>
        <v>VTES-CAMIONS OCC EN GROS</v>
      </c>
      <c r="AL697" s="905">
        <f>IFERROR(INDEX(G697:R697,1,MATCH(Parametres!$B$3,G$1:R$1,0)-1)*IF(OR(F697="L",F697="S",F697="I"),-1,1),"")</f>
        <v>-5947334.9400000004</v>
      </c>
      <c r="AM697" s="905">
        <f t="shared" si="70"/>
        <v>-926292.32999999914</v>
      </c>
      <c r="AN697" s="905">
        <f>INDEX(G697:R697,1,MATCH(Parametres!$B$3,G$1:R$1,0))*IF(OR(F697="L",F697="S",F697="I"),-1,1)</f>
        <v>-6873627.2699999996</v>
      </c>
      <c r="AO697" s="487" t="str">
        <f>+VLOOKUP($AJ697,Data_Validation!$A:$D,1,0)</f>
        <v>G45200</v>
      </c>
      <c r="AP697" s="487" t="str">
        <f>+VLOOKUP($AJ697,Data_Validation!$A:$D,3,0)</f>
        <v>Véhicules usagés</v>
      </c>
      <c r="AQ697" s="487" t="str">
        <f>+VLOOKUP($AJ697,Data_Validation!$A:$D,4,0)</f>
        <v>Ventes au Gros</v>
      </c>
      <c r="AR697" s="487" t="s">
        <v>299</v>
      </c>
      <c r="AS697" s="487" t="str">
        <f>+VLOOKUP($AJ697,Data_Validation!$A:$E,5,0)</f>
        <v>Oui</v>
      </c>
      <c r="AT697" s="904" t="str">
        <f t="shared" si="71"/>
        <v>G45200</v>
      </c>
      <c r="AU697" s="488" t="str">
        <f t="shared" si="72"/>
        <v>VTES-CAMIONS OCC EN GROS</v>
      </c>
      <c r="AV697" s="899">
        <f>IFERROR(INDEX(V697:AG697,1,MATCH(Parametres!$B$3,V$1:AG$1,0)-1)*IF(OR(C697="L",C697="S",C697="I"),-1,1),"")</f>
        <v>155</v>
      </c>
      <c r="AW697" s="899">
        <f t="shared" si="73"/>
        <v>27</v>
      </c>
      <c r="AX697" s="899">
        <f>INDEX(V697:AG697,1,MATCH(Parametres!$B$3,V$1:AG$1,0))*IF(OR(C697="L",C697="S",C697="I"),-1,1)</f>
        <v>182</v>
      </c>
      <c r="AY697" s="487" t="s">
        <v>337</v>
      </c>
      <c r="AZ697" s="487" t="str">
        <f>+VLOOKUP($AJ697,Data_Validation!$A:$E,5,0)</f>
        <v>Oui</v>
      </c>
    </row>
    <row r="698" spans="1:52" ht="15" customHeight="1">
      <c r="A698" s="706" t="s">
        <v>1148</v>
      </c>
      <c r="B698" s="706">
        <v>2026</v>
      </c>
      <c r="C698" s="706" t="s">
        <v>2422</v>
      </c>
      <c r="D698" s="706" t="s">
        <v>2423</v>
      </c>
      <c r="E698" s="706" t="s">
        <v>1149</v>
      </c>
      <c r="F698" s="706" t="s">
        <v>1149</v>
      </c>
      <c r="G698" s="706">
        <v>6844500</v>
      </c>
      <c r="H698" s="706">
        <v>7395000</v>
      </c>
      <c r="I698" s="706">
        <v>10383950</v>
      </c>
      <c r="J698" s="706">
        <v>16296150</v>
      </c>
      <c r="K698" s="706">
        <v>18243450</v>
      </c>
      <c r="L698" s="706">
        <v>20028350</v>
      </c>
      <c r="M698" s="706">
        <v>21800450</v>
      </c>
      <c r="N698" s="706">
        <v>22951450</v>
      </c>
      <c r="O698" s="706">
        <v>23329950</v>
      </c>
      <c r="P698" s="706">
        <v>0</v>
      </c>
      <c r="Q698" s="706">
        <v>0</v>
      </c>
      <c r="R698" s="706">
        <v>0</v>
      </c>
      <c r="S698" s="706">
        <v>2868931.25</v>
      </c>
      <c r="T698" s="706">
        <v>2868931.25</v>
      </c>
      <c r="U698" s="706">
        <v>0</v>
      </c>
      <c r="V698" s="706">
        <v>41</v>
      </c>
      <c r="W698" s="706">
        <v>44</v>
      </c>
      <c r="X698" s="706">
        <v>76</v>
      </c>
      <c r="Y698" s="706">
        <v>139</v>
      </c>
      <c r="Z698" s="706">
        <v>157</v>
      </c>
      <c r="AA698" s="706">
        <v>177</v>
      </c>
      <c r="AB698" s="706">
        <v>188</v>
      </c>
      <c r="AC698" s="706">
        <v>196</v>
      </c>
      <c r="AD698" s="706">
        <v>197</v>
      </c>
      <c r="AE698" s="706">
        <v>0</v>
      </c>
      <c r="AF698" s="706">
        <v>0</v>
      </c>
      <c r="AG698" s="706">
        <v>0</v>
      </c>
      <c r="AH698" s="706">
        <v>25</v>
      </c>
      <c r="AI698" s="706">
        <v>25</v>
      </c>
      <c r="AJ698" s="905" t="str">
        <f t="shared" si="68"/>
        <v>G45201</v>
      </c>
      <c r="AK698" s="905" t="str">
        <f t="shared" si="69"/>
        <v>VTES - WHOLESALE W</v>
      </c>
      <c r="AL698" s="905">
        <f>IFERROR(INDEX(G698:R698,1,MATCH(Parametres!$B$3,G$1:R$1,0)-1)*IF(OR(F698="L",F698="S",F698="I"),-1,1),"")</f>
        <v>-21800450</v>
      </c>
      <c r="AM698" s="905">
        <f t="shared" si="70"/>
        <v>-1151000</v>
      </c>
      <c r="AN698" s="905">
        <f>INDEX(G698:R698,1,MATCH(Parametres!$B$3,G$1:R$1,0))*IF(OR(F698="L",F698="S",F698="I"),-1,1)</f>
        <v>-22951450</v>
      </c>
      <c r="AO698" s="487" t="str">
        <f>+VLOOKUP($AJ698,Data_Validation!$A:$D,1,0)</f>
        <v>G45201</v>
      </c>
      <c r="AP698" s="487" t="str">
        <f>+VLOOKUP($AJ698,Data_Validation!$A:$D,3,0)</f>
        <v>Wholesale autres</v>
      </c>
      <c r="AQ698" s="487" t="str">
        <f>+VLOOKUP($AJ698,Data_Validation!$A:$D,4,0)</f>
        <v>Wholesale Luxueux</v>
      </c>
      <c r="AR698" s="487" t="s">
        <v>299</v>
      </c>
      <c r="AS698" s="487" t="str">
        <f>+VLOOKUP($AJ698,Data_Validation!$A:$E,5,0)</f>
        <v>Oui</v>
      </c>
      <c r="AT698" s="904" t="str">
        <f t="shared" si="71"/>
        <v>G45201</v>
      </c>
      <c r="AU698" s="488" t="str">
        <f t="shared" si="72"/>
        <v>VTES - WHOLESALE W</v>
      </c>
      <c r="AV698" s="899">
        <f>IFERROR(INDEX(V698:AG698,1,MATCH(Parametres!$B$3,V$1:AG$1,0)-1)*IF(OR(C698="L",C698="S",C698="I"),-1,1),"")</f>
        <v>188</v>
      </c>
      <c r="AW698" s="899">
        <f t="shared" si="73"/>
        <v>8</v>
      </c>
      <c r="AX698" s="899">
        <f>INDEX(V698:AG698,1,MATCH(Parametres!$B$3,V$1:AG$1,0))*IF(OR(C698="L",C698="S",C698="I"),-1,1)</f>
        <v>196</v>
      </c>
      <c r="AY698" s="487" t="s">
        <v>337</v>
      </c>
      <c r="AZ698" s="487" t="str">
        <f>+VLOOKUP($AJ698,Data_Validation!$A:$E,5,0)</f>
        <v>Oui</v>
      </c>
    </row>
    <row r="699" spans="1:52" ht="15" customHeight="1">
      <c r="A699" s="706" t="s">
        <v>1148</v>
      </c>
      <c r="B699" s="706">
        <v>2026</v>
      </c>
      <c r="C699" s="706" t="s">
        <v>3155</v>
      </c>
      <c r="D699" s="706" t="s">
        <v>3156</v>
      </c>
      <c r="E699" s="706" t="s">
        <v>1149</v>
      </c>
      <c r="F699" s="706" t="s">
        <v>1149</v>
      </c>
      <c r="G699" s="706">
        <v>0</v>
      </c>
      <c r="H699" s="706">
        <v>0</v>
      </c>
      <c r="I699" s="706">
        <v>0</v>
      </c>
      <c r="J699" s="706">
        <v>0</v>
      </c>
      <c r="K699" s="706">
        <v>1503300</v>
      </c>
      <c r="L699" s="706">
        <v>2100300</v>
      </c>
      <c r="M699" s="706">
        <v>2100300</v>
      </c>
      <c r="N699" s="706">
        <v>2100300</v>
      </c>
      <c r="O699" s="706">
        <v>2100300</v>
      </c>
      <c r="P699" s="706">
        <v>0</v>
      </c>
      <c r="Q699" s="706">
        <v>0</v>
      </c>
      <c r="R699" s="706">
        <v>0</v>
      </c>
      <c r="S699" s="706">
        <v>262537.5</v>
      </c>
      <c r="T699" s="706">
        <v>262537.5</v>
      </c>
      <c r="U699" s="706">
        <v>0</v>
      </c>
      <c r="V699" s="706">
        <v>0</v>
      </c>
      <c r="W699" s="706">
        <v>0</v>
      </c>
      <c r="X699" s="706">
        <v>0</v>
      </c>
      <c r="Y699" s="706">
        <v>0</v>
      </c>
      <c r="Z699" s="706">
        <v>4</v>
      </c>
      <c r="AA699" s="706">
        <v>5</v>
      </c>
      <c r="AB699" s="706">
        <v>5</v>
      </c>
      <c r="AC699" s="706">
        <v>5</v>
      </c>
      <c r="AD699" s="706">
        <v>5</v>
      </c>
      <c r="AE699" s="706">
        <v>0</v>
      </c>
      <c r="AF699" s="706">
        <v>0</v>
      </c>
      <c r="AG699" s="706">
        <v>0</v>
      </c>
      <c r="AH699" s="706">
        <v>1</v>
      </c>
      <c r="AI699" s="706">
        <v>1</v>
      </c>
      <c r="AJ699" s="905" t="str">
        <f t="shared" si="68"/>
        <v>G45202</v>
      </c>
      <c r="AK699" s="905" t="str">
        <f t="shared" si="69"/>
        <v>VTES- WHOLESALES M</v>
      </c>
      <c r="AL699" s="905">
        <f>IFERROR(INDEX(G699:R699,1,MATCH(Parametres!$B$3,G$1:R$1,0)-1)*IF(OR(F699="L",F699="S",F699="I"),-1,1),"")</f>
        <v>-2100300</v>
      </c>
      <c r="AM699" s="905">
        <f t="shared" si="70"/>
        <v>0</v>
      </c>
      <c r="AN699" s="905">
        <f>INDEX(G699:R699,1,MATCH(Parametres!$B$3,G$1:R$1,0))*IF(OR(F699="L",F699="S",F699="I"),-1,1)</f>
        <v>-2100300</v>
      </c>
      <c r="AO699" s="487" t="str">
        <f>+VLOOKUP($AJ699,Data_Validation!$A:$D,1,0)</f>
        <v>G45202</v>
      </c>
      <c r="AP699" s="487" t="str">
        <f>+VLOOKUP($AJ699,Data_Validation!$A:$D,3,0)</f>
        <v>Wholesale autres</v>
      </c>
      <c r="AQ699" s="487" t="str">
        <f>+VLOOKUP($AJ699,Data_Validation!$A:$D,4,0)</f>
        <v>Wholesale Luxueux</v>
      </c>
      <c r="AR699" s="487" t="s">
        <v>299</v>
      </c>
      <c r="AS699" s="487" t="str">
        <f>+VLOOKUP($AJ699,Data_Validation!$A:$E,5,0)</f>
        <v>Oui</v>
      </c>
      <c r="AT699" s="904" t="str">
        <f t="shared" si="71"/>
        <v>G45202</v>
      </c>
      <c r="AU699" s="488" t="str">
        <f t="shared" si="72"/>
        <v>VTES- WHOLESALES M</v>
      </c>
      <c r="AV699" s="899">
        <f>IFERROR(INDEX(V699:AG699,1,MATCH(Parametres!$B$3,V$1:AG$1,0)-1)*IF(OR(C699="L",C699="S",C699="I"),-1,1),"")</f>
        <v>5</v>
      </c>
      <c r="AW699" s="899">
        <f t="shared" si="73"/>
        <v>0</v>
      </c>
      <c r="AX699" s="899">
        <f>INDEX(V699:AG699,1,MATCH(Parametres!$B$3,V$1:AG$1,0))*IF(OR(C699="L",C699="S",C699="I"),-1,1)</f>
        <v>5</v>
      </c>
      <c r="AY699" s="487" t="s">
        <v>337</v>
      </c>
      <c r="AZ699" s="487" t="str">
        <f>+VLOOKUP($AJ699,Data_Validation!$A:$E,5,0)</f>
        <v>Oui</v>
      </c>
    </row>
    <row r="700" spans="1:52" ht="15" customHeight="1">
      <c r="A700" s="706" t="s">
        <v>1148</v>
      </c>
      <c r="B700" s="706">
        <v>2026</v>
      </c>
      <c r="C700" s="706" t="s">
        <v>2424</v>
      </c>
      <c r="D700" s="706" t="s">
        <v>2425</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G45300</v>
      </c>
      <c r="AK700" s="905" t="str">
        <f t="shared" si="69"/>
        <v>*RECTIFICATION/STOK/TRUCK</v>
      </c>
      <c r="AL700" s="905">
        <f>IFERROR(INDEX(G700:R700,1,MATCH(Parametres!$B$3,G$1:R$1,0)-1)*IF(OR(F700="L",F700="S",F700="I"),-1,1),"")</f>
        <v>0</v>
      </c>
      <c r="AM700" s="905">
        <f t="shared" si="70"/>
        <v>0</v>
      </c>
      <c r="AN700" s="905">
        <f>INDEX(G700:R700,1,MATCH(Parametres!$B$3,G$1:R$1,0))*IF(OR(F700="L",F700="S",F700="I"),-1,1)</f>
        <v>0</v>
      </c>
      <c r="AO700" s="487" t="str">
        <f>+VLOOKUP($AJ700,Data_Validation!$A:$D,1,0)</f>
        <v>G45300</v>
      </c>
      <c r="AP700" s="487">
        <f>+VLOOKUP($AJ700,Data_Validation!$A:$D,3,0)</f>
        <v>0</v>
      </c>
      <c r="AQ700" s="487">
        <f>+VLOOKUP($AJ700,Data_Validation!$A:$D,4,0)</f>
        <v>0</v>
      </c>
      <c r="AR700" s="487" t="s">
        <v>299</v>
      </c>
      <c r="AS700" s="487">
        <f>+VLOOKUP($AJ700,Data_Validation!$A:$E,5,0)</f>
        <v>0</v>
      </c>
      <c r="AT700" s="904" t="str">
        <f t="shared" si="71"/>
        <v>G45300</v>
      </c>
      <c r="AU700" s="488" t="str">
        <f t="shared" si="72"/>
        <v>*RECTIFICATION/STOK/TRUCK</v>
      </c>
      <c r="AV700" s="899">
        <f>IFERROR(INDEX(V700:AG700,1,MATCH(Parametres!$B$3,V$1:AG$1,0)-1)*IF(OR(C700="L",C700="S",C700="I"),-1,1),"")</f>
        <v>0</v>
      </c>
      <c r="AW700" s="899">
        <f t="shared" si="73"/>
        <v>0</v>
      </c>
      <c r="AX700" s="899">
        <f>INDEX(V700:AG700,1,MATCH(Parametres!$B$3,V$1:AG$1,0))*IF(OR(C700="L",C700="S",C700="I"),-1,1)</f>
        <v>0</v>
      </c>
      <c r="AY700" s="487" t="s">
        <v>337</v>
      </c>
      <c r="AZ700" s="487">
        <f>+VLOOKUP($AJ700,Data_Validation!$A:$E,5,0)</f>
        <v>0</v>
      </c>
    </row>
    <row r="701" spans="1:52" ht="15" customHeight="1">
      <c r="A701" s="706" t="s">
        <v>1148</v>
      </c>
      <c r="B701" s="706">
        <v>2026</v>
      </c>
      <c r="C701" s="706" t="s">
        <v>2426</v>
      </c>
      <c r="D701" s="706" t="s">
        <v>2427</v>
      </c>
      <c r="E701" s="706" t="s">
        <v>333</v>
      </c>
      <c r="F701" s="706" t="s">
        <v>1149</v>
      </c>
      <c r="G701" s="706">
        <v>32386.73</v>
      </c>
      <c r="H701" s="706">
        <v>41911.730000000003</v>
      </c>
      <c r="I701" s="706">
        <v>60622.73</v>
      </c>
      <c r="J701" s="706">
        <v>95459.73</v>
      </c>
      <c r="K701" s="706">
        <v>126732.73</v>
      </c>
      <c r="L701" s="706">
        <v>155831.73000000001</v>
      </c>
      <c r="M701" s="706">
        <v>155831.73000000001</v>
      </c>
      <c r="N701" s="706">
        <v>173727.73</v>
      </c>
      <c r="O701" s="706">
        <v>173727.73</v>
      </c>
      <c r="P701" s="706">
        <v>0</v>
      </c>
      <c r="Q701" s="706">
        <v>0</v>
      </c>
      <c r="R701" s="706">
        <v>0</v>
      </c>
      <c r="S701" s="706">
        <v>21715.97</v>
      </c>
      <c r="T701" s="706">
        <v>21715.97</v>
      </c>
      <c r="U701" s="706">
        <v>0</v>
      </c>
      <c r="V701" s="706">
        <v>9</v>
      </c>
      <c r="W701" s="706">
        <v>12</v>
      </c>
      <c r="X701" s="706">
        <v>17</v>
      </c>
      <c r="Y701" s="706">
        <v>26</v>
      </c>
      <c r="Z701" s="706">
        <v>35</v>
      </c>
      <c r="AA701" s="706">
        <v>43</v>
      </c>
      <c r="AB701" s="706">
        <v>43</v>
      </c>
      <c r="AC701" s="706">
        <v>48</v>
      </c>
      <c r="AD701" s="706">
        <v>48</v>
      </c>
      <c r="AE701" s="706">
        <v>0</v>
      </c>
      <c r="AF701" s="706">
        <v>0</v>
      </c>
      <c r="AG701" s="706">
        <v>0</v>
      </c>
      <c r="AH701" s="706">
        <v>6</v>
      </c>
      <c r="AI701" s="706">
        <v>6</v>
      </c>
      <c r="AJ701" s="905" t="str">
        <f t="shared" si="68"/>
        <v>G45400</v>
      </c>
      <c r="AK701" s="905" t="str">
        <f t="shared" si="69"/>
        <v>VTES-PLAN PROTECTION USAG</v>
      </c>
      <c r="AL701" s="905">
        <f>IFERROR(INDEX(G701:R701,1,MATCH(Parametres!$B$3,G$1:R$1,0)-1)*IF(OR(F701="L",F701="S",F701="I"),-1,1),"")</f>
        <v>-155831.73000000001</v>
      </c>
      <c r="AM701" s="905">
        <f t="shared" si="70"/>
        <v>-17896</v>
      </c>
      <c r="AN701" s="905">
        <f>INDEX(G701:R701,1,MATCH(Parametres!$B$3,G$1:R$1,0))*IF(OR(F701="L",F701="S",F701="I"),-1,1)</f>
        <v>-173727.73</v>
      </c>
      <c r="AO701" s="487" t="str">
        <f>+VLOOKUP($AJ701,Data_Validation!$A:$D,1,0)</f>
        <v>G45400</v>
      </c>
      <c r="AP701" s="487" t="str">
        <f>+VLOOKUP($AJ701,Data_Validation!$A:$D,3,0)</f>
        <v>Véhicules usagés</v>
      </c>
      <c r="AQ701" s="487" t="str">
        <f>+VLOOKUP($AJ701,Data_Validation!$A:$D,4,0)</f>
        <v>Rev. Protections</v>
      </c>
      <c r="AR701" s="487" t="s">
        <v>299</v>
      </c>
      <c r="AS701" s="487" t="str">
        <f>+VLOOKUP($AJ701,Data_Validation!$A:$E,5,0)</f>
        <v>Oui</v>
      </c>
      <c r="AT701" s="904" t="str">
        <f t="shared" si="71"/>
        <v>G45400</v>
      </c>
      <c r="AU701" s="488" t="str">
        <f t="shared" si="72"/>
        <v>VTES-PLAN PROTECTION USAG</v>
      </c>
      <c r="AV701" s="899">
        <f>IFERROR(INDEX(V701:AG701,1,MATCH(Parametres!$B$3,V$1:AG$1,0)-1)*IF(OR(C701="L",C701="S",C701="I"),-1,1),"")</f>
        <v>43</v>
      </c>
      <c r="AW701" s="899">
        <f t="shared" si="73"/>
        <v>5</v>
      </c>
      <c r="AX701" s="899">
        <f>INDEX(V701:AG701,1,MATCH(Parametres!$B$3,V$1:AG$1,0))*IF(OR(C701="L",C701="S",C701="I"),-1,1)</f>
        <v>48</v>
      </c>
      <c r="AY701" s="487" t="s">
        <v>337</v>
      </c>
      <c r="AZ701" s="487" t="str">
        <f>+VLOOKUP($AJ701,Data_Validation!$A:$E,5,0)</f>
        <v>Oui</v>
      </c>
    </row>
    <row r="702" spans="1:52" ht="15" customHeight="1">
      <c r="A702" s="706" t="s">
        <v>1148</v>
      </c>
      <c r="B702" s="706">
        <v>2026</v>
      </c>
      <c r="C702" s="706" t="s">
        <v>3341</v>
      </c>
      <c r="D702" s="706" t="s">
        <v>3342</v>
      </c>
      <c r="E702" s="706" t="s">
        <v>333</v>
      </c>
      <c r="F702" s="706" t="s">
        <v>1149</v>
      </c>
      <c r="G702" s="706">
        <v>0</v>
      </c>
      <c r="H702" s="706">
        <v>0</v>
      </c>
      <c r="I702" s="706">
        <v>0</v>
      </c>
      <c r="J702" s="706">
        <v>0</v>
      </c>
      <c r="K702" s="706">
        <v>0</v>
      </c>
      <c r="L702" s="706">
        <v>0</v>
      </c>
      <c r="M702" s="706">
        <v>8535</v>
      </c>
      <c r="N702" s="706">
        <v>8535</v>
      </c>
      <c r="O702" s="706">
        <v>8535</v>
      </c>
      <c r="P702" s="706">
        <v>0</v>
      </c>
      <c r="Q702" s="706">
        <v>0</v>
      </c>
      <c r="R702" s="706">
        <v>0</v>
      </c>
      <c r="S702" s="706">
        <v>1066.8800000000001</v>
      </c>
      <c r="T702" s="706">
        <v>1066.8800000000001</v>
      </c>
      <c r="U702" s="706">
        <v>0</v>
      </c>
      <c r="V702" s="706">
        <v>0</v>
      </c>
      <c r="W702" s="706">
        <v>0</v>
      </c>
      <c r="X702" s="706">
        <v>0</v>
      </c>
      <c r="Y702" s="706">
        <v>0</v>
      </c>
      <c r="Z702" s="706">
        <v>0</v>
      </c>
      <c r="AA702" s="706">
        <v>0</v>
      </c>
      <c r="AB702" s="706">
        <v>3</v>
      </c>
      <c r="AC702" s="706">
        <v>3</v>
      </c>
      <c r="AD702" s="706">
        <v>3</v>
      </c>
      <c r="AE702" s="706">
        <v>0</v>
      </c>
      <c r="AF702" s="706">
        <v>0</v>
      </c>
      <c r="AG702" s="706">
        <v>0</v>
      </c>
      <c r="AH702" s="706">
        <v>0</v>
      </c>
      <c r="AI702" s="706">
        <v>0</v>
      </c>
      <c r="AJ702" s="905" t="str">
        <f t="shared" si="68"/>
        <v>G45401</v>
      </c>
      <c r="AK702" s="905" t="str">
        <f t="shared" si="69"/>
        <v>VTES ANTIROUILLE USAGE</v>
      </c>
      <c r="AL702" s="905">
        <f>IFERROR(INDEX(G702:R702,1,MATCH(Parametres!$B$3,G$1:R$1,0)-1)*IF(OR(F702="L",F702="S",F702="I"),-1,1),"")</f>
        <v>-8535</v>
      </c>
      <c r="AM702" s="905">
        <f t="shared" si="70"/>
        <v>0</v>
      </c>
      <c r="AN702" s="905">
        <f>INDEX(G702:R702,1,MATCH(Parametres!$B$3,G$1:R$1,0))*IF(OR(F702="L",F702="S",F702="I"),-1,1)</f>
        <v>-8535</v>
      </c>
      <c r="AO702" s="487" t="str">
        <f>+VLOOKUP($AJ702,Data_Validation!$A:$D,1,0)</f>
        <v>G45401</v>
      </c>
      <c r="AP702" s="487" t="str">
        <f>+VLOOKUP($AJ702,Data_Validation!$A:$D,3,0)</f>
        <v>Véhicules usagés</v>
      </c>
      <c r="AQ702" s="487" t="str">
        <f>+VLOOKUP($AJ702,Data_Validation!$A:$D,4,0)</f>
        <v>Rev. Protections</v>
      </c>
      <c r="AR702" s="487" t="s">
        <v>299</v>
      </c>
      <c r="AS702" s="487" t="str">
        <f>+VLOOKUP($AJ702,Data_Validation!$A:$E,5,0)</f>
        <v>Oui</v>
      </c>
      <c r="AT702" s="904" t="str">
        <f t="shared" si="71"/>
        <v>G45401</v>
      </c>
      <c r="AU702" s="488" t="str">
        <f t="shared" si="72"/>
        <v>VTES ANTIROUILLE USAGE</v>
      </c>
      <c r="AV702" s="899">
        <f>IFERROR(INDEX(V702:AG702,1,MATCH(Parametres!$B$3,V$1:AG$1,0)-1)*IF(OR(C702="L",C702="S",C702="I"),-1,1),"")</f>
        <v>3</v>
      </c>
      <c r="AW702" s="899">
        <f t="shared" si="73"/>
        <v>0</v>
      </c>
      <c r="AX702" s="899">
        <f>INDEX(V702:AG702,1,MATCH(Parametres!$B$3,V$1:AG$1,0))*IF(OR(C702="L",C702="S",C702="I"),-1,1)</f>
        <v>3</v>
      </c>
      <c r="AY702" s="487" t="s">
        <v>337</v>
      </c>
      <c r="AZ702" s="487" t="str">
        <f>+VLOOKUP($AJ702,Data_Validation!$A:$E,5,0)</f>
        <v>Oui</v>
      </c>
    </row>
    <row r="703" spans="1:52" ht="15" customHeight="1">
      <c r="A703" s="706" t="s">
        <v>1148</v>
      </c>
      <c r="B703" s="706">
        <v>2026</v>
      </c>
      <c r="C703" s="706" t="s">
        <v>3343</v>
      </c>
      <c r="D703" s="706" t="s">
        <v>3344</v>
      </c>
      <c r="E703" s="706" t="s">
        <v>333</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G45403</v>
      </c>
      <c r="AK703" s="905" t="str">
        <f t="shared" si="69"/>
        <v>VTE VITRE-PEINT-TISS- US</v>
      </c>
      <c r="AL703" s="905">
        <f>IFERROR(INDEX(G703:R703,1,MATCH(Parametres!$B$3,G$1:R$1,0)-1)*IF(OR(F703="L",F703="S",F703="I"),-1,1),"")</f>
        <v>0</v>
      </c>
      <c r="AM703" s="905">
        <f t="shared" si="70"/>
        <v>0</v>
      </c>
      <c r="AN703" s="905">
        <f>INDEX(G703:R703,1,MATCH(Parametres!$B$3,G$1:R$1,0))*IF(OR(F703="L",F703="S",F703="I"),-1,1)</f>
        <v>0</v>
      </c>
      <c r="AO703" s="487" t="e">
        <f>+VLOOKUP($AJ703,Data_Validation!$A:$D,1,0)</f>
        <v>#N/A</v>
      </c>
      <c r="AP703" s="487" t="e">
        <f>+VLOOKUP($AJ703,Data_Validation!$A:$D,3,0)</f>
        <v>#N/A</v>
      </c>
      <c r="AQ703" s="487" t="e">
        <f>+VLOOKUP($AJ703,Data_Validation!$A:$D,4,0)</f>
        <v>#N/A</v>
      </c>
      <c r="AR703" s="487" t="s">
        <v>299</v>
      </c>
      <c r="AS703" s="487" t="e">
        <f>+VLOOKUP($AJ703,Data_Validation!$A:$E,5,0)</f>
        <v>#N/A</v>
      </c>
      <c r="AT703" s="904" t="str">
        <f t="shared" si="71"/>
        <v>G45403</v>
      </c>
      <c r="AU703" s="488" t="str">
        <f t="shared" si="72"/>
        <v>VTE VITRE-PEINT-TISS- US</v>
      </c>
      <c r="AV703" s="899">
        <f>IFERROR(INDEX(V703:AG703,1,MATCH(Parametres!$B$3,V$1:AG$1,0)-1)*IF(OR(C703="L",C703="S",C703="I"),-1,1),"")</f>
        <v>0</v>
      </c>
      <c r="AW703" s="899">
        <f t="shared" si="73"/>
        <v>0</v>
      </c>
      <c r="AX703" s="899">
        <f>INDEX(V703:AG703,1,MATCH(Parametres!$B$3,V$1:AG$1,0))*IF(OR(C703="L",C703="S",C703="I"),-1,1)</f>
        <v>0</v>
      </c>
      <c r="AY703" s="487" t="s">
        <v>337</v>
      </c>
      <c r="AZ703" s="487" t="e">
        <f>+VLOOKUP($AJ703,Data_Validation!$A:$E,5,0)</f>
        <v>#N/A</v>
      </c>
    </row>
    <row r="704" spans="1:52" ht="15" customHeight="1">
      <c r="A704" s="706" t="s">
        <v>1148</v>
      </c>
      <c r="B704" s="706">
        <v>2026</v>
      </c>
      <c r="C704" s="706" t="s">
        <v>3345</v>
      </c>
      <c r="D704" s="706" t="s">
        <v>3346</v>
      </c>
      <c r="E704" s="706" t="s">
        <v>333</v>
      </c>
      <c r="F704" s="706" t="s">
        <v>1149</v>
      </c>
      <c r="G704" s="706">
        <v>0</v>
      </c>
      <c r="H704" s="706">
        <v>0</v>
      </c>
      <c r="I704" s="706">
        <v>0</v>
      </c>
      <c r="J704" s="706">
        <v>0</v>
      </c>
      <c r="K704" s="706">
        <v>0</v>
      </c>
      <c r="L704" s="706">
        <v>0</v>
      </c>
      <c r="M704" s="706">
        <v>998</v>
      </c>
      <c r="N704" s="706">
        <v>998</v>
      </c>
      <c r="O704" s="706">
        <v>998</v>
      </c>
      <c r="P704" s="706">
        <v>0</v>
      </c>
      <c r="Q704" s="706">
        <v>0</v>
      </c>
      <c r="R704" s="706">
        <v>0</v>
      </c>
      <c r="S704" s="706">
        <v>124.75</v>
      </c>
      <c r="T704" s="706">
        <v>124.75</v>
      </c>
      <c r="U704" s="706">
        <v>0</v>
      </c>
      <c r="V704" s="706">
        <v>0</v>
      </c>
      <c r="W704" s="706">
        <v>0</v>
      </c>
      <c r="X704" s="706">
        <v>0</v>
      </c>
      <c r="Y704" s="706">
        <v>0</v>
      </c>
      <c r="Z704" s="706">
        <v>0</v>
      </c>
      <c r="AA704" s="706">
        <v>0</v>
      </c>
      <c r="AB704" s="706">
        <v>2</v>
      </c>
      <c r="AC704" s="706">
        <v>2</v>
      </c>
      <c r="AD704" s="706">
        <v>2</v>
      </c>
      <c r="AE704" s="706">
        <v>0</v>
      </c>
      <c r="AF704" s="706">
        <v>0</v>
      </c>
      <c r="AG704" s="706">
        <v>0</v>
      </c>
      <c r="AH704" s="706">
        <v>0</v>
      </c>
      <c r="AI704" s="706">
        <v>0</v>
      </c>
      <c r="AJ704" s="905" t="str">
        <f t="shared" si="68"/>
        <v>G45405</v>
      </c>
      <c r="AK704" s="905" t="str">
        <f t="shared" si="69"/>
        <v>VTES ANTIVOL-TAG -OCC</v>
      </c>
      <c r="AL704" s="905">
        <f>IFERROR(INDEX(G704:R704,1,MATCH(Parametres!$B$3,G$1:R$1,0)-1)*IF(OR(F704="L",F704="S",F704="I"),-1,1),"")</f>
        <v>-998</v>
      </c>
      <c r="AM704" s="1047">
        <f t="shared" si="70"/>
        <v>0</v>
      </c>
      <c r="AN704" s="905">
        <f>INDEX(G704:R704,1,MATCH(Parametres!$B$3,G$1:R$1,0))*IF(OR(F704="L",F704="S",F704="I"),-1,1)</f>
        <v>-998</v>
      </c>
      <c r="AO704" s="487" t="str">
        <f>+VLOOKUP($AJ704,Data_Validation!$A:$D,1,0)</f>
        <v>G45405</v>
      </c>
      <c r="AP704" s="487" t="str">
        <f>+VLOOKUP($AJ704,Data_Validation!$A:$D,3,0)</f>
        <v>Véhicules usagés</v>
      </c>
      <c r="AQ704" s="487" t="str">
        <f>+VLOOKUP($AJ704,Data_Validation!$A:$D,4,0)</f>
        <v>Rev. Protections</v>
      </c>
      <c r="AR704" s="487" t="s">
        <v>299</v>
      </c>
      <c r="AS704" s="487" t="str">
        <f>+VLOOKUP($AJ704,Data_Validation!$A:$E,5,0)</f>
        <v>Oui</v>
      </c>
      <c r="AT704" s="904" t="str">
        <f t="shared" si="71"/>
        <v>G45405</v>
      </c>
      <c r="AU704" s="488" t="str">
        <f t="shared" si="72"/>
        <v>VTES ANTIVOL-TAG -OCC</v>
      </c>
      <c r="AV704" s="899">
        <f>IFERROR(INDEX(V704:AG704,1,MATCH(Parametres!$B$3,V$1:AG$1,0)-1)*IF(OR(C704="L",C704="S",C704="I"),-1,1),"")</f>
        <v>2</v>
      </c>
      <c r="AW704" s="899">
        <f t="shared" si="73"/>
        <v>0</v>
      </c>
      <c r="AX704" s="899">
        <f>INDEX(V704:AG704,1,MATCH(Parametres!$B$3,V$1:AG$1,0))*IF(OR(C704="L",C704="S",C704="I"),-1,1)</f>
        <v>2</v>
      </c>
      <c r="AY704" s="487" t="s">
        <v>337</v>
      </c>
      <c r="AZ704" s="487" t="str">
        <f>+VLOOKUP($AJ704,Data_Validation!$A:$E,5,0)</f>
        <v>Oui</v>
      </c>
    </row>
    <row r="705" spans="1:52" ht="15" customHeight="1">
      <c r="A705" s="706" t="s">
        <v>1148</v>
      </c>
      <c r="B705" s="706">
        <v>2026</v>
      </c>
      <c r="C705" s="706" t="s">
        <v>2428</v>
      </c>
      <c r="D705" s="706" t="s">
        <v>2429</v>
      </c>
      <c r="E705" s="706" t="s">
        <v>1149</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G45500</v>
      </c>
      <c r="AK705" s="905" t="str">
        <f t="shared" si="69"/>
        <v>RETOUR DE LOCATION-VENTE</v>
      </c>
      <c r="AL705" s="905">
        <f>IFERROR(INDEX(G705:R705,1,MATCH(Parametres!$B$3,G$1:R$1,0)-1)*IF(OR(F705="L",F705="S",F705="I"),-1,1),"")</f>
        <v>0</v>
      </c>
      <c r="AM705" s="1047">
        <f t="shared" si="70"/>
        <v>0</v>
      </c>
      <c r="AN705" s="905">
        <f>INDEX(G705:R705,1,MATCH(Parametres!$B$3,G$1:R$1,0))*IF(OR(F705="L",F705="S",F705="I"),-1,1)</f>
        <v>0</v>
      </c>
      <c r="AO705" s="487" t="str">
        <f>+VLOOKUP($AJ705,Data_Validation!$A:$D,1,0)</f>
        <v>G45500</v>
      </c>
      <c r="AP705" s="487" t="str">
        <f>+VLOOKUP($AJ705,Data_Validation!$A:$D,3,0)</f>
        <v>Véhicules usagés</v>
      </c>
      <c r="AQ705" s="487" t="str">
        <f>+VLOOKUP($AJ705,Data_Validation!$A:$D,4,0)</f>
        <v>Rev. Protections</v>
      </c>
      <c r="AR705" s="487" t="s">
        <v>299</v>
      </c>
      <c r="AS705" s="487" t="str">
        <f>+VLOOKUP($AJ705,Data_Validation!$A:$E,5,0)</f>
        <v>Oui</v>
      </c>
      <c r="AT705" s="904" t="str">
        <f t="shared" si="71"/>
        <v>G45500</v>
      </c>
      <c r="AU705" s="488" t="str">
        <f t="shared" si="72"/>
        <v>RETOUR DE LOCATION-VENTE</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customHeight="1">
      <c r="A706" s="706" t="s">
        <v>1148</v>
      </c>
      <c r="B706" s="706">
        <v>2026</v>
      </c>
      <c r="C706" s="706" t="s">
        <v>2430</v>
      </c>
      <c r="D706" s="706" t="s">
        <v>2431</v>
      </c>
      <c r="E706" s="706" t="s">
        <v>333</v>
      </c>
      <c r="F706" s="706" t="s">
        <v>1149</v>
      </c>
      <c r="G706" s="706">
        <v>2177</v>
      </c>
      <c r="H706" s="706">
        <v>2177</v>
      </c>
      <c r="I706" s="706">
        <v>3534</v>
      </c>
      <c r="J706" s="706">
        <v>3534</v>
      </c>
      <c r="K706" s="706">
        <v>3534</v>
      </c>
      <c r="L706" s="706">
        <v>3534</v>
      </c>
      <c r="M706" s="706">
        <v>3534</v>
      </c>
      <c r="N706" s="706">
        <v>11188</v>
      </c>
      <c r="O706" s="706">
        <v>11188</v>
      </c>
      <c r="P706" s="706">
        <v>0</v>
      </c>
      <c r="Q706" s="706">
        <v>0</v>
      </c>
      <c r="R706" s="706">
        <v>0</v>
      </c>
      <c r="S706" s="706">
        <v>1398.5</v>
      </c>
      <c r="T706" s="706">
        <v>1398.5</v>
      </c>
      <c r="U706" s="706">
        <v>0</v>
      </c>
      <c r="V706" s="706">
        <v>1</v>
      </c>
      <c r="W706" s="706">
        <v>1</v>
      </c>
      <c r="X706" s="706">
        <v>2</v>
      </c>
      <c r="Y706" s="706">
        <v>2</v>
      </c>
      <c r="Z706" s="706">
        <v>2</v>
      </c>
      <c r="AA706" s="706">
        <v>2</v>
      </c>
      <c r="AB706" s="706">
        <v>2</v>
      </c>
      <c r="AC706" s="706">
        <v>4</v>
      </c>
      <c r="AD706" s="706">
        <v>4</v>
      </c>
      <c r="AE706" s="706">
        <v>0</v>
      </c>
      <c r="AF706" s="706">
        <v>0</v>
      </c>
      <c r="AG706" s="706">
        <v>0</v>
      </c>
      <c r="AH706" s="706">
        <v>1</v>
      </c>
      <c r="AI706" s="706">
        <v>1</v>
      </c>
      <c r="AJ706" s="905" t="str">
        <f t="shared" si="68"/>
        <v>G45600</v>
      </c>
      <c r="AK706" s="905" t="str">
        <f t="shared" si="69"/>
        <v>VALEUR REMPL. USAGES</v>
      </c>
      <c r="AL706" s="905">
        <f>IFERROR(INDEX(G706:R706,1,MATCH(Parametres!$B$3,G$1:R$1,0)-1)*IF(OR(F706="L",F706="S",F706="I"),-1,1),"")</f>
        <v>-3534</v>
      </c>
      <c r="AM706" s="1047">
        <f t="shared" si="70"/>
        <v>-7654</v>
      </c>
      <c r="AN706" s="905">
        <f>INDEX(G706:R706,1,MATCH(Parametres!$B$3,G$1:R$1,0))*IF(OR(F706="L",F706="S",F706="I"),-1,1)</f>
        <v>-11188</v>
      </c>
      <c r="AO706" s="487" t="str">
        <f>+VLOOKUP($AJ706,Data_Validation!$A:$D,1,0)</f>
        <v>G45600</v>
      </c>
      <c r="AP706" s="487" t="str">
        <f>+VLOOKUP($AJ706,Data_Validation!$A:$D,3,0)</f>
        <v>Véhicules usagés</v>
      </c>
      <c r="AQ706" s="487" t="str">
        <f>+VLOOKUP($AJ706,Data_Validation!$A:$D,4,0)</f>
        <v>Rev. Protections</v>
      </c>
      <c r="AR706" s="487" t="s">
        <v>299</v>
      </c>
      <c r="AS706" s="487" t="str">
        <f>+VLOOKUP($AJ706,Data_Validation!$A:$E,5,0)</f>
        <v>Oui</v>
      </c>
      <c r="AT706" s="904" t="str">
        <f t="shared" si="71"/>
        <v>G45600</v>
      </c>
      <c r="AU706" s="488" t="str">
        <f t="shared" si="72"/>
        <v>VALEUR REMPL. USAGES</v>
      </c>
      <c r="AV706" s="899">
        <f>IFERROR(INDEX(V706:AG706,1,MATCH(Parametres!$B$3,V$1:AG$1,0)-1)*IF(OR(C706="L",C706="S",C706="I"),-1,1),"")</f>
        <v>2</v>
      </c>
      <c r="AW706" s="899">
        <f t="shared" si="73"/>
        <v>2</v>
      </c>
      <c r="AX706" s="899">
        <f>INDEX(V706:AG706,1,MATCH(Parametres!$B$3,V$1:AG$1,0))*IF(OR(C706="L",C706="S",C706="I"),-1,1)</f>
        <v>4</v>
      </c>
      <c r="AY706" s="487" t="s">
        <v>337</v>
      </c>
      <c r="AZ706" s="487" t="str">
        <f>+VLOOKUP($AJ706,Data_Validation!$A:$E,5,0)</f>
        <v>Oui</v>
      </c>
    </row>
    <row r="707" spans="1:52" ht="15" customHeight="1">
      <c r="A707" s="706" t="s">
        <v>1148</v>
      </c>
      <c r="B707" s="706">
        <v>2026</v>
      </c>
      <c r="C707" s="706" t="s">
        <v>2432</v>
      </c>
      <c r="D707" s="706" t="s">
        <v>2433</v>
      </c>
      <c r="E707" s="706" t="s">
        <v>1149</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G45601</v>
      </c>
      <c r="AK707" s="905" t="str">
        <f t="shared" si="69"/>
        <v>REV VEHICULES U.S.A</v>
      </c>
      <c r="AL707" s="905">
        <f>IFERROR(INDEX(G707:R707,1,MATCH(Parametres!$B$3,G$1:R$1,0)-1)*IF(OR(F707="L",F707="S",F707="I"),-1,1),"")</f>
        <v>0</v>
      </c>
      <c r="AM707" s="905">
        <f t="shared" si="70"/>
        <v>0</v>
      </c>
      <c r="AN707" s="905">
        <f>INDEX(G707:R707,1,MATCH(Parametres!$B$3,G$1:R$1,0))*IF(OR(F707="L",F707="S",F707="I"),-1,1)</f>
        <v>0</v>
      </c>
      <c r="AO707" s="487" t="str">
        <f>+VLOOKUP($AJ707,Data_Validation!$A:$D,1,0)</f>
        <v>G45601</v>
      </c>
      <c r="AP707" s="487" t="str">
        <f>+VLOOKUP($AJ707,Data_Validation!$A:$D,3,0)</f>
        <v>Wholesale autres</v>
      </c>
      <c r="AQ707" s="487" t="str">
        <f>+VLOOKUP($AJ707,Data_Validation!$A:$D,4,0)</f>
        <v>Wholesale USA</v>
      </c>
      <c r="AR707" s="487" t="s">
        <v>299</v>
      </c>
      <c r="AS707" s="487" t="str">
        <f>+VLOOKUP($AJ707,Data_Validation!$A:$E,5,0)</f>
        <v>Oui</v>
      </c>
      <c r="AT707" s="904" t="str">
        <f t="shared" si="71"/>
        <v>G45601</v>
      </c>
      <c r="AU707" s="488" t="str">
        <f t="shared" si="72"/>
        <v>REV VEHICULES U.S.A</v>
      </c>
      <c r="AV707" s="899">
        <f>IFERROR(INDEX(V707:AG707,1,MATCH(Parametres!$B$3,V$1:AG$1,0)-1)*IF(OR(C707="L",C707="S",C707="I"),-1,1),"")</f>
        <v>0</v>
      </c>
      <c r="AW707" s="899">
        <f t="shared" si="73"/>
        <v>0</v>
      </c>
      <c r="AX707" s="899">
        <f>INDEX(V707:AG707,1,MATCH(Parametres!$B$3,V$1:AG$1,0))*IF(OR(C707="L",C707="S",C707="I"),-1,1)</f>
        <v>0</v>
      </c>
      <c r="AY707" s="487" t="s">
        <v>337</v>
      </c>
      <c r="AZ707" s="487" t="str">
        <f>+VLOOKUP($AJ707,Data_Validation!$A:$E,5,0)</f>
        <v>Oui</v>
      </c>
    </row>
    <row r="708" spans="1:52" ht="15" customHeight="1">
      <c r="A708" s="706" t="s">
        <v>1148</v>
      </c>
      <c r="B708" s="706">
        <v>2026</v>
      </c>
      <c r="C708" s="706" t="s">
        <v>2434</v>
      </c>
      <c r="D708" s="706" t="s">
        <v>2435</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G45602</v>
      </c>
      <c r="AK708" s="905" t="str">
        <f t="shared" si="69"/>
        <v>VENTE USA -AJUSTMENT</v>
      </c>
      <c r="AL708" s="905">
        <f>IFERROR(INDEX(G708:R708,1,MATCH(Parametres!$B$3,G$1:R$1,0)-1)*IF(OR(F708="L",F708="S",F708="I"),-1,1),"")</f>
        <v>0</v>
      </c>
      <c r="AM708" s="905">
        <f t="shared" si="70"/>
        <v>0</v>
      </c>
      <c r="AN708" s="905">
        <f>INDEX(G708:R708,1,MATCH(Parametres!$B$3,G$1:R$1,0))*IF(OR(F708="L",F708="S",F708="I"),-1,1)</f>
        <v>0</v>
      </c>
      <c r="AO708" s="487" t="str">
        <f>+VLOOKUP($AJ708,Data_Validation!$A:$D,1,0)</f>
        <v>G45602</v>
      </c>
      <c r="AP708" s="487" t="str">
        <f>+VLOOKUP($AJ708,Data_Validation!$A:$D,3,0)</f>
        <v>Wholesale autres</v>
      </c>
      <c r="AQ708" s="487" t="str">
        <f>+VLOOKUP($AJ708,Data_Validation!$A:$D,4,0)</f>
        <v>Wholesale USA</v>
      </c>
      <c r="AR708" s="487" t="s">
        <v>299</v>
      </c>
      <c r="AS708" s="487" t="str">
        <f>+VLOOKUP($AJ708,Data_Validation!$A:$E,5,0)</f>
        <v>Oui</v>
      </c>
      <c r="AT708" s="904" t="str">
        <f t="shared" si="71"/>
        <v>G45602</v>
      </c>
      <c r="AU708" s="488" t="str">
        <f t="shared" si="72"/>
        <v>VENTE USA -AJUSTMENT</v>
      </c>
      <c r="AV708" s="899">
        <f>IFERROR(INDEX(V708:AG708,1,MATCH(Parametres!$B$3,V$1:AG$1,0)-1)*IF(OR(C708="L",C708="S",C708="I"),-1,1),"")</f>
        <v>0</v>
      </c>
      <c r="AW708" s="899">
        <f t="shared" si="73"/>
        <v>0</v>
      </c>
      <c r="AX708" s="899">
        <f>INDEX(V708:AG708,1,MATCH(Parametres!$B$3,V$1:AG$1,0))*IF(OR(C708="L",C708="S",C708="I"),-1,1)</f>
        <v>0</v>
      </c>
      <c r="AY708" s="487" t="s">
        <v>337</v>
      </c>
      <c r="AZ708" s="487" t="str">
        <f>+VLOOKUP($AJ708,Data_Validation!$A:$E,5,0)</f>
        <v>Oui</v>
      </c>
    </row>
    <row r="709" spans="1:52" ht="15" customHeight="1">
      <c r="A709" s="706" t="s">
        <v>1148</v>
      </c>
      <c r="B709" s="706">
        <v>2026</v>
      </c>
      <c r="C709" s="706" t="s">
        <v>2436</v>
      </c>
      <c r="D709" s="706" t="s">
        <v>3347</v>
      </c>
      <c r="E709" s="706" t="s">
        <v>1149</v>
      </c>
      <c r="F709" s="706" t="s">
        <v>1149</v>
      </c>
      <c r="G709" s="706">
        <v>1865674.77</v>
      </c>
      <c r="H709" s="706">
        <v>3739642.83</v>
      </c>
      <c r="I709" s="706">
        <v>7577610.2699999996</v>
      </c>
      <c r="J709" s="706">
        <v>11976681.210000001</v>
      </c>
      <c r="K709" s="706">
        <v>15277728.66</v>
      </c>
      <c r="L709" s="706">
        <v>18289428.579999998</v>
      </c>
      <c r="M709" s="706">
        <v>20328923.420000002</v>
      </c>
      <c r="N709" s="706">
        <v>23873537.109999999</v>
      </c>
      <c r="O709" s="706">
        <v>24284683.539999999</v>
      </c>
      <c r="P709" s="706">
        <v>0</v>
      </c>
      <c r="Q709" s="706">
        <v>0</v>
      </c>
      <c r="R709" s="706">
        <v>0</v>
      </c>
      <c r="S709" s="706">
        <v>2984192.14</v>
      </c>
      <c r="T709" s="706">
        <v>2984192.14</v>
      </c>
      <c r="U709" s="706">
        <v>0</v>
      </c>
      <c r="V709" s="706">
        <v>40</v>
      </c>
      <c r="W709" s="706">
        <v>82</v>
      </c>
      <c r="X709" s="706">
        <v>165</v>
      </c>
      <c r="Y709" s="706">
        <v>257</v>
      </c>
      <c r="Z709" s="706">
        <v>334</v>
      </c>
      <c r="AA709" s="706">
        <v>396</v>
      </c>
      <c r="AB709" s="706">
        <v>441</v>
      </c>
      <c r="AC709" s="706">
        <v>518</v>
      </c>
      <c r="AD709" s="706">
        <v>527</v>
      </c>
      <c r="AE709" s="706">
        <v>0</v>
      </c>
      <c r="AF709" s="706">
        <v>0</v>
      </c>
      <c r="AG709" s="706">
        <v>0</v>
      </c>
      <c r="AH709" s="706">
        <v>65</v>
      </c>
      <c r="AI709" s="706">
        <v>65</v>
      </c>
      <c r="AJ709" s="905" t="str">
        <f t="shared" si="68"/>
        <v>G45603</v>
      </c>
      <c r="AK709" s="905" t="str">
        <f t="shared" si="69"/>
        <v>VENTES USA</v>
      </c>
      <c r="AL709" s="905">
        <f>IFERROR(INDEX(G709:R709,1,MATCH(Parametres!$B$3,G$1:R$1,0)-1)*IF(OR(F709="L",F709="S",F709="I"),-1,1),"")</f>
        <v>-20328923.420000002</v>
      </c>
      <c r="AM709" s="905">
        <f t="shared" si="70"/>
        <v>-3544613.6899999976</v>
      </c>
      <c r="AN709" s="905">
        <f>INDEX(G709:R709,1,MATCH(Parametres!$B$3,G$1:R$1,0))*IF(OR(F709="L",F709="S",F709="I"),-1,1)</f>
        <v>-23873537.109999999</v>
      </c>
      <c r="AO709" s="487" t="str">
        <f>+VLOOKUP($AJ709,Data_Validation!$A:$D,1,0)</f>
        <v>G45603</v>
      </c>
      <c r="AP709" s="487" t="str">
        <f>+VLOOKUP($AJ709,Data_Validation!$A:$D,3,0)</f>
        <v>Wholesale autres</v>
      </c>
      <c r="AQ709" s="487" t="str">
        <f>+VLOOKUP($AJ709,Data_Validation!$A:$D,4,0)</f>
        <v>Wholesale USA</v>
      </c>
      <c r="AR709" s="487" t="s">
        <v>299</v>
      </c>
      <c r="AS709" s="487" t="str">
        <f>+VLOOKUP($AJ709,Data_Validation!$A:$E,5,0)</f>
        <v>Oui</v>
      </c>
      <c r="AT709" s="904" t="str">
        <f t="shared" si="71"/>
        <v>G45603</v>
      </c>
      <c r="AU709" s="488" t="str">
        <f t="shared" si="72"/>
        <v>VENTES USA</v>
      </c>
      <c r="AV709" s="899">
        <f>IFERROR(INDEX(V709:AG709,1,MATCH(Parametres!$B$3,V$1:AG$1,0)-1)*IF(OR(C709="L",C709="S",C709="I"),-1,1),"")</f>
        <v>441</v>
      </c>
      <c r="AW709" s="899">
        <f t="shared" si="73"/>
        <v>77</v>
      </c>
      <c r="AX709" s="899">
        <f>INDEX(V709:AG709,1,MATCH(Parametres!$B$3,V$1:AG$1,0))*IF(OR(C709="L",C709="S",C709="I"),-1,1)</f>
        <v>518</v>
      </c>
      <c r="AY709" s="487" t="s">
        <v>337</v>
      </c>
      <c r="AZ709" s="487" t="str">
        <f>+VLOOKUP($AJ709,Data_Validation!$A:$E,5,0)</f>
        <v>Oui</v>
      </c>
    </row>
    <row r="710" spans="1:52" ht="15" customHeight="1">
      <c r="A710" s="706" t="s">
        <v>1148</v>
      </c>
      <c r="B710" s="706">
        <v>2026</v>
      </c>
      <c r="C710" s="706" t="s">
        <v>2438</v>
      </c>
      <c r="D710" s="706" t="s">
        <v>2439</v>
      </c>
      <c r="E710" s="706" t="s">
        <v>1149</v>
      </c>
      <c r="F710" s="706" t="s">
        <v>1149</v>
      </c>
      <c r="G710" s="706">
        <v>0</v>
      </c>
      <c r="H710" s="706">
        <v>0</v>
      </c>
      <c r="I710" s="706">
        <v>0</v>
      </c>
      <c r="J710" s="706">
        <v>0</v>
      </c>
      <c r="K710" s="706">
        <v>3688515.75</v>
      </c>
      <c r="L710" s="706">
        <v>5629910.8300000001</v>
      </c>
      <c r="M710" s="706">
        <v>7128148.5800000001</v>
      </c>
      <c r="N710" s="706">
        <v>8932635.0700000003</v>
      </c>
      <c r="O710" s="706">
        <v>9752066.0700000003</v>
      </c>
      <c r="P710" s="706">
        <v>0</v>
      </c>
      <c r="Q710" s="706">
        <v>0</v>
      </c>
      <c r="R710" s="706">
        <v>0</v>
      </c>
      <c r="S710" s="706">
        <v>1116579.3799999999</v>
      </c>
      <c r="T710" s="706">
        <v>1116579.3799999999</v>
      </c>
      <c r="U710" s="706">
        <v>0</v>
      </c>
      <c r="V710" s="706">
        <v>0</v>
      </c>
      <c r="W710" s="706">
        <v>0</v>
      </c>
      <c r="X710" s="706">
        <v>0</v>
      </c>
      <c r="Y710" s="706">
        <v>0</v>
      </c>
      <c r="Z710" s="706">
        <v>66</v>
      </c>
      <c r="AA710" s="706">
        <v>102</v>
      </c>
      <c r="AB710" s="706">
        <v>127</v>
      </c>
      <c r="AC710" s="706">
        <v>158</v>
      </c>
      <c r="AD710" s="706">
        <v>171</v>
      </c>
      <c r="AE710" s="706">
        <v>0</v>
      </c>
      <c r="AF710" s="706">
        <v>0</v>
      </c>
      <c r="AG710" s="706">
        <v>0</v>
      </c>
      <c r="AH710" s="706">
        <v>20</v>
      </c>
      <c r="AI710" s="706">
        <v>20</v>
      </c>
      <c r="AJ710" s="905" t="str">
        <f t="shared" si="68"/>
        <v>G456031</v>
      </c>
      <c r="AK710" s="905" t="str">
        <f t="shared" si="69"/>
        <v>VENTES INTERCO USA</v>
      </c>
      <c r="AL710" s="905">
        <f>IFERROR(INDEX(G710:R710,1,MATCH(Parametres!$B$3,G$1:R$1,0)-1)*IF(OR(F710="L",F710="S",F710="I"),-1,1),"")</f>
        <v>-7128148.5800000001</v>
      </c>
      <c r="AM710" s="905">
        <f t="shared" si="70"/>
        <v>-1804486.4900000002</v>
      </c>
      <c r="AN710" s="905">
        <f>INDEX(G710:R710,1,MATCH(Parametres!$B$3,G$1:R$1,0))*IF(OR(F710="L",F710="S",F710="I"),-1,1)</f>
        <v>-8932635.0700000003</v>
      </c>
      <c r="AO710" s="487" t="str">
        <f>+VLOOKUP($AJ710,Data_Validation!$A:$D,1,0)</f>
        <v>G456031</v>
      </c>
      <c r="AP710" s="487">
        <f>+VLOOKUP($AJ710,Data_Validation!$A:$D,3,0)</f>
        <v>0</v>
      </c>
      <c r="AQ710" s="487">
        <f>+VLOOKUP($AJ710,Data_Validation!$A:$D,4,0)</f>
        <v>0</v>
      </c>
      <c r="AR710" s="487" t="s">
        <v>299</v>
      </c>
      <c r="AS710" s="487">
        <f>+VLOOKUP($AJ710,Data_Validation!$A:$E,5,0)</f>
        <v>0</v>
      </c>
      <c r="AT710" s="904" t="str">
        <f t="shared" si="71"/>
        <v>G456031</v>
      </c>
      <c r="AU710" s="488" t="str">
        <f t="shared" si="72"/>
        <v>VENTES INTERCO USA</v>
      </c>
      <c r="AV710" s="899">
        <f>IFERROR(INDEX(V710:AG710,1,MATCH(Parametres!$B$3,V$1:AG$1,0)-1)*IF(OR(C710="L",C710="S",C710="I"),-1,1),"")</f>
        <v>127</v>
      </c>
      <c r="AW710" s="899">
        <f t="shared" si="73"/>
        <v>31</v>
      </c>
      <c r="AX710" s="899">
        <f>INDEX(V710:AG710,1,MATCH(Parametres!$B$3,V$1:AG$1,0))*IF(OR(C710="L",C710="S",C710="I"),-1,1)</f>
        <v>158</v>
      </c>
      <c r="AY710" s="487" t="s">
        <v>337</v>
      </c>
      <c r="AZ710" s="487">
        <f>+VLOOKUP($AJ710,Data_Validation!$A:$E,5,0)</f>
        <v>0</v>
      </c>
    </row>
    <row r="711" spans="1:52" ht="15" customHeight="1">
      <c r="A711" s="706" t="s">
        <v>1148</v>
      </c>
      <c r="B711" s="706">
        <v>2026</v>
      </c>
      <c r="C711" s="706" t="s">
        <v>2440</v>
      </c>
      <c r="D711" s="706" t="s">
        <v>2441</v>
      </c>
      <c r="E711" s="706" t="s">
        <v>1149</v>
      </c>
      <c r="F711" s="706" t="s">
        <v>1149</v>
      </c>
      <c r="G711" s="706">
        <v>0</v>
      </c>
      <c r="H711" s="706">
        <v>0</v>
      </c>
      <c r="I711" s="706">
        <v>0</v>
      </c>
      <c r="J711" s="706">
        <v>0</v>
      </c>
      <c r="K711" s="706">
        <v>7860774.2599999998</v>
      </c>
      <c r="L711" s="706">
        <v>8498277.2599999998</v>
      </c>
      <c r="M711" s="706">
        <v>9319339.2599999998</v>
      </c>
      <c r="N711" s="706">
        <v>10241533.26</v>
      </c>
      <c r="O711" s="706">
        <v>10641615.26</v>
      </c>
      <c r="P711" s="706">
        <v>0</v>
      </c>
      <c r="Q711" s="706">
        <v>0</v>
      </c>
      <c r="R711" s="706">
        <v>0</v>
      </c>
      <c r="S711" s="706">
        <v>1280191.6599999999</v>
      </c>
      <c r="T711" s="706">
        <v>1280191.6599999999</v>
      </c>
      <c r="U711" s="706">
        <v>0</v>
      </c>
      <c r="V711" s="706">
        <v>0</v>
      </c>
      <c r="W711" s="706">
        <v>0</v>
      </c>
      <c r="X711" s="706">
        <v>0</v>
      </c>
      <c r="Y711" s="706">
        <v>0</v>
      </c>
      <c r="Z711" s="706">
        <v>246</v>
      </c>
      <c r="AA711" s="706">
        <v>262</v>
      </c>
      <c r="AB711" s="706">
        <v>283</v>
      </c>
      <c r="AC711" s="706">
        <v>310</v>
      </c>
      <c r="AD711" s="706">
        <v>323</v>
      </c>
      <c r="AE711" s="706">
        <v>0</v>
      </c>
      <c r="AF711" s="706">
        <v>0</v>
      </c>
      <c r="AG711" s="706">
        <v>0</v>
      </c>
      <c r="AH711" s="706">
        <v>39</v>
      </c>
      <c r="AI711" s="706">
        <v>39</v>
      </c>
      <c r="AJ711" s="905" t="str">
        <f t="shared" si="68"/>
        <v>G45605</v>
      </c>
      <c r="AK711" s="905" t="str">
        <f t="shared" si="69"/>
        <v>VENTE WHL CANADA</v>
      </c>
      <c r="AL711" s="905">
        <f>IFERROR(INDEX(G711:R711,1,MATCH(Parametres!$B$3,G$1:R$1,0)-1)*IF(OR(F711="L",F711="S",F711="I"),-1,1),"")</f>
        <v>-9319339.2599999998</v>
      </c>
      <c r="AM711" s="905">
        <f t="shared" si="70"/>
        <v>-922194</v>
      </c>
      <c r="AN711" s="905">
        <f>INDEX(G711:R711,1,MATCH(Parametres!$B$3,G$1:R$1,0))*IF(OR(F711="L",F711="S",F711="I"),-1,1)</f>
        <v>-10241533.26</v>
      </c>
      <c r="AO711" s="487" t="str">
        <f>+VLOOKUP($AJ711,Data_Validation!$A:$D,1,0)</f>
        <v>G45605</v>
      </c>
      <c r="AP711" s="487" t="str">
        <f>+VLOOKUP($AJ711,Data_Validation!$A:$D,3,0)</f>
        <v>Wholesale autres</v>
      </c>
      <c r="AQ711" s="487" t="str">
        <f>+VLOOKUP($AJ711,Data_Validation!$A:$D,4,0)</f>
        <v>Wholesale Canada</v>
      </c>
      <c r="AR711" s="487" t="s">
        <v>299</v>
      </c>
      <c r="AS711" s="487" t="str">
        <f>+VLOOKUP($AJ711,Data_Validation!$A:$E,5,0)</f>
        <v>Oui</v>
      </c>
      <c r="AT711" s="904" t="str">
        <f t="shared" si="71"/>
        <v>G45605</v>
      </c>
      <c r="AU711" s="488" t="str">
        <f t="shared" si="72"/>
        <v>VENTE WHL CANADA</v>
      </c>
      <c r="AV711" s="899">
        <f>IFERROR(INDEX(V711:AG711,1,MATCH(Parametres!$B$3,V$1:AG$1,0)-1)*IF(OR(C711="L",C711="S",C711="I"),-1,1),"")</f>
        <v>283</v>
      </c>
      <c r="AW711" s="899">
        <f t="shared" si="73"/>
        <v>27</v>
      </c>
      <c r="AX711" s="899">
        <f>INDEX(V711:AG711,1,MATCH(Parametres!$B$3,V$1:AG$1,0))*IF(OR(C711="L",C711="S",C711="I"),-1,1)</f>
        <v>310</v>
      </c>
      <c r="AY711" s="487" t="s">
        <v>337</v>
      </c>
      <c r="AZ711" s="487" t="str">
        <f>+VLOOKUP($AJ711,Data_Validation!$A:$E,5,0)</f>
        <v>Oui</v>
      </c>
    </row>
    <row r="712" spans="1:52" ht="15" customHeight="1">
      <c r="A712" s="706" t="s">
        <v>1148</v>
      </c>
      <c r="B712" s="706">
        <v>2026</v>
      </c>
      <c r="C712" s="706" t="s">
        <v>2442</v>
      </c>
      <c r="D712" s="706" t="s">
        <v>2443</v>
      </c>
      <c r="E712" s="706" t="s">
        <v>1151</v>
      </c>
      <c r="F712" s="706" t="s">
        <v>1149</v>
      </c>
      <c r="G712" s="706">
        <v>57649.56</v>
      </c>
      <c r="H712" s="706">
        <v>133321.16</v>
      </c>
      <c r="I712" s="706">
        <v>208755.74</v>
      </c>
      <c r="J712" s="706">
        <v>280763.65000000002</v>
      </c>
      <c r="K712" s="706">
        <v>315937.68</v>
      </c>
      <c r="L712" s="706">
        <v>370066.6</v>
      </c>
      <c r="M712" s="706">
        <v>423889.12</v>
      </c>
      <c r="N712" s="706">
        <v>466345.67</v>
      </c>
      <c r="O712" s="706">
        <v>501913.07</v>
      </c>
      <c r="P712" s="706">
        <v>0</v>
      </c>
      <c r="Q712" s="706">
        <v>0</v>
      </c>
      <c r="R712" s="706">
        <v>0</v>
      </c>
      <c r="S712" s="706">
        <v>58293.21</v>
      </c>
      <c r="T712" s="706">
        <v>58293.21</v>
      </c>
      <c r="U712" s="706">
        <v>0</v>
      </c>
      <c r="V712" s="706">
        <v>157</v>
      </c>
      <c r="W712" s="706">
        <v>314</v>
      </c>
      <c r="X712" s="706">
        <v>529</v>
      </c>
      <c r="Y712" s="706">
        <v>844</v>
      </c>
      <c r="Z712" s="706">
        <v>1056</v>
      </c>
      <c r="AA712" s="706">
        <v>1280</v>
      </c>
      <c r="AB712" s="706">
        <v>1503</v>
      </c>
      <c r="AC712" s="706">
        <v>1699</v>
      </c>
      <c r="AD712" s="706">
        <v>1844</v>
      </c>
      <c r="AE712" s="706">
        <v>0</v>
      </c>
      <c r="AF712" s="706">
        <v>0</v>
      </c>
      <c r="AG712" s="706">
        <v>0</v>
      </c>
      <c r="AH712" s="706">
        <v>212</v>
      </c>
      <c r="AI712" s="706">
        <v>212</v>
      </c>
      <c r="AJ712" s="905" t="str">
        <f t="shared" si="68"/>
        <v>G46010</v>
      </c>
      <c r="AK712" s="905" t="str">
        <f t="shared" si="69"/>
        <v>M-D'O CLIENT VOIT-CAM.LEG</v>
      </c>
      <c r="AL712" s="905">
        <f>IFERROR(INDEX(G712:R712,1,MATCH(Parametres!$B$3,G$1:R$1,0)-1)*IF(OR(F712="L",F712="S",F712="I"),-1,1),"")</f>
        <v>-423889.12</v>
      </c>
      <c r="AM712" s="905">
        <f t="shared" si="70"/>
        <v>-42456.549999999988</v>
      </c>
      <c r="AN712" s="905">
        <f>INDEX(G712:R712,1,MATCH(Parametres!$B$3,G$1:R$1,0))*IF(OR(F712="L",F712="S",F712="I"),-1,1)</f>
        <v>-466345.67</v>
      </c>
      <c r="AO712" s="487" t="str">
        <f>+VLOOKUP($AJ712,Data_Validation!$A:$D,1,0)</f>
        <v>G46010</v>
      </c>
      <c r="AP712" s="487" t="str">
        <f>+VLOOKUP($AJ712,Data_Validation!$A:$D,3,0)</f>
        <v>Service</v>
      </c>
      <c r="AQ712" s="487" t="str">
        <f>+VLOOKUP($AJ712,Data_Validation!$A:$D,4,0)</f>
        <v>M/O Client</v>
      </c>
      <c r="AR712" s="487" t="s">
        <v>299</v>
      </c>
      <c r="AS712" s="487" t="str">
        <f>+VLOOKUP($AJ712,Data_Validation!$A:$E,5,0)</f>
        <v>Oui</v>
      </c>
      <c r="AT712" s="904" t="str">
        <f t="shared" si="71"/>
        <v>G46010</v>
      </c>
      <c r="AU712" s="488" t="str">
        <f t="shared" si="72"/>
        <v>M-D'O CLIENT VOIT-CAM.LEG</v>
      </c>
      <c r="AV712" s="899">
        <f>IFERROR(INDEX(V712:AG712,1,MATCH(Parametres!$B$3,V$1:AG$1,0)-1)*IF(OR(C712="L",C712="S",C712="I"),-1,1),"")</f>
        <v>1503</v>
      </c>
      <c r="AW712" s="899">
        <f t="shared" si="73"/>
        <v>196</v>
      </c>
      <c r="AX712" s="899">
        <f>INDEX(V712:AG712,1,MATCH(Parametres!$B$3,V$1:AG$1,0))*IF(OR(C712="L",C712="S",C712="I"),-1,1)</f>
        <v>1699</v>
      </c>
      <c r="AY712" s="487" t="s">
        <v>337</v>
      </c>
      <c r="AZ712" s="487" t="str">
        <f>+VLOOKUP($AJ712,Data_Validation!$A:$E,5,0)</f>
        <v>Oui</v>
      </c>
    </row>
    <row r="713" spans="1:52" ht="15" customHeight="1">
      <c r="A713" s="706" t="s">
        <v>1148</v>
      </c>
      <c r="B713" s="706">
        <v>2026</v>
      </c>
      <c r="C713" s="706" t="s">
        <v>3348</v>
      </c>
      <c r="D713" s="706" t="s">
        <v>3349</v>
      </c>
      <c r="E713" s="706" t="s">
        <v>1151</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G46015</v>
      </c>
      <c r="AK713" s="905" t="str">
        <f t="shared" si="69"/>
        <v>VTE ESTHETIQUE CLIENT</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G46015</v>
      </c>
      <c r="AU713" s="488" t="str">
        <f t="shared" si="72"/>
        <v>VTE ESTHETIQUE CLIENT</v>
      </c>
      <c r="AV713" s="899">
        <f>IFERROR(INDEX(V713:AG713,1,MATCH(Parametres!$B$3,V$1:AG$1,0)-1)*IF(OR(C713="L",C713="S",C713="I"),-1,1),"")</f>
        <v>0</v>
      </c>
      <c r="AW713" s="899">
        <f t="shared" si="73"/>
        <v>0</v>
      </c>
      <c r="AX713" s="899">
        <f>INDEX(V713:AG713,1,MATCH(Parametres!$B$3,V$1:AG$1,0))*IF(OR(C713="L",C713="S",C713="I"),-1,1)</f>
        <v>0</v>
      </c>
      <c r="AY713" s="487" t="s">
        <v>337</v>
      </c>
      <c r="AZ713" s="487" t="e">
        <f>+VLOOKUP($AJ713,Data_Validation!$A:$E,5,0)</f>
        <v>#N/A</v>
      </c>
    </row>
    <row r="714" spans="1:52" ht="15" customHeight="1">
      <c r="A714" s="706" t="s">
        <v>1148</v>
      </c>
      <c r="B714" s="706">
        <v>2026</v>
      </c>
      <c r="C714" s="706" t="s">
        <v>2444</v>
      </c>
      <c r="D714" s="706" t="s">
        <v>2445</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1</v>
      </c>
      <c r="AA714" s="706">
        <v>1</v>
      </c>
      <c r="AB714" s="706">
        <v>1</v>
      </c>
      <c r="AC714" s="706">
        <v>1</v>
      </c>
      <c r="AD714" s="706">
        <v>1</v>
      </c>
      <c r="AE714" s="706">
        <v>0</v>
      </c>
      <c r="AF714" s="706">
        <v>0</v>
      </c>
      <c r="AG714" s="706">
        <v>0</v>
      </c>
      <c r="AH714" s="706">
        <v>0</v>
      </c>
      <c r="AI714" s="706">
        <v>0</v>
      </c>
      <c r="AJ714" s="905" t="str">
        <f t="shared" si="68"/>
        <v>G46020</v>
      </c>
      <c r="AK714" s="905" t="str">
        <f t="shared" si="69"/>
        <v>CONT.SER-VOIT &amp; CAM.LEGER</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G46020</v>
      </c>
      <c r="AU714" s="488" t="str">
        <f t="shared" si="72"/>
        <v>CONT.SER-VOIT &amp; CAM.LEGER</v>
      </c>
      <c r="AV714" s="899">
        <f>IFERROR(INDEX(V714:AG714,1,MATCH(Parametres!$B$3,V$1:AG$1,0)-1)*IF(OR(C714="L",C714="S",C714="I"),-1,1),"")</f>
        <v>1</v>
      </c>
      <c r="AW714" s="899">
        <f t="shared" si="73"/>
        <v>0</v>
      </c>
      <c r="AX714" s="899">
        <f>INDEX(V714:AG714,1,MATCH(Parametres!$B$3,V$1:AG$1,0))*IF(OR(C714="L",C714="S",C714="I"),-1,1)</f>
        <v>1</v>
      </c>
      <c r="AY714" s="487" t="s">
        <v>337</v>
      </c>
      <c r="AZ714" s="487" t="e">
        <f>+VLOOKUP($AJ714,Data_Validation!$A:$E,5,0)</f>
        <v>#N/A</v>
      </c>
    </row>
    <row r="715" spans="1:52" ht="15" customHeight="1">
      <c r="A715" s="706" t="s">
        <v>1148</v>
      </c>
      <c r="B715" s="706">
        <v>2026</v>
      </c>
      <c r="C715" s="706" t="s">
        <v>2446</v>
      </c>
      <c r="D715" s="706" t="s">
        <v>2447</v>
      </c>
      <c r="E715" s="706" t="s">
        <v>1151</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G46030</v>
      </c>
      <c r="AK715" s="905" t="str">
        <f t="shared" si="69"/>
        <v>VTES-M.D.PL.PROT.AUT.AUTO</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G46030</v>
      </c>
      <c r="AU715" s="488" t="str">
        <f t="shared" si="72"/>
        <v>VTES-M.D.PL.PROT.AUT.AUTO</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customHeight="1">
      <c r="A716" s="706" t="s">
        <v>1148</v>
      </c>
      <c r="B716" s="706">
        <v>2026</v>
      </c>
      <c r="C716" s="706" t="s">
        <v>2448</v>
      </c>
      <c r="D716" s="706" t="s">
        <v>2449</v>
      </c>
      <c r="E716" s="706" t="s">
        <v>1151</v>
      </c>
      <c r="F716" s="706" t="s">
        <v>1149</v>
      </c>
      <c r="G716" s="706">
        <v>3100.84</v>
      </c>
      <c r="H716" s="706">
        <v>4320.3999999999996</v>
      </c>
      <c r="I716" s="706">
        <v>4904.8</v>
      </c>
      <c r="J716" s="706">
        <v>6091.54</v>
      </c>
      <c r="K716" s="706">
        <v>10948.9</v>
      </c>
      <c r="L716" s="706">
        <v>13966.1</v>
      </c>
      <c r="M716" s="706">
        <v>15457.5</v>
      </c>
      <c r="N716" s="706">
        <v>16730.39</v>
      </c>
      <c r="O716" s="706">
        <v>18554.91</v>
      </c>
      <c r="P716" s="706">
        <v>0</v>
      </c>
      <c r="Q716" s="706">
        <v>0</v>
      </c>
      <c r="R716" s="706">
        <v>0</v>
      </c>
      <c r="S716" s="706">
        <v>2091.3000000000002</v>
      </c>
      <c r="T716" s="706">
        <v>2091.3000000000002</v>
      </c>
      <c r="U716" s="706">
        <v>0</v>
      </c>
      <c r="V716" s="706">
        <v>12</v>
      </c>
      <c r="W716" s="706">
        <v>18</v>
      </c>
      <c r="X716" s="706">
        <v>21</v>
      </c>
      <c r="Y716" s="706">
        <v>38</v>
      </c>
      <c r="Z716" s="706">
        <v>79</v>
      </c>
      <c r="AA716" s="706">
        <v>103</v>
      </c>
      <c r="AB716" s="706">
        <v>115</v>
      </c>
      <c r="AC716" s="706">
        <v>126</v>
      </c>
      <c r="AD716" s="706">
        <v>146</v>
      </c>
      <c r="AE716" s="706">
        <v>0</v>
      </c>
      <c r="AF716" s="706">
        <v>0</v>
      </c>
      <c r="AG716" s="706">
        <v>0</v>
      </c>
      <c r="AH716" s="706">
        <v>16</v>
      </c>
      <c r="AI716" s="706">
        <v>16</v>
      </c>
      <c r="AJ716" s="905" t="str">
        <f t="shared" si="68"/>
        <v>G46040</v>
      </c>
      <c r="AK716" s="905" t="str">
        <f t="shared" si="69"/>
        <v>SERV. RAPIDE VOIT CAM.LEG</v>
      </c>
      <c r="AL716" s="905">
        <f>IFERROR(INDEX(G716:R716,1,MATCH(Parametres!$B$3,G$1:R$1,0)-1)*IF(OR(F716="L",F716="S",F716="I"),-1,1),"")</f>
        <v>-15457.5</v>
      </c>
      <c r="AM716" s="905">
        <f t="shared" si="70"/>
        <v>-1272.8899999999994</v>
      </c>
      <c r="AN716" s="905">
        <f>INDEX(G716:R716,1,MATCH(Parametres!$B$3,G$1:R$1,0))*IF(OR(F716="L",F716="S",F716="I"),-1,1)</f>
        <v>-16730.39</v>
      </c>
      <c r="AO716" s="487" t="str">
        <f>+VLOOKUP($AJ716,Data_Validation!$A:$D,1,0)</f>
        <v>G46040</v>
      </c>
      <c r="AP716" s="487" t="str">
        <f>+VLOOKUP($AJ716,Data_Validation!$A:$D,3,0)</f>
        <v>Service</v>
      </c>
      <c r="AQ716" s="487" t="str">
        <f>+VLOOKUP($AJ716,Data_Validation!$A:$D,4,0)</f>
        <v>M/O Client</v>
      </c>
      <c r="AR716" s="487" t="s">
        <v>299</v>
      </c>
      <c r="AS716" s="487" t="str">
        <f>+VLOOKUP($AJ716,Data_Validation!$A:$E,5,0)</f>
        <v>Oui</v>
      </c>
      <c r="AT716" s="904" t="str">
        <f t="shared" si="71"/>
        <v>G46040</v>
      </c>
      <c r="AU716" s="488" t="str">
        <f t="shared" si="72"/>
        <v>SERV. RAPIDE VOIT CAM.LEG</v>
      </c>
      <c r="AV716" s="899">
        <f>IFERROR(INDEX(V716:AG716,1,MATCH(Parametres!$B$3,V$1:AG$1,0)-1)*IF(OR(C716="L",C716="S",C716="I"),-1,1),"")</f>
        <v>115</v>
      </c>
      <c r="AW716" s="899">
        <f t="shared" si="73"/>
        <v>11</v>
      </c>
      <c r="AX716" s="899">
        <f>INDEX(V716:AG716,1,MATCH(Parametres!$B$3,V$1:AG$1,0))*IF(OR(C716="L",C716="S",C716="I"),-1,1)</f>
        <v>126</v>
      </c>
      <c r="AY716" s="487" t="s">
        <v>337</v>
      </c>
      <c r="AZ716" s="487" t="str">
        <f>+VLOOKUP($AJ716,Data_Validation!$A:$E,5,0)</f>
        <v>Oui</v>
      </c>
    </row>
    <row r="717" spans="1:52" ht="15" customHeight="1">
      <c r="A717" s="706" t="s">
        <v>1148</v>
      </c>
      <c r="B717" s="706">
        <v>2026</v>
      </c>
      <c r="C717" s="706" t="s">
        <v>3350</v>
      </c>
      <c r="D717" s="706" t="s">
        <v>3351</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G46050</v>
      </c>
      <c r="AK717" s="905" t="str">
        <f t="shared" si="69"/>
        <v>VTE M-0 ELECTRIQUE   CLT</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G46050</v>
      </c>
      <c r="AU717" s="488" t="str">
        <f t="shared" si="72"/>
        <v>VTE M-0 ELECTRIQUE   CLT</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customHeight="1">
      <c r="A718" s="706" t="s">
        <v>1148</v>
      </c>
      <c r="B718" s="706">
        <v>2026</v>
      </c>
      <c r="C718" s="706" t="s">
        <v>2450</v>
      </c>
      <c r="D718" s="706" t="s">
        <v>2451</v>
      </c>
      <c r="E718" s="706" t="s">
        <v>1151</v>
      </c>
      <c r="F718" s="706" t="s">
        <v>1149</v>
      </c>
      <c r="G718" s="706">
        <v>81920</v>
      </c>
      <c r="H718" s="706">
        <v>163770</v>
      </c>
      <c r="I718" s="706">
        <v>272495</v>
      </c>
      <c r="J718" s="706">
        <v>382055</v>
      </c>
      <c r="K718" s="706">
        <v>452319.95</v>
      </c>
      <c r="L718" s="706">
        <v>471485.42</v>
      </c>
      <c r="M718" s="706">
        <v>495185.42</v>
      </c>
      <c r="N718" s="706">
        <v>512310.42</v>
      </c>
      <c r="O718" s="706">
        <v>529335.42000000004</v>
      </c>
      <c r="P718" s="706">
        <v>0</v>
      </c>
      <c r="Q718" s="706">
        <v>0</v>
      </c>
      <c r="R718" s="706">
        <v>0</v>
      </c>
      <c r="S718" s="706">
        <v>64038.8</v>
      </c>
      <c r="T718" s="706">
        <v>64038.8</v>
      </c>
      <c r="U718" s="706">
        <v>0</v>
      </c>
      <c r="V718" s="706">
        <v>497</v>
      </c>
      <c r="W718" s="706">
        <v>964</v>
      </c>
      <c r="X718" s="706">
        <v>1611</v>
      </c>
      <c r="Y718" s="706">
        <v>2272</v>
      </c>
      <c r="Z718" s="706">
        <v>2746</v>
      </c>
      <c r="AA718" s="706">
        <v>2898</v>
      </c>
      <c r="AB718" s="706">
        <v>3091</v>
      </c>
      <c r="AC718" s="706">
        <v>3230</v>
      </c>
      <c r="AD718" s="706">
        <v>3364</v>
      </c>
      <c r="AE718" s="706">
        <v>0</v>
      </c>
      <c r="AF718" s="706">
        <v>0</v>
      </c>
      <c r="AG718" s="706">
        <v>0</v>
      </c>
      <c r="AH718" s="706">
        <v>404</v>
      </c>
      <c r="AI718" s="706">
        <v>404</v>
      </c>
      <c r="AJ718" s="905" t="str">
        <f t="shared" si="68"/>
        <v>G46110</v>
      </c>
      <c r="AK718" s="905" t="str">
        <f t="shared" si="69"/>
        <v>M-D'O CLIENT S.A.A.Q</v>
      </c>
      <c r="AL718" s="905">
        <f>IFERROR(INDEX(G718:R718,1,MATCH(Parametres!$B$3,G$1:R$1,0)-1)*IF(OR(F718="L",F718="S",F718="I"),-1,1),"")</f>
        <v>-495185.42</v>
      </c>
      <c r="AM718" s="905">
        <f t="shared" si="70"/>
        <v>-17125</v>
      </c>
      <c r="AN718" s="905">
        <f>INDEX(G718:R718,1,MATCH(Parametres!$B$3,G$1:R$1,0))*IF(OR(F718="L",F718="S",F718="I"),-1,1)</f>
        <v>-512310.42</v>
      </c>
      <c r="AO718" s="487" t="str">
        <f>+VLOOKUP($AJ718,Data_Validation!$A:$D,1,0)</f>
        <v>G46110</v>
      </c>
      <c r="AP718" s="487" t="str">
        <f>+VLOOKUP($AJ718,Data_Validation!$A:$D,3,0)</f>
        <v>SAAQ</v>
      </c>
      <c r="AQ718" s="487" t="str">
        <f>+VLOOKUP($AJ718,Data_Validation!$A:$D,4,0)</f>
        <v>Inspection - Véhicules Légers</v>
      </c>
      <c r="AR718" s="487" t="s">
        <v>299</v>
      </c>
      <c r="AS718" s="487" t="str">
        <f>+VLOOKUP($AJ718,Data_Validation!$A:$E,5,0)</f>
        <v>Oui</v>
      </c>
      <c r="AT718" s="904" t="str">
        <f t="shared" si="71"/>
        <v>G46110</v>
      </c>
      <c r="AU718" s="488" t="str">
        <f t="shared" si="72"/>
        <v>M-D'O CLIENT S.A.A.Q</v>
      </c>
      <c r="AV718" s="899">
        <f>IFERROR(INDEX(V718:AG718,1,MATCH(Parametres!$B$3,V$1:AG$1,0)-1)*IF(OR(C718="L",C718="S",C718="I"),-1,1),"")</f>
        <v>3091</v>
      </c>
      <c r="AW718" s="899">
        <f t="shared" si="73"/>
        <v>139</v>
      </c>
      <c r="AX718" s="899">
        <f>INDEX(V718:AG718,1,MATCH(Parametres!$B$3,V$1:AG$1,0))*IF(OR(C718="L",C718="S",C718="I"),-1,1)</f>
        <v>3230</v>
      </c>
      <c r="AY718" s="487" t="s">
        <v>337</v>
      </c>
      <c r="AZ718" s="487" t="str">
        <f>+VLOOKUP($AJ718,Data_Validation!$A:$E,5,0)</f>
        <v>Oui</v>
      </c>
    </row>
    <row r="719" spans="1:52" ht="15" customHeight="1">
      <c r="A719" s="706" t="s">
        <v>1148</v>
      </c>
      <c r="B719" s="706">
        <v>2026</v>
      </c>
      <c r="C719" s="706" t="s">
        <v>3352</v>
      </c>
      <c r="D719" s="706" t="s">
        <v>3353</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G46111</v>
      </c>
      <c r="AK719" s="905" t="str">
        <f t="shared" si="69"/>
        <v>VTES M-O CLIENT FLOTTES</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G46111</v>
      </c>
      <c r="AU719" s="488" t="str">
        <f t="shared" si="72"/>
        <v>VTES M-O CLIENT FLOTTES</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2452</v>
      </c>
      <c r="D720" s="706" t="s">
        <v>3354</v>
      </c>
      <c r="E720" s="706" t="s">
        <v>1151</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G46120</v>
      </c>
      <c r="AK720" s="905" t="str">
        <f t="shared" si="69"/>
        <v>M-D'O.GARANTIE S.A.A.Q.</v>
      </c>
      <c r="AL720" s="905">
        <f>IFERROR(INDEX(G720:R720,1,MATCH(Parametres!$B$3,G$1:R$1,0)-1)*IF(OR(F720="L",F720="S",F720="I"),-1,1),"")</f>
        <v>0</v>
      </c>
      <c r="AM720" s="905">
        <f t="shared" si="70"/>
        <v>0</v>
      </c>
      <c r="AN720" s="905">
        <f>INDEX(G720:R720,1,MATCH(Parametres!$B$3,G$1:R$1,0))*IF(OR(F720="L",F720="S",F720="I"),-1,1)</f>
        <v>0</v>
      </c>
      <c r="AO720" s="487" t="str">
        <f>+VLOOKUP($AJ720,Data_Validation!$A:$D,1,0)</f>
        <v>G46120</v>
      </c>
      <c r="AP720" s="487" t="str">
        <f>+VLOOKUP($AJ720,Data_Validation!$A:$D,3,0)</f>
        <v>SAAQ</v>
      </c>
      <c r="AQ720" s="487" t="str">
        <f>+VLOOKUP($AJ720,Data_Validation!$A:$D,4,0)</f>
        <v>Inspection - Véhicules Interne</v>
      </c>
      <c r="AR720" s="487" t="s">
        <v>299</v>
      </c>
      <c r="AS720" s="487" t="str">
        <f>+VLOOKUP($AJ720,Data_Validation!$A:$E,5,0)</f>
        <v>Oui</v>
      </c>
      <c r="AT720" s="904" t="str">
        <f t="shared" si="71"/>
        <v>G46120</v>
      </c>
      <c r="AU720" s="488" t="str">
        <f t="shared" si="72"/>
        <v>M-D'O.GARANTIE S.A.A.Q.</v>
      </c>
      <c r="AV720" s="899">
        <f>IFERROR(INDEX(V720:AG720,1,MATCH(Parametres!$B$3,V$1:AG$1,0)-1)*IF(OR(C720="L",C720="S",C720="I"),-1,1),"")</f>
        <v>0</v>
      </c>
      <c r="AW720" s="899">
        <f t="shared" si="73"/>
        <v>0</v>
      </c>
      <c r="AX720" s="899">
        <f>INDEX(V720:AG720,1,MATCH(Parametres!$B$3,V$1:AG$1,0))*IF(OR(C720="L",C720="S",C720="I"),-1,1)</f>
        <v>0</v>
      </c>
      <c r="AY720" s="487" t="s">
        <v>337</v>
      </c>
      <c r="AZ720" s="487" t="str">
        <f>+VLOOKUP($AJ720,Data_Validation!$A:$E,5,0)</f>
        <v>Oui</v>
      </c>
    </row>
    <row r="721" spans="1:52" ht="15" customHeight="1">
      <c r="A721" s="706" t="s">
        <v>1148</v>
      </c>
      <c r="B721" s="706">
        <v>2026</v>
      </c>
      <c r="C721" s="706" t="s">
        <v>2454</v>
      </c>
      <c r="D721" s="706" t="s">
        <v>3355</v>
      </c>
      <c r="E721" s="706" t="s">
        <v>1151</v>
      </c>
      <c r="F721" s="706" t="s">
        <v>1149</v>
      </c>
      <c r="G721" s="706">
        <v>0</v>
      </c>
      <c r="H721" s="706">
        <v>0</v>
      </c>
      <c r="I721" s="706">
        <v>0</v>
      </c>
      <c r="J721" s="706">
        <v>0</v>
      </c>
      <c r="K721" s="706">
        <v>26312.5</v>
      </c>
      <c r="L721" s="706">
        <v>97132.5</v>
      </c>
      <c r="M721" s="706">
        <v>166657.5</v>
      </c>
      <c r="N721" s="706">
        <v>220535</v>
      </c>
      <c r="O721" s="706">
        <v>268997.5</v>
      </c>
      <c r="P721" s="706">
        <v>0</v>
      </c>
      <c r="Q721" s="706">
        <v>0</v>
      </c>
      <c r="R721" s="706">
        <v>0</v>
      </c>
      <c r="S721" s="706">
        <v>27566.880000000001</v>
      </c>
      <c r="T721" s="706">
        <v>27566.880000000001</v>
      </c>
      <c r="U721" s="706">
        <v>0</v>
      </c>
      <c r="V721" s="706">
        <v>0</v>
      </c>
      <c r="W721" s="706">
        <v>0</v>
      </c>
      <c r="X721" s="706">
        <v>0</v>
      </c>
      <c r="Y721" s="706">
        <v>0</v>
      </c>
      <c r="Z721" s="706">
        <v>158</v>
      </c>
      <c r="AA721" s="706">
        <v>595</v>
      </c>
      <c r="AB721" s="706">
        <v>988</v>
      </c>
      <c r="AC721" s="706">
        <v>1320</v>
      </c>
      <c r="AD721" s="706">
        <v>1591</v>
      </c>
      <c r="AE721" s="706">
        <v>0</v>
      </c>
      <c r="AF721" s="706">
        <v>0</v>
      </c>
      <c r="AG721" s="706">
        <v>0</v>
      </c>
      <c r="AH721" s="706">
        <v>165</v>
      </c>
      <c r="AI721" s="706">
        <v>165</v>
      </c>
      <c r="AJ721" s="905" t="str">
        <f t="shared" si="68"/>
        <v>G46140</v>
      </c>
      <c r="AK721" s="905" t="str">
        <f t="shared" si="69"/>
        <v>VTES - M.O LOURD -S.A,A.Q</v>
      </c>
      <c r="AL721" s="905">
        <f>IFERROR(INDEX(G721:R721,1,MATCH(Parametres!$B$3,G$1:R$1,0)-1)*IF(OR(F721="L",F721="S",F721="I"),-1,1),"")</f>
        <v>-166657.5</v>
      </c>
      <c r="AM721" s="905">
        <f t="shared" si="70"/>
        <v>-53877.5</v>
      </c>
      <c r="AN721" s="905">
        <f>INDEX(G721:R721,1,MATCH(Parametres!$B$3,G$1:R$1,0))*IF(OR(F721="L",F721="S",F721="I"),-1,1)</f>
        <v>-220535</v>
      </c>
      <c r="AO721" s="487" t="str">
        <f>+VLOOKUP($AJ721,Data_Validation!$A:$D,1,0)</f>
        <v>G46140</v>
      </c>
      <c r="AP721" s="487" t="str">
        <f>+VLOOKUP($AJ721,Data_Validation!$A:$D,3,0)</f>
        <v>SAAQ</v>
      </c>
      <c r="AQ721" s="487" t="str">
        <f>+VLOOKUP($AJ721,Data_Validation!$A:$D,4,0)</f>
        <v>Inspection - Véhicules Lourds</v>
      </c>
      <c r="AR721" s="487" t="s">
        <v>299</v>
      </c>
      <c r="AS721" s="487" t="str">
        <f>+VLOOKUP($AJ721,Data_Validation!$A:$E,5,0)</f>
        <v>Oui</v>
      </c>
      <c r="AT721" s="904" t="str">
        <f t="shared" si="71"/>
        <v>G46140</v>
      </c>
      <c r="AU721" s="488" t="str">
        <f t="shared" si="72"/>
        <v>VTES - M.O LOURD -S.A,A.Q</v>
      </c>
      <c r="AV721" s="899">
        <f>IFERROR(INDEX(V721:AG721,1,MATCH(Parametres!$B$3,V$1:AG$1,0)-1)*IF(OR(C721="L",C721="S",C721="I"),-1,1),"")</f>
        <v>988</v>
      </c>
      <c r="AW721" s="899">
        <f t="shared" si="73"/>
        <v>332</v>
      </c>
      <c r="AX721" s="899">
        <f>INDEX(V721:AG721,1,MATCH(Parametres!$B$3,V$1:AG$1,0))*IF(OR(C721="L",C721="S",C721="I"),-1,1)</f>
        <v>1320</v>
      </c>
      <c r="AY721" s="487" t="s">
        <v>337</v>
      </c>
      <c r="AZ721" s="487" t="str">
        <f>+VLOOKUP($AJ721,Data_Validation!$A:$E,5,0)</f>
        <v>Oui</v>
      </c>
    </row>
    <row r="722" spans="1:52" ht="15" customHeight="1">
      <c r="A722" s="706" t="s">
        <v>1148</v>
      </c>
      <c r="B722" s="706">
        <v>2026</v>
      </c>
      <c r="C722" s="706" t="s">
        <v>3356</v>
      </c>
      <c r="D722" s="706" t="s">
        <v>3357</v>
      </c>
      <c r="E722" s="706" t="s">
        <v>1151</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G46150</v>
      </c>
      <c r="AK722" s="905" t="str">
        <f t="shared" si="69"/>
        <v>VTE M-O ELECTIQUE FLOTTE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G46150</v>
      </c>
      <c r="AU722" s="488" t="str">
        <f t="shared" si="72"/>
        <v>VTE M-O ELECTIQUE FLOTTE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2456</v>
      </c>
      <c r="D723" s="706" t="s">
        <v>2457</v>
      </c>
      <c r="E723" s="706" t="s">
        <v>1151</v>
      </c>
      <c r="F723" s="706" t="s">
        <v>1149</v>
      </c>
      <c r="G723" s="706">
        <v>48069.68</v>
      </c>
      <c r="H723" s="706">
        <v>98097.58</v>
      </c>
      <c r="I723" s="706">
        <v>168097.15</v>
      </c>
      <c r="J723" s="706">
        <v>218322.78</v>
      </c>
      <c r="K723" s="706">
        <v>249913.78</v>
      </c>
      <c r="L723" s="706">
        <v>320092.03000000003</v>
      </c>
      <c r="M723" s="706">
        <v>360350.33</v>
      </c>
      <c r="N723" s="706">
        <v>418498.88</v>
      </c>
      <c r="O723" s="706">
        <v>436262.49</v>
      </c>
      <c r="P723" s="706">
        <v>0</v>
      </c>
      <c r="Q723" s="706">
        <v>0</v>
      </c>
      <c r="R723" s="706">
        <v>0</v>
      </c>
      <c r="S723" s="706">
        <v>52312.36</v>
      </c>
      <c r="T723" s="706">
        <v>52312.36</v>
      </c>
      <c r="U723" s="706">
        <v>0</v>
      </c>
      <c r="V723" s="706">
        <v>274</v>
      </c>
      <c r="W723" s="706">
        <v>556</v>
      </c>
      <c r="X723" s="706">
        <v>912</v>
      </c>
      <c r="Y723" s="706">
        <v>1210</v>
      </c>
      <c r="Z723" s="706">
        <v>1439</v>
      </c>
      <c r="AA723" s="706">
        <v>1820</v>
      </c>
      <c r="AB723" s="706">
        <v>2069</v>
      </c>
      <c r="AC723" s="706">
        <v>2428</v>
      </c>
      <c r="AD723" s="706">
        <v>2574</v>
      </c>
      <c r="AE723" s="706">
        <v>0</v>
      </c>
      <c r="AF723" s="706">
        <v>0</v>
      </c>
      <c r="AG723" s="706">
        <v>0</v>
      </c>
      <c r="AH723" s="706">
        <v>304</v>
      </c>
      <c r="AI723" s="706">
        <v>304</v>
      </c>
      <c r="AJ723" s="905" t="str">
        <f t="shared" si="68"/>
        <v>G46200</v>
      </c>
      <c r="AK723" s="905" t="str">
        <f t="shared" si="69"/>
        <v>VTES-M.D.RECL.GARANTIE</v>
      </c>
      <c r="AL723" s="905">
        <f>IFERROR(INDEX(G723:R723,1,MATCH(Parametres!$B$3,G$1:R$1,0)-1)*IF(OR(F723="L",F723="S",F723="I"),-1,1),"")</f>
        <v>-360350.33</v>
      </c>
      <c r="AM723" s="905">
        <f t="shared" si="70"/>
        <v>-58148.549999999988</v>
      </c>
      <c r="AN723" s="905">
        <f>INDEX(G723:R723,1,MATCH(Parametres!$B$3,G$1:R$1,0))*IF(OR(F723="L",F723="S",F723="I"),-1,1)</f>
        <v>-418498.88</v>
      </c>
      <c r="AO723" s="487" t="str">
        <f>+VLOOKUP($AJ723,Data_Validation!$A:$D,1,0)</f>
        <v>G46200</v>
      </c>
      <c r="AP723" s="487" t="str">
        <f>+VLOOKUP($AJ723,Data_Validation!$A:$D,3,0)</f>
        <v>Service</v>
      </c>
      <c r="AQ723" s="487" t="str">
        <f>+VLOOKUP($AJ723,Data_Validation!$A:$D,4,0)</f>
        <v>M/O Garantie</v>
      </c>
      <c r="AR723" s="487" t="s">
        <v>299</v>
      </c>
      <c r="AS723" s="487" t="str">
        <f>+VLOOKUP($AJ723,Data_Validation!$A:$E,5,0)</f>
        <v>Oui</v>
      </c>
      <c r="AT723" s="904" t="str">
        <f t="shared" si="71"/>
        <v>G46200</v>
      </c>
      <c r="AU723" s="488" t="str">
        <f t="shared" si="72"/>
        <v>VTES-M.D.RECL.GARANTIE</v>
      </c>
      <c r="AV723" s="899">
        <f>IFERROR(INDEX(V723:AG723,1,MATCH(Parametres!$B$3,V$1:AG$1,0)-1)*IF(OR(C723="L",C723="S",C723="I"),-1,1),"")</f>
        <v>2069</v>
      </c>
      <c r="AW723" s="899">
        <f t="shared" si="73"/>
        <v>359</v>
      </c>
      <c r="AX723" s="899">
        <f>INDEX(V723:AG723,1,MATCH(Parametres!$B$3,V$1:AG$1,0))*IF(OR(C723="L",C723="S",C723="I"),-1,1)</f>
        <v>2428</v>
      </c>
      <c r="AY723" s="487" t="s">
        <v>337</v>
      </c>
      <c r="AZ723" s="487" t="str">
        <f>+VLOOKUP($AJ723,Data_Validation!$A:$E,5,0)</f>
        <v>Oui</v>
      </c>
    </row>
    <row r="724" spans="1:52" ht="15" customHeight="1">
      <c r="A724" s="706" t="s">
        <v>1148</v>
      </c>
      <c r="B724" s="706">
        <v>2026</v>
      </c>
      <c r="C724" s="706" t="s">
        <v>2458</v>
      </c>
      <c r="D724" s="706" t="s">
        <v>2459</v>
      </c>
      <c r="E724" s="706" t="s">
        <v>1151</v>
      </c>
      <c r="F724" s="706" t="s">
        <v>1149</v>
      </c>
      <c r="G724" s="706">
        <v>39339.53</v>
      </c>
      <c r="H724" s="706">
        <v>87940.91</v>
      </c>
      <c r="I724" s="706">
        <v>137067.01</v>
      </c>
      <c r="J724" s="706">
        <v>196363.11</v>
      </c>
      <c r="K724" s="706">
        <v>251577.99</v>
      </c>
      <c r="L724" s="706">
        <v>308265.09000000003</v>
      </c>
      <c r="M724" s="706">
        <v>355697.39</v>
      </c>
      <c r="N724" s="706">
        <v>402172.8</v>
      </c>
      <c r="O724" s="706">
        <v>428840.16</v>
      </c>
      <c r="P724" s="706">
        <v>0</v>
      </c>
      <c r="Q724" s="706">
        <v>0</v>
      </c>
      <c r="R724" s="706">
        <v>0</v>
      </c>
      <c r="S724" s="706">
        <v>50271.6</v>
      </c>
      <c r="T724" s="706">
        <v>50271.6</v>
      </c>
      <c r="U724" s="706">
        <v>0</v>
      </c>
      <c r="V724" s="706">
        <v>257</v>
      </c>
      <c r="W724" s="706">
        <v>582</v>
      </c>
      <c r="X724" s="706">
        <v>990</v>
      </c>
      <c r="Y724" s="706">
        <v>1433</v>
      </c>
      <c r="Z724" s="706">
        <v>1742</v>
      </c>
      <c r="AA724" s="706">
        <v>2068</v>
      </c>
      <c r="AB724" s="706">
        <v>2346</v>
      </c>
      <c r="AC724" s="706">
        <v>2577</v>
      </c>
      <c r="AD724" s="706">
        <v>2749</v>
      </c>
      <c r="AE724" s="706">
        <v>0</v>
      </c>
      <c r="AF724" s="706">
        <v>0</v>
      </c>
      <c r="AG724" s="706">
        <v>0</v>
      </c>
      <c r="AH724" s="706">
        <v>322</v>
      </c>
      <c r="AI724" s="706">
        <v>322</v>
      </c>
      <c r="AJ724" s="905" t="str">
        <f t="shared" si="68"/>
        <v>G46300</v>
      </c>
      <c r="AK724" s="905" t="str">
        <f t="shared" si="69"/>
        <v>VTES-M.D. INTERNE SERV.</v>
      </c>
      <c r="AL724" s="905">
        <f>IFERROR(INDEX(G724:R724,1,MATCH(Parametres!$B$3,G$1:R$1,0)-1)*IF(OR(F724="L",F724="S",F724="I"),-1,1),"")</f>
        <v>-355697.39</v>
      </c>
      <c r="AM724" s="905">
        <f t="shared" si="70"/>
        <v>-46475.409999999974</v>
      </c>
      <c r="AN724" s="905">
        <f>INDEX(G724:R724,1,MATCH(Parametres!$B$3,G$1:R$1,0))*IF(OR(F724="L",F724="S",F724="I"),-1,1)</f>
        <v>-402172.8</v>
      </c>
      <c r="AO724" s="487" t="str">
        <f>+VLOOKUP($AJ724,Data_Validation!$A:$D,1,0)</f>
        <v>G46300</v>
      </c>
      <c r="AP724" s="487" t="str">
        <f>+VLOOKUP($AJ724,Data_Validation!$A:$D,3,0)</f>
        <v>Service</v>
      </c>
      <c r="AQ724" s="487" t="str">
        <f>+VLOOKUP($AJ724,Data_Validation!$A:$D,4,0)</f>
        <v>M/O Interne</v>
      </c>
      <c r="AR724" s="487" t="s">
        <v>299</v>
      </c>
      <c r="AS724" s="487" t="str">
        <f>+VLOOKUP($AJ724,Data_Validation!$A:$E,5,0)</f>
        <v>Oui</v>
      </c>
      <c r="AT724" s="904" t="str">
        <f t="shared" si="71"/>
        <v>G46300</v>
      </c>
      <c r="AU724" s="488" t="str">
        <f t="shared" si="72"/>
        <v>VTES-M.D. INTERNE SERV.</v>
      </c>
      <c r="AV724" s="899">
        <f>IFERROR(INDEX(V724:AG724,1,MATCH(Parametres!$B$3,V$1:AG$1,0)-1)*IF(OR(C724="L",C724="S",C724="I"),-1,1),"")</f>
        <v>2346</v>
      </c>
      <c r="AW724" s="899">
        <f t="shared" si="73"/>
        <v>231</v>
      </c>
      <c r="AX724" s="899">
        <f>INDEX(V724:AG724,1,MATCH(Parametres!$B$3,V$1:AG$1,0))*IF(OR(C724="L",C724="S",C724="I"),-1,1)</f>
        <v>2577</v>
      </c>
      <c r="AY724" s="487" t="s">
        <v>337</v>
      </c>
      <c r="AZ724" s="487" t="str">
        <f>+VLOOKUP($AJ724,Data_Validation!$A:$E,5,0)</f>
        <v>Oui</v>
      </c>
    </row>
    <row r="725" spans="1:52" ht="15" customHeight="1">
      <c r="A725" s="706" t="s">
        <v>1148</v>
      </c>
      <c r="B725" s="706">
        <v>2026</v>
      </c>
      <c r="C725" s="706" t="s">
        <v>3358</v>
      </c>
      <c r="D725" s="706" t="s">
        <v>3359</v>
      </c>
      <c r="E725" s="706" t="s">
        <v>1151</v>
      </c>
      <c r="F725" s="706" t="s">
        <v>1149</v>
      </c>
      <c r="G725" s="706">
        <v>0</v>
      </c>
      <c r="H725" s="706">
        <v>0</v>
      </c>
      <c r="I725" s="706">
        <v>0</v>
      </c>
      <c r="J725" s="706">
        <v>0</v>
      </c>
      <c r="K725" s="706">
        <v>0</v>
      </c>
      <c r="L725" s="706">
        <v>0</v>
      </c>
      <c r="M725" s="706">
        <v>0</v>
      </c>
      <c r="N725" s="706">
        <v>0</v>
      </c>
      <c r="O725" s="706">
        <v>1988</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1</v>
      </c>
      <c r="AE725" s="706">
        <v>0</v>
      </c>
      <c r="AF725" s="706">
        <v>0</v>
      </c>
      <c r="AG725" s="706">
        <v>0</v>
      </c>
      <c r="AH725" s="706">
        <v>0</v>
      </c>
      <c r="AI725" s="706">
        <v>0</v>
      </c>
      <c r="AJ725" s="905" t="str">
        <f t="shared" si="68"/>
        <v>G46305</v>
      </c>
      <c r="AK725" s="905" t="str">
        <f t="shared" si="69"/>
        <v>VTE ESTHETIQUE INTERNE</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G46305</v>
      </c>
      <c r="AU725" s="488" t="str">
        <f t="shared" si="72"/>
        <v>VTE ESTHETIQUE INTERNE</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2460</v>
      </c>
      <c r="D726" s="706" t="s">
        <v>3360</v>
      </c>
      <c r="E726" s="706" t="s">
        <v>1151</v>
      </c>
      <c r="F726" s="706" t="s">
        <v>1149</v>
      </c>
      <c r="G726" s="706">
        <v>1950</v>
      </c>
      <c r="H726" s="706">
        <v>2250</v>
      </c>
      <c r="I726" s="706">
        <v>2550</v>
      </c>
      <c r="J726" s="706">
        <v>2700</v>
      </c>
      <c r="K726" s="706">
        <v>3090</v>
      </c>
      <c r="L726" s="706">
        <v>3090</v>
      </c>
      <c r="M726" s="706">
        <v>3720.5</v>
      </c>
      <c r="N726" s="706">
        <v>4470.5</v>
      </c>
      <c r="O726" s="706">
        <v>4470.5</v>
      </c>
      <c r="P726" s="706">
        <v>0</v>
      </c>
      <c r="Q726" s="706">
        <v>0</v>
      </c>
      <c r="R726" s="706">
        <v>0</v>
      </c>
      <c r="S726" s="706">
        <v>558.80999999999995</v>
      </c>
      <c r="T726" s="706">
        <v>558.80999999999995</v>
      </c>
      <c r="U726" s="706">
        <v>0</v>
      </c>
      <c r="V726" s="706">
        <v>13</v>
      </c>
      <c r="W726" s="706">
        <v>15</v>
      </c>
      <c r="X726" s="706">
        <v>17</v>
      </c>
      <c r="Y726" s="706">
        <v>18</v>
      </c>
      <c r="Z726" s="706">
        <v>21</v>
      </c>
      <c r="AA726" s="706">
        <v>21</v>
      </c>
      <c r="AB726" s="706">
        <v>26</v>
      </c>
      <c r="AC726" s="706">
        <v>31</v>
      </c>
      <c r="AD726" s="706">
        <v>31</v>
      </c>
      <c r="AE726" s="706">
        <v>0</v>
      </c>
      <c r="AF726" s="706">
        <v>0</v>
      </c>
      <c r="AG726" s="706">
        <v>0</v>
      </c>
      <c r="AH726" s="706">
        <v>4</v>
      </c>
      <c r="AI726" s="706">
        <v>4</v>
      </c>
      <c r="AJ726" s="905" t="str">
        <f t="shared" si="68"/>
        <v>G46320</v>
      </c>
      <c r="AK726" s="905" t="str">
        <f t="shared" si="69"/>
        <v>VTES-MO INTERN S.A.A.Q.</v>
      </c>
      <c r="AL726" s="905">
        <f>IFERROR(INDEX(G726:R726,1,MATCH(Parametres!$B$3,G$1:R$1,0)-1)*IF(OR(F726="L",F726="S",F726="I"),-1,1),"")</f>
        <v>-3720.5</v>
      </c>
      <c r="AM726" s="905">
        <f t="shared" si="70"/>
        <v>-750</v>
      </c>
      <c r="AN726" s="905">
        <f>INDEX(G726:R726,1,MATCH(Parametres!$B$3,G$1:R$1,0))*IF(OR(F726="L",F726="S",F726="I"),-1,1)</f>
        <v>-4470.5</v>
      </c>
      <c r="AO726" s="487" t="str">
        <f>+VLOOKUP($AJ726,Data_Validation!$A:$D,1,0)</f>
        <v>G46320</v>
      </c>
      <c r="AP726" s="487" t="str">
        <f>+VLOOKUP($AJ726,Data_Validation!$A:$D,3,0)</f>
        <v>SAAQ</v>
      </c>
      <c r="AQ726" s="487" t="str">
        <f>+VLOOKUP($AJ726,Data_Validation!$A:$D,4,0)</f>
        <v>Inspection - Véhicules Interne</v>
      </c>
      <c r="AR726" s="487" t="s">
        <v>299</v>
      </c>
      <c r="AS726" s="487" t="str">
        <f>+VLOOKUP($AJ726,Data_Validation!$A:$E,5,0)</f>
        <v>Oui</v>
      </c>
      <c r="AT726" s="904" t="str">
        <f t="shared" si="71"/>
        <v>G46320</v>
      </c>
      <c r="AU726" s="488" t="str">
        <f t="shared" si="72"/>
        <v>VTES-MO INTERN S.A.A.Q.</v>
      </c>
      <c r="AV726" s="899">
        <f>IFERROR(INDEX(V726:AG726,1,MATCH(Parametres!$B$3,V$1:AG$1,0)-1)*IF(OR(C726="L",C726="S",C726="I"),-1,1),"")</f>
        <v>26</v>
      </c>
      <c r="AW726" s="899">
        <f t="shared" si="73"/>
        <v>5</v>
      </c>
      <c r="AX726" s="899">
        <f>INDEX(V726:AG726,1,MATCH(Parametres!$B$3,V$1:AG$1,0))*IF(OR(C726="L",C726="S",C726="I"),-1,1)</f>
        <v>31</v>
      </c>
      <c r="AY726" s="487" t="s">
        <v>337</v>
      </c>
      <c r="AZ726" s="487" t="str">
        <f>+VLOOKUP($AJ726,Data_Validation!$A:$E,5,0)</f>
        <v>Oui</v>
      </c>
    </row>
    <row r="727" spans="1:52" ht="15" customHeight="1">
      <c r="A727" s="706" t="s">
        <v>1148</v>
      </c>
      <c r="B727" s="706">
        <v>2026</v>
      </c>
      <c r="C727" s="706" t="s">
        <v>2462</v>
      </c>
      <c r="D727" s="706" t="s">
        <v>2463</v>
      </c>
      <c r="E727" s="706" t="s">
        <v>1151</v>
      </c>
      <c r="F727" s="706" t="s">
        <v>1149</v>
      </c>
      <c r="G727" s="706">
        <v>22291</v>
      </c>
      <c r="H727" s="706">
        <v>51476.32</v>
      </c>
      <c r="I727" s="706">
        <v>93858.59</v>
      </c>
      <c r="J727" s="706">
        <v>115408.32000000001</v>
      </c>
      <c r="K727" s="706">
        <v>135246.35999999999</v>
      </c>
      <c r="L727" s="706">
        <v>156298.54</v>
      </c>
      <c r="M727" s="706">
        <v>171043.12</v>
      </c>
      <c r="N727" s="706">
        <v>190097.4</v>
      </c>
      <c r="O727" s="706">
        <v>199599.31</v>
      </c>
      <c r="P727" s="706">
        <v>0</v>
      </c>
      <c r="Q727" s="706">
        <v>0</v>
      </c>
      <c r="R727" s="706">
        <v>0</v>
      </c>
      <c r="S727" s="706">
        <v>23762.18</v>
      </c>
      <c r="T727" s="706">
        <v>23762.18</v>
      </c>
      <c r="U727" s="706">
        <v>0</v>
      </c>
      <c r="V727" s="706">
        <v>149</v>
      </c>
      <c r="W727" s="706">
        <v>337</v>
      </c>
      <c r="X727" s="706">
        <v>620</v>
      </c>
      <c r="Y727" s="706">
        <v>762</v>
      </c>
      <c r="Z727" s="706">
        <v>894</v>
      </c>
      <c r="AA727" s="706">
        <v>1036</v>
      </c>
      <c r="AB727" s="706">
        <v>1136</v>
      </c>
      <c r="AC727" s="706">
        <v>1271</v>
      </c>
      <c r="AD727" s="706">
        <v>1335</v>
      </c>
      <c r="AE727" s="706">
        <v>0</v>
      </c>
      <c r="AF727" s="706">
        <v>0</v>
      </c>
      <c r="AG727" s="706">
        <v>0</v>
      </c>
      <c r="AH727" s="706">
        <v>159</v>
      </c>
      <c r="AI727" s="706">
        <v>159</v>
      </c>
      <c r="AJ727" s="905" t="str">
        <f t="shared" si="68"/>
        <v>G46400</v>
      </c>
      <c r="AK727" s="905" t="str">
        <f t="shared" si="69"/>
        <v>VTES-M.D. INSPECTION</v>
      </c>
      <c r="AL727" s="905">
        <f>IFERROR(INDEX(G727:R727,1,MATCH(Parametres!$B$3,G$1:R$1,0)-1)*IF(OR(F727="L",F727="S",F727="I"),-1,1),"")</f>
        <v>-171043.12</v>
      </c>
      <c r="AM727" s="905">
        <f t="shared" si="70"/>
        <v>-19054.28</v>
      </c>
      <c r="AN727" s="905">
        <f>INDEX(G727:R727,1,MATCH(Parametres!$B$3,G$1:R$1,0))*IF(OR(F727="L",F727="S",F727="I"),-1,1)</f>
        <v>-190097.4</v>
      </c>
      <c r="AO727" s="487" t="str">
        <f>+VLOOKUP($AJ727,Data_Validation!$A:$D,1,0)</f>
        <v>G46400</v>
      </c>
      <c r="AP727" s="487" t="str">
        <f>+VLOOKUP($AJ727,Data_Validation!$A:$D,3,0)</f>
        <v>Service</v>
      </c>
      <c r="AQ727" s="487" t="str">
        <f>+VLOOKUP($AJ727,Data_Validation!$A:$D,4,0)</f>
        <v>M/O Interne</v>
      </c>
      <c r="AR727" s="487" t="s">
        <v>299</v>
      </c>
      <c r="AS727" s="487" t="str">
        <f>+VLOOKUP($AJ727,Data_Validation!$A:$E,5,0)</f>
        <v>Oui</v>
      </c>
      <c r="AT727" s="904" t="str">
        <f t="shared" si="71"/>
        <v>G46400</v>
      </c>
      <c r="AU727" s="488" t="str">
        <f t="shared" si="72"/>
        <v>VTES-M.D. INSPECTION</v>
      </c>
      <c r="AV727" s="899">
        <f>IFERROR(INDEX(V727:AG727,1,MATCH(Parametres!$B$3,V$1:AG$1,0)-1)*IF(OR(C727="L",C727="S",C727="I"),-1,1),"")</f>
        <v>1136</v>
      </c>
      <c r="AW727" s="899">
        <f t="shared" si="73"/>
        <v>135</v>
      </c>
      <c r="AX727" s="899">
        <f>INDEX(V727:AG727,1,MATCH(Parametres!$B$3,V$1:AG$1,0))*IF(OR(C727="L",C727="S",C727="I"),-1,1)</f>
        <v>1271</v>
      </c>
      <c r="AY727" s="487" t="s">
        <v>337</v>
      </c>
      <c r="AZ727" s="487" t="str">
        <f>+VLOOKUP($AJ727,Data_Validation!$A:$E,5,0)</f>
        <v>Oui</v>
      </c>
    </row>
    <row r="728" spans="1:52" ht="15" customHeight="1">
      <c r="A728" s="706" t="s">
        <v>1148</v>
      </c>
      <c r="B728" s="706">
        <v>2026</v>
      </c>
      <c r="C728" s="706" t="s">
        <v>2464</v>
      </c>
      <c r="D728" s="706" t="s">
        <v>2465</v>
      </c>
      <c r="E728" s="706" t="s">
        <v>1151</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G46420</v>
      </c>
      <c r="AK728" s="905" t="str">
        <f t="shared" ref="AK728:AK791" si="75">D728</f>
        <v>VTES-MO PDI CAM MOYEN</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G46420</v>
      </c>
      <c r="AU728" s="488" t="str">
        <f t="shared" ref="AU728:AU791" si="78">D728</f>
        <v>VTES-MO PDI CAM MOYEN</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customHeight="1">
      <c r="A729" s="706" t="s">
        <v>1148</v>
      </c>
      <c r="B729" s="706">
        <v>2026</v>
      </c>
      <c r="C729" s="706" t="s">
        <v>2466</v>
      </c>
      <c r="D729" s="706" t="s">
        <v>2467</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G46500</v>
      </c>
      <c r="AK729" s="905" t="str">
        <f t="shared" si="75"/>
        <v>*TEMPS PERDU SERVICE</v>
      </c>
      <c r="AL729" s="905">
        <f>IFERROR(INDEX(G729:R729,1,MATCH(Parametres!$B$3,G$1:R$1,0)-1)*IF(OR(F729="L",F729="S",F729="I"),-1,1),"")</f>
        <v>0</v>
      </c>
      <c r="AM729" s="905">
        <f t="shared" si="76"/>
        <v>0</v>
      </c>
      <c r="AN729" s="905">
        <f>INDEX(G729:R729,1,MATCH(Parametres!$B$3,G$1:R$1,0))*IF(OR(F729="L",F729="S",F729="I"),-1,1)</f>
        <v>0</v>
      </c>
      <c r="AO729" s="487" t="str">
        <f>+VLOOKUP($AJ729,Data_Validation!$A:$D,1,0)</f>
        <v>G46500</v>
      </c>
      <c r="AP729" s="487">
        <f>+VLOOKUP($AJ729,Data_Validation!$A:$D,3,0)</f>
        <v>0</v>
      </c>
      <c r="AQ729" s="487">
        <f>+VLOOKUP($AJ729,Data_Validation!$A:$D,4,0)</f>
        <v>0</v>
      </c>
      <c r="AR729" s="487" t="s">
        <v>299</v>
      </c>
      <c r="AS729" s="487">
        <f>+VLOOKUP($AJ729,Data_Validation!$A:$E,5,0)</f>
        <v>0</v>
      </c>
      <c r="AT729" s="904" t="str">
        <f t="shared" si="77"/>
        <v>G46500</v>
      </c>
      <c r="AU729" s="488" t="str">
        <f t="shared" si="78"/>
        <v>*TEMPS PERDU SERVICE</v>
      </c>
      <c r="AV729" s="899">
        <f>IFERROR(INDEX(V729:AG729,1,MATCH(Parametres!$B$3,V$1:AG$1,0)-1)*IF(OR(C729="L",C729="S",C729="I"),-1,1),"")</f>
        <v>0</v>
      </c>
      <c r="AW729" s="899">
        <f t="shared" si="79"/>
        <v>0</v>
      </c>
      <c r="AX729" s="899">
        <f>INDEX(V729:AG729,1,MATCH(Parametres!$B$3,V$1:AG$1,0))*IF(OR(C729="L",C729="S",C729="I"),-1,1)</f>
        <v>0</v>
      </c>
      <c r="AY729" s="487" t="s">
        <v>337</v>
      </c>
      <c r="AZ729" s="487">
        <f>+VLOOKUP($AJ729,Data_Validation!$A:$E,5,0)</f>
        <v>0</v>
      </c>
    </row>
    <row r="730" spans="1:52" ht="15" customHeight="1">
      <c r="A730" s="706" t="s">
        <v>1148</v>
      </c>
      <c r="B730" s="706">
        <v>2026</v>
      </c>
      <c r="C730" s="706" t="s">
        <v>3361</v>
      </c>
      <c r="D730" s="706" t="s">
        <v>3362</v>
      </c>
      <c r="E730" s="706" t="s">
        <v>333</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G46507</v>
      </c>
      <c r="AK730" s="905" t="str">
        <f t="shared" si="75"/>
        <v>*TEMPS PERDU SAAQ</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G46507</v>
      </c>
      <c r="AU730" s="488" t="str">
        <f t="shared" si="78"/>
        <v>*TEMPS PERDU SAAQ</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customHeight="1">
      <c r="A731" s="706" t="s">
        <v>1148</v>
      </c>
      <c r="B731" s="706">
        <v>2026</v>
      </c>
      <c r="C731" s="706" t="s">
        <v>2468</v>
      </c>
      <c r="D731" s="706" t="s">
        <v>2469</v>
      </c>
      <c r="E731" s="706" t="s">
        <v>1151</v>
      </c>
      <c r="F731" s="706" t="s">
        <v>1149</v>
      </c>
      <c r="G731" s="706">
        <v>4849.09</v>
      </c>
      <c r="H731" s="706">
        <v>20619.18</v>
      </c>
      <c r="I731" s="706">
        <v>38598.06</v>
      </c>
      <c r="J731" s="706">
        <v>48780.08</v>
      </c>
      <c r="K731" s="706">
        <v>63022.97</v>
      </c>
      <c r="L731" s="706">
        <v>74558.77</v>
      </c>
      <c r="M731" s="706">
        <v>84699.56</v>
      </c>
      <c r="N731" s="706">
        <v>101547.02</v>
      </c>
      <c r="O731" s="706">
        <v>108514.48</v>
      </c>
      <c r="P731" s="706">
        <v>0</v>
      </c>
      <c r="Q731" s="706">
        <v>0</v>
      </c>
      <c r="R731" s="706">
        <v>0</v>
      </c>
      <c r="S731" s="706">
        <v>12693.38</v>
      </c>
      <c r="T731" s="706">
        <v>12693.38</v>
      </c>
      <c r="U731" s="706">
        <v>0</v>
      </c>
      <c r="V731" s="706">
        <v>19</v>
      </c>
      <c r="W731" s="706">
        <v>56</v>
      </c>
      <c r="X731" s="706">
        <v>90</v>
      </c>
      <c r="Y731" s="706">
        <v>127</v>
      </c>
      <c r="Z731" s="706">
        <v>168</v>
      </c>
      <c r="AA731" s="706">
        <v>207</v>
      </c>
      <c r="AB731" s="706">
        <v>241</v>
      </c>
      <c r="AC731" s="706">
        <v>273</v>
      </c>
      <c r="AD731" s="706">
        <v>292</v>
      </c>
      <c r="AE731" s="706">
        <v>0</v>
      </c>
      <c r="AF731" s="706">
        <v>0</v>
      </c>
      <c r="AG731" s="706">
        <v>0</v>
      </c>
      <c r="AH731" s="706">
        <v>34</v>
      </c>
      <c r="AI731" s="706">
        <v>34</v>
      </c>
      <c r="AJ731" s="905" t="str">
        <f t="shared" si="74"/>
        <v>G46600</v>
      </c>
      <c r="AK731" s="905" t="str">
        <f t="shared" si="75"/>
        <v>VTES-REPARAT.SOUS-TRAITES</v>
      </c>
      <c r="AL731" s="905">
        <f>IFERROR(INDEX(G731:R731,1,MATCH(Parametres!$B$3,G$1:R$1,0)-1)*IF(OR(F731="L",F731="S",F731="I"),-1,1),"")</f>
        <v>-84699.56</v>
      </c>
      <c r="AM731" s="905">
        <f t="shared" si="76"/>
        <v>-16847.460000000006</v>
      </c>
      <c r="AN731" s="905">
        <f>INDEX(G731:R731,1,MATCH(Parametres!$B$3,G$1:R$1,0))*IF(OR(F731="L",F731="S",F731="I"),-1,1)</f>
        <v>-101547.02</v>
      </c>
      <c r="AO731" s="487" t="str">
        <f>+VLOOKUP($AJ731,Data_Validation!$A:$D,1,0)</f>
        <v>G46600</v>
      </c>
      <c r="AP731" s="487" t="str">
        <f>+VLOOKUP($AJ731,Data_Validation!$A:$D,3,0)</f>
        <v>Service</v>
      </c>
      <c r="AQ731" s="487" t="str">
        <f>+VLOOKUP($AJ731,Data_Validation!$A:$D,4,0)</f>
        <v>Sous-traitement</v>
      </c>
      <c r="AR731" s="487" t="s">
        <v>299</v>
      </c>
      <c r="AS731" s="487" t="str">
        <f>+VLOOKUP($AJ731,Data_Validation!$A:$E,5,0)</f>
        <v>Oui</v>
      </c>
      <c r="AT731" s="904" t="str">
        <f t="shared" si="77"/>
        <v>G46600</v>
      </c>
      <c r="AU731" s="488" t="str">
        <f t="shared" si="78"/>
        <v>VTES-REPARAT.SOUS-TRAITES</v>
      </c>
      <c r="AV731" s="899">
        <f>IFERROR(INDEX(V731:AG731,1,MATCH(Parametres!$B$3,V$1:AG$1,0)-1)*IF(OR(C731="L",C731="S",C731="I"),-1,1),"")</f>
        <v>241</v>
      </c>
      <c r="AW731" s="899">
        <f t="shared" si="79"/>
        <v>32</v>
      </c>
      <c r="AX731" s="899">
        <f>INDEX(V731:AG731,1,MATCH(Parametres!$B$3,V$1:AG$1,0))*IF(OR(C731="L",C731="S",C731="I"),-1,1)</f>
        <v>273</v>
      </c>
      <c r="AY731" s="487" t="s">
        <v>337</v>
      </c>
      <c r="AZ731" s="487" t="str">
        <f>+VLOOKUP($AJ731,Data_Validation!$A:$E,5,0)</f>
        <v>Oui</v>
      </c>
    </row>
    <row r="732" spans="1:52" ht="15" customHeight="1">
      <c r="A732" s="706" t="s">
        <v>1148</v>
      </c>
      <c r="B732" s="706">
        <v>2026</v>
      </c>
      <c r="C732" s="706" t="s">
        <v>2470</v>
      </c>
      <c r="D732" s="706" t="s">
        <v>3134</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G46610</v>
      </c>
      <c r="AK732" s="905" t="str">
        <f t="shared" si="75"/>
        <v>VTES-SOUS-TRAITANCE SAAQ</v>
      </c>
      <c r="AL732" s="905">
        <f>IFERROR(INDEX(G732:R732,1,MATCH(Parametres!$B$3,G$1:R$1,0)-1)*IF(OR(F732="L",F732="S",F732="I"),-1,1),"")</f>
        <v>0</v>
      </c>
      <c r="AM732" s="905">
        <f t="shared" si="76"/>
        <v>0</v>
      </c>
      <c r="AN732" s="905">
        <f>INDEX(G732:R732,1,MATCH(Parametres!$B$3,G$1:R$1,0))*IF(OR(F732="L",F732="S",F732="I"),-1,1)</f>
        <v>0</v>
      </c>
      <c r="AO732" s="487" t="str">
        <f>+VLOOKUP($AJ732,Data_Validation!$A:$D,1,0)</f>
        <v>G46610</v>
      </c>
      <c r="AP732" s="487" t="str">
        <f>+VLOOKUP($AJ732,Data_Validation!$A:$D,3,0)</f>
        <v>SAAQ</v>
      </c>
      <c r="AQ732" s="487" t="str">
        <f>+VLOOKUP($AJ732,Data_Validation!$A:$D,4,0)</f>
        <v>Inspection - Véhicules Interne</v>
      </c>
      <c r="AR732" s="487" t="s">
        <v>299</v>
      </c>
      <c r="AS732" s="487" t="str">
        <f>+VLOOKUP($AJ732,Data_Validation!$A:$E,5,0)</f>
        <v>Oui</v>
      </c>
      <c r="AT732" s="904" t="str">
        <f t="shared" si="77"/>
        <v>G46610</v>
      </c>
      <c r="AU732" s="488" t="str">
        <f t="shared" si="78"/>
        <v>VTES-SOUS-TRAITANCE SAAQ</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2472</v>
      </c>
      <c r="D733" s="706" t="s">
        <v>2473</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G46611</v>
      </c>
      <c r="AK733" s="905" t="str">
        <f t="shared" si="75"/>
        <v>SUPER VITRE VENTE SUBLET</v>
      </c>
      <c r="AL733" s="905">
        <f>IFERROR(INDEX(G733:R733,1,MATCH(Parametres!$B$3,G$1:R$1,0)-1)*IF(OR(F733="L",F733="S",F733="I"),-1,1),"")</f>
        <v>0</v>
      </c>
      <c r="AM733" s="905">
        <f t="shared" si="76"/>
        <v>0</v>
      </c>
      <c r="AN733" s="905">
        <f>INDEX(G733:R733,1,MATCH(Parametres!$B$3,G$1:R$1,0))*IF(OR(F733="L",F733="S",F733="I"),-1,1)</f>
        <v>0</v>
      </c>
      <c r="AO733" s="487" t="e">
        <f>+VLOOKUP($AJ733,Data_Validation!$A:$D,1,0)</f>
        <v>#N/A</v>
      </c>
      <c r="AP733" s="487" t="e">
        <f>+VLOOKUP($AJ733,Data_Validation!$A:$D,3,0)</f>
        <v>#N/A</v>
      </c>
      <c r="AQ733" s="487" t="e">
        <f>+VLOOKUP($AJ733,Data_Validation!$A:$D,4,0)</f>
        <v>#N/A</v>
      </c>
      <c r="AR733" s="487" t="s">
        <v>299</v>
      </c>
      <c r="AS733" s="487" t="e">
        <f>+VLOOKUP($AJ733,Data_Validation!$A:$E,5,0)</f>
        <v>#N/A</v>
      </c>
      <c r="AT733" s="904" t="str">
        <f t="shared" si="77"/>
        <v>G46611</v>
      </c>
      <c r="AU733" s="488" t="str">
        <f t="shared" si="78"/>
        <v>SUPER VITRE VENTE SUBLET</v>
      </c>
      <c r="AV733" s="899">
        <f>IFERROR(INDEX(V733:AG733,1,MATCH(Parametres!$B$3,V$1:AG$1,0)-1)*IF(OR(C733="L",C733="S",C733="I"),-1,1),"")</f>
        <v>0</v>
      </c>
      <c r="AW733" s="899">
        <f t="shared" si="79"/>
        <v>0</v>
      </c>
      <c r="AX733" s="899">
        <f>INDEX(V733:AG733,1,MATCH(Parametres!$B$3,V$1:AG$1,0))*IF(OR(C733="L",C733="S",C733="I"),-1,1)</f>
        <v>0</v>
      </c>
      <c r="AY733" s="487" t="s">
        <v>337</v>
      </c>
      <c r="AZ733" s="487" t="e">
        <f>+VLOOKUP($AJ733,Data_Validation!$A:$E,5,0)</f>
        <v>#N/A</v>
      </c>
    </row>
    <row r="734" spans="1:52" ht="15" customHeight="1">
      <c r="A734" s="706" t="s">
        <v>1148</v>
      </c>
      <c r="B734" s="706">
        <v>2026</v>
      </c>
      <c r="C734" s="706" t="s">
        <v>2474</v>
      </c>
      <c r="D734" s="706" t="s">
        <v>2475</v>
      </c>
      <c r="E734" s="706" t="s">
        <v>1151</v>
      </c>
      <c r="F734" s="706" t="s">
        <v>1149</v>
      </c>
      <c r="G734" s="706">
        <v>41978.81</v>
      </c>
      <c r="H734" s="706">
        <v>103633.08</v>
      </c>
      <c r="I734" s="706">
        <v>149530.79</v>
      </c>
      <c r="J734" s="706">
        <v>192371.79</v>
      </c>
      <c r="K734" s="706">
        <v>220602.06</v>
      </c>
      <c r="L734" s="706">
        <v>281495.37</v>
      </c>
      <c r="M734" s="706">
        <v>333679.74</v>
      </c>
      <c r="N734" s="706">
        <v>383287.53</v>
      </c>
      <c r="O734" s="706">
        <v>427744.93</v>
      </c>
      <c r="P734" s="706">
        <v>0</v>
      </c>
      <c r="Q734" s="706">
        <v>0</v>
      </c>
      <c r="R734" s="706">
        <v>0</v>
      </c>
      <c r="S734" s="706">
        <v>47910.94</v>
      </c>
      <c r="T734" s="706">
        <v>47910.94</v>
      </c>
      <c r="U734" s="706">
        <v>0</v>
      </c>
      <c r="V734" s="706">
        <v>130</v>
      </c>
      <c r="W734" s="706">
        <v>275</v>
      </c>
      <c r="X734" s="706">
        <v>447</v>
      </c>
      <c r="Y734" s="706">
        <v>646</v>
      </c>
      <c r="Z734" s="706">
        <v>805</v>
      </c>
      <c r="AA734" s="706">
        <v>971</v>
      </c>
      <c r="AB734" s="706">
        <v>1145</v>
      </c>
      <c r="AC734" s="706">
        <v>1283</v>
      </c>
      <c r="AD734" s="706">
        <v>1404</v>
      </c>
      <c r="AE734" s="706">
        <v>0</v>
      </c>
      <c r="AF734" s="706">
        <v>0</v>
      </c>
      <c r="AG734" s="706">
        <v>0</v>
      </c>
      <c r="AH734" s="706">
        <v>160</v>
      </c>
      <c r="AI734" s="706">
        <v>160</v>
      </c>
      <c r="AJ734" s="905" t="str">
        <f t="shared" si="74"/>
        <v>G46710</v>
      </c>
      <c r="AK734" s="905" t="str">
        <f t="shared" si="75"/>
        <v>VTES PI SERV.VOIT&amp;CAM LEG</v>
      </c>
      <c r="AL734" s="905">
        <f>IFERROR(INDEX(G734:R734,1,MATCH(Parametres!$B$3,G$1:R$1,0)-1)*IF(OR(F734="L",F734="S",F734="I"),-1,1),"")</f>
        <v>-333679.74</v>
      </c>
      <c r="AM734" s="905">
        <f t="shared" si="76"/>
        <v>-49607.790000000037</v>
      </c>
      <c r="AN734" s="905">
        <f>INDEX(G734:R734,1,MATCH(Parametres!$B$3,G$1:R$1,0))*IF(OR(F734="L",F734="S",F734="I"),-1,1)</f>
        <v>-383287.53</v>
      </c>
      <c r="AO734" s="487" t="str">
        <f>+VLOOKUP($AJ734,Data_Validation!$A:$D,1,0)</f>
        <v>G46710</v>
      </c>
      <c r="AP734" s="487" t="str">
        <f>+VLOOKUP($AJ734,Data_Validation!$A:$D,3,0)</f>
        <v>Pièces</v>
      </c>
      <c r="AQ734" s="487" t="str">
        <f>+VLOOKUP($AJ734,Data_Validation!$A:$D,4,0)</f>
        <v>Pièces Ro Clients</v>
      </c>
      <c r="AR734" s="487" t="s">
        <v>299</v>
      </c>
      <c r="AS734" s="487" t="str">
        <f>+VLOOKUP($AJ734,Data_Validation!$A:$E,5,0)</f>
        <v>Oui</v>
      </c>
      <c r="AT734" s="904" t="str">
        <f t="shared" si="77"/>
        <v>G46710</v>
      </c>
      <c r="AU734" s="488" t="str">
        <f t="shared" si="78"/>
        <v>VTES PI SERV.VOIT&amp;CAM LEG</v>
      </c>
      <c r="AV734" s="899">
        <f>IFERROR(INDEX(V734:AG734,1,MATCH(Parametres!$B$3,V$1:AG$1,0)-1)*IF(OR(C734="L",C734="S",C734="I"),-1,1),"")</f>
        <v>1145</v>
      </c>
      <c r="AW734" s="899">
        <f t="shared" si="79"/>
        <v>138</v>
      </c>
      <c r="AX734" s="899">
        <f>INDEX(V734:AG734,1,MATCH(Parametres!$B$3,V$1:AG$1,0))*IF(OR(C734="L",C734="S",C734="I"),-1,1)</f>
        <v>1283</v>
      </c>
      <c r="AY734" s="487" t="s">
        <v>337</v>
      </c>
      <c r="AZ734" s="487" t="str">
        <f>+VLOOKUP($AJ734,Data_Validation!$A:$E,5,0)</f>
        <v>Oui</v>
      </c>
    </row>
    <row r="735" spans="1:52" ht="15" customHeight="1">
      <c r="A735" s="706" t="s">
        <v>1148</v>
      </c>
      <c r="B735" s="706">
        <v>2026</v>
      </c>
      <c r="C735" s="706" t="s">
        <v>2476</v>
      </c>
      <c r="D735" s="706" t="s">
        <v>2477</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G46720</v>
      </c>
      <c r="AK735" s="905" t="str">
        <f t="shared" si="75"/>
        <v>B.R PPC VOIT &amp; CAM LEG.</v>
      </c>
      <c r="AL735" s="905">
        <f>IFERROR(INDEX(G735:R735,1,MATCH(Parametres!$B$3,G$1:R$1,0)-1)*IF(OR(F735="L",F735="S",F735="I"),-1,1),"")</f>
        <v>0</v>
      </c>
      <c r="AM735" s="905">
        <f t="shared" si="76"/>
        <v>0</v>
      </c>
      <c r="AN735" s="905">
        <f>INDEX(G735:R735,1,MATCH(Parametres!$B$3,G$1:R$1,0))*IF(OR(F735="L",F735="S",F735="I"),-1,1)</f>
        <v>0</v>
      </c>
      <c r="AO735" s="487" t="str">
        <f>+VLOOKUP($AJ735,Data_Validation!$A:$D,1,0)</f>
        <v>G46720</v>
      </c>
      <c r="AP735" s="487" t="str">
        <f>+VLOOKUP($AJ735,Data_Validation!$A:$D,3,0)</f>
        <v>Pièces</v>
      </c>
      <c r="AQ735" s="487" t="str">
        <f>+VLOOKUP($AJ735,Data_Validation!$A:$D,4,0)</f>
        <v>Pièces Ro Clients</v>
      </c>
      <c r="AR735" s="487" t="s">
        <v>299</v>
      </c>
      <c r="AS735" s="487" t="str">
        <f>+VLOOKUP($AJ735,Data_Validation!$A:$E,5,0)</f>
        <v>Oui</v>
      </c>
      <c r="AT735" s="904" t="str">
        <f t="shared" si="77"/>
        <v>G46720</v>
      </c>
      <c r="AU735" s="488" t="str">
        <f t="shared" si="78"/>
        <v>B.R PPC VOIT &amp; CAM LEG.</v>
      </c>
      <c r="AV735" s="899">
        <f>IFERROR(INDEX(V735:AG735,1,MATCH(Parametres!$B$3,V$1:AG$1,0)-1)*IF(OR(C735="L",C735="S",C735="I"),-1,1),"")</f>
        <v>0</v>
      </c>
      <c r="AW735" s="899">
        <f t="shared" si="79"/>
        <v>0</v>
      </c>
      <c r="AX735" s="899">
        <f>INDEX(V735:AG735,1,MATCH(Parametres!$B$3,V$1:AG$1,0))*IF(OR(C735="L",C735="S",C735="I"),-1,1)</f>
        <v>0</v>
      </c>
      <c r="AY735" s="487" t="s">
        <v>337</v>
      </c>
      <c r="AZ735" s="487" t="str">
        <f>+VLOOKUP($AJ735,Data_Validation!$A:$E,5,0)</f>
        <v>Oui</v>
      </c>
    </row>
    <row r="736" spans="1:52" ht="15" customHeight="1">
      <c r="A736" s="706" t="s">
        <v>1148</v>
      </c>
      <c r="B736" s="706">
        <v>2026</v>
      </c>
      <c r="C736" s="706" t="s">
        <v>2478</v>
      </c>
      <c r="D736" s="706" t="s">
        <v>2479</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G46740</v>
      </c>
      <c r="AK736" s="905" t="str">
        <f t="shared" si="75"/>
        <v>SER.RAPIDE VOIT CAM LEG.</v>
      </c>
      <c r="AL736" s="905">
        <f>IFERROR(INDEX(G736:R736,1,MATCH(Parametres!$B$3,G$1:R$1,0)-1)*IF(OR(F736="L",F736="S",F736="I"),-1,1),"")</f>
        <v>0</v>
      </c>
      <c r="AM736" s="905">
        <f t="shared" si="76"/>
        <v>0</v>
      </c>
      <c r="AN736" s="905">
        <f>INDEX(G736:R736,1,MATCH(Parametres!$B$3,G$1:R$1,0))*IF(OR(F736="L",F736="S",F736="I"),-1,1)</f>
        <v>0</v>
      </c>
      <c r="AO736" s="487" t="str">
        <f>+VLOOKUP($AJ736,Data_Validation!$A:$D,1,0)</f>
        <v>G46740</v>
      </c>
      <c r="AP736" s="487">
        <f>+VLOOKUP($AJ736,Data_Validation!$A:$D,3,0)</f>
        <v>0</v>
      </c>
      <c r="AQ736" s="487">
        <f>+VLOOKUP($AJ736,Data_Validation!$A:$D,4,0)</f>
        <v>0</v>
      </c>
      <c r="AR736" s="487" t="s">
        <v>299</v>
      </c>
      <c r="AS736" s="487">
        <f>+VLOOKUP($AJ736,Data_Validation!$A:$E,5,0)</f>
        <v>0</v>
      </c>
      <c r="AT736" s="904" t="str">
        <f t="shared" si="77"/>
        <v>G46740</v>
      </c>
      <c r="AU736" s="488" t="str">
        <f t="shared" si="78"/>
        <v>SER.RAPIDE VOIT CAM LEG.</v>
      </c>
      <c r="AV736" s="899">
        <f>IFERROR(INDEX(V736:AG736,1,MATCH(Parametres!$B$3,V$1:AG$1,0)-1)*IF(OR(C736="L",C736="S",C736="I"),-1,1),"")</f>
        <v>0</v>
      </c>
      <c r="AW736" s="899">
        <f t="shared" si="79"/>
        <v>0</v>
      </c>
      <c r="AX736" s="899">
        <f>INDEX(V736:AG736,1,MATCH(Parametres!$B$3,V$1:AG$1,0))*IF(OR(C736="L",C736="S",C736="I"),-1,1)</f>
        <v>0</v>
      </c>
      <c r="AY736" s="487" t="s">
        <v>337</v>
      </c>
      <c r="AZ736" s="487">
        <f>+VLOOKUP($AJ736,Data_Validation!$A:$E,5,0)</f>
        <v>0</v>
      </c>
    </row>
    <row r="737" spans="1:52" ht="15" customHeight="1">
      <c r="A737" s="706" t="s">
        <v>1148</v>
      </c>
      <c r="B737" s="706">
        <v>2026</v>
      </c>
      <c r="C737" s="706" t="s">
        <v>2480</v>
      </c>
      <c r="D737" s="706" t="s">
        <v>2481</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G46800</v>
      </c>
      <c r="AK737" s="905" t="str">
        <f t="shared" si="75"/>
        <v>VTES-PCE CLIENT CAM MOYEN</v>
      </c>
      <c r="AL737" s="905">
        <f>IFERROR(INDEX(G737:R737,1,MATCH(Parametres!$B$3,G$1:R$1,0)-1)*IF(OR(F737="L",F737="S",F737="I"),-1,1),"")</f>
        <v>0</v>
      </c>
      <c r="AM737" s="905">
        <f t="shared" si="76"/>
        <v>0</v>
      </c>
      <c r="AN737" s="905">
        <f>INDEX(G737:R737,1,MATCH(Parametres!$B$3,G$1:R$1,0))*IF(OR(F737="L",F737="S",F737="I"),-1,1)</f>
        <v>0</v>
      </c>
      <c r="AO737" s="487" t="str">
        <f>+VLOOKUP($AJ737,Data_Validation!$A:$D,1,0)</f>
        <v>G46800</v>
      </c>
      <c r="AP737" s="487">
        <f>+VLOOKUP($AJ737,Data_Validation!$A:$D,3,0)</f>
        <v>0</v>
      </c>
      <c r="AQ737" s="487">
        <f>+VLOOKUP($AJ737,Data_Validation!$A:$D,4,0)</f>
        <v>0</v>
      </c>
      <c r="AR737" s="487" t="s">
        <v>299</v>
      </c>
      <c r="AS737" s="487">
        <f>+VLOOKUP($AJ737,Data_Validation!$A:$E,5,0)</f>
        <v>0</v>
      </c>
      <c r="AT737" s="904" t="str">
        <f t="shared" si="77"/>
        <v>G46800</v>
      </c>
      <c r="AU737" s="488" t="str">
        <f t="shared" si="78"/>
        <v>VTES-PCE CLIENT CAM MOYEN</v>
      </c>
      <c r="AV737" s="899">
        <f>IFERROR(INDEX(V737:AG737,1,MATCH(Parametres!$B$3,V$1:AG$1,0)-1)*IF(OR(C737="L",C737="S",C737="I"),-1,1),"")</f>
        <v>0</v>
      </c>
      <c r="AW737" s="899">
        <f t="shared" si="79"/>
        <v>0</v>
      </c>
      <c r="AX737" s="899">
        <f>INDEX(V737:AG737,1,MATCH(Parametres!$B$3,V$1:AG$1,0))*IF(OR(C737="L",C737="S",C737="I"),-1,1)</f>
        <v>0</v>
      </c>
      <c r="AY737" s="487" t="s">
        <v>337</v>
      </c>
      <c r="AZ737" s="487">
        <f>+VLOOKUP($AJ737,Data_Validation!$A:$E,5,0)</f>
        <v>0</v>
      </c>
    </row>
    <row r="738" spans="1:52" ht="15" customHeight="1">
      <c r="A738" s="706" t="s">
        <v>1148</v>
      </c>
      <c r="B738" s="706">
        <v>2026</v>
      </c>
      <c r="C738" s="706" t="s">
        <v>2482</v>
      </c>
      <c r="D738" s="706" t="s">
        <v>2483</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G46810</v>
      </c>
      <c r="AK738" s="905" t="str">
        <f t="shared" si="75"/>
        <v>VTES-PCE SERV.CLIENT CAM.</v>
      </c>
      <c r="AL738" s="905">
        <f>IFERROR(INDEX(G738:R738,1,MATCH(Parametres!$B$3,G$1:R$1,0)-1)*IF(OR(F738="L",F738="S",F738="I"),-1,1),"")</f>
        <v>0</v>
      </c>
      <c r="AM738" s="905">
        <f t="shared" si="76"/>
        <v>0</v>
      </c>
      <c r="AN738" s="905">
        <f>INDEX(G738:R738,1,MATCH(Parametres!$B$3,G$1:R$1,0))*IF(OR(F738="L",F738="S",F738="I"),-1,1)</f>
        <v>0</v>
      </c>
      <c r="AO738" s="487" t="str">
        <f>+VLOOKUP($AJ738,Data_Validation!$A:$D,1,0)</f>
        <v>G46810</v>
      </c>
      <c r="AP738" s="487">
        <f>+VLOOKUP($AJ738,Data_Validation!$A:$D,3,0)</f>
        <v>0</v>
      </c>
      <c r="AQ738" s="487">
        <f>+VLOOKUP($AJ738,Data_Validation!$A:$D,4,0)</f>
        <v>0</v>
      </c>
      <c r="AR738" s="487" t="s">
        <v>299</v>
      </c>
      <c r="AS738" s="487">
        <f>+VLOOKUP($AJ738,Data_Validation!$A:$E,5,0)</f>
        <v>0</v>
      </c>
      <c r="AT738" s="904" t="str">
        <f t="shared" si="77"/>
        <v>G46810</v>
      </c>
      <c r="AU738" s="488" t="str">
        <f t="shared" si="78"/>
        <v>VTES-PCE SERV.CLIENT CAM.</v>
      </c>
      <c r="AV738" s="899">
        <f>IFERROR(INDEX(V738:AG738,1,MATCH(Parametres!$B$3,V$1:AG$1,0)-1)*IF(OR(C738="L",C738="S",C738="I"),-1,1),"")</f>
        <v>0</v>
      </c>
      <c r="AW738" s="899">
        <f t="shared" si="79"/>
        <v>0</v>
      </c>
      <c r="AX738" s="899">
        <f>INDEX(V738:AG738,1,MATCH(Parametres!$B$3,V$1:AG$1,0))*IF(OR(C738="L",C738="S",C738="I"),-1,1)</f>
        <v>0</v>
      </c>
      <c r="AY738" s="487" t="s">
        <v>337</v>
      </c>
      <c r="AZ738" s="487">
        <f>+VLOOKUP($AJ738,Data_Validation!$A:$E,5,0)</f>
        <v>0</v>
      </c>
    </row>
    <row r="739" spans="1:52" ht="15" customHeight="1">
      <c r="A739" s="706" t="s">
        <v>1148</v>
      </c>
      <c r="B739" s="706">
        <v>2026</v>
      </c>
      <c r="C739" s="706" t="s">
        <v>2484</v>
      </c>
      <c r="D739" s="706" t="s">
        <v>2485</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G46840</v>
      </c>
      <c r="AK739" s="905" t="str">
        <f t="shared" si="75"/>
        <v>VTES-PCE GOODWRENCH CAMIO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G46840</v>
      </c>
      <c r="AU739" s="488" t="str">
        <f t="shared" si="78"/>
        <v>VTES-PCE GOODWRENCH CAMIO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customHeight="1">
      <c r="A740" s="706" t="s">
        <v>1148</v>
      </c>
      <c r="B740" s="706">
        <v>2026</v>
      </c>
      <c r="C740" s="706" t="s">
        <v>2486</v>
      </c>
      <c r="D740" s="706" t="s">
        <v>2487</v>
      </c>
      <c r="E740" s="706" t="s">
        <v>333</v>
      </c>
      <c r="F740" s="706" t="s">
        <v>1149</v>
      </c>
      <c r="G740" s="706">
        <v>2646.8</v>
      </c>
      <c r="H740" s="706">
        <v>5914.65</v>
      </c>
      <c r="I740" s="706">
        <v>9184.1</v>
      </c>
      <c r="J740" s="706">
        <v>13267.53</v>
      </c>
      <c r="K740" s="706">
        <v>17068.18</v>
      </c>
      <c r="L740" s="706">
        <v>20337.54</v>
      </c>
      <c r="M740" s="706">
        <v>22791.25</v>
      </c>
      <c r="N740" s="706">
        <v>25438.35</v>
      </c>
      <c r="O740" s="706">
        <v>27400.9</v>
      </c>
      <c r="P740" s="706">
        <v>0</v>
      </c>
      <c r="Q740" s="706">
        <v>0</v>
      </c>
      <c r="R740" s="706">
        <v>0</v>
      </c>
      <c r="S740" s="706">
        <v>3179.79</v>
      </c>
      <c r="T740" s="706">
        <v>3179.79</v>
      </c>
      <c r="U740" s="706">
        <v>0</v>
      </c>
      <c r="V740" s="706">
        <v>232</v>
      </c>
      <c r="W740" s="706">
        <v>521</v>
      </c>
      <c r="X740" s="706">
        <v>812</v>
      </c>
      <c r="Y740" s="706">
        <v>1191</v>
      </c>
      <c r="Z740" s="706">
        <v>1531</v>
      </c>
      <c r="AA740" s="706">
        <v>1824</v>
      </c>
      <c r="AB740" s="706">
        <v>2059</v>
      </c>
      <c r="AC740" s="706">
        <v>2267</v>
      </c>
      <c r="AD740" s="706">
        <v>2457</v>
      </c>
      <c r="AE740" s="706">
        <v>0</v>
      </c>
      <c r="AF740" s="706">
        <v>0</v>
      </c>
      <c r="AG740" s="706">
        <v>0</v>
      </c>
      <c r="AH740" s="706">
        <v>283</v>
      </c>
      <c r="AI740" s="706">
        <v>283</v>
      </c>
      <c r="AJ740" s="905" t="str">
        <f t="shared" si="74"/>
        <v>G46900</v>
      </c>
      <c r="AK740" s="905" t="str">
        <f t="shared" si="75"/>
        <v>VTES FOURNITURE ATELIER</v>
      </c>
      <c r="AL740" s="905">
        <f>IFERROR(INDEX(G740:R740,1,MATCH(Parametres!$B$3,G$1:R$1,0)-1)*IF(OR(F740="L",F740="S",F740="I"),-1,1),"")</f>
        <v>-22791.25</v>
      </c>
      <c r="AM740" s="905">
        <f t="shared" si="76"/>
        <v>-2647.0999999999985</v>
      </c>
      <c r="AN740" s="905">
        <f>INDEX(G740:R740,1,MATCH(Parametres!$B$3,G$1:R$1,0))*IF(OR(F740="L",F740="S",F740="I"),-1,1)</f>
        <v>-25438.35</v>
      </c>
      <c r="AO740" s="487" t="str">
        <f>+VLOOKUP($AJ740,Data_Validation!$A:$D,1,0)</f>
        <v>G46900</v>
      </c>
      <c r="AP740" s="487" t="str">
        <f>+VLOOKUP($AJ740,Data_Validation!$A:$D,3,0)</f>
        <v>Service</v>
      </c>
      <c r="AQ740" s="487" t="str">
        <f>+VLOOKUP($AJ740,Data_Validation!$A:$D,4,0)</f>
        <v>Sous-traitement</v>
      </c>
      <c r="AR740" s="487" t="s">
        <v>299</v>
      </c>
      <c r="AS740" s="487" t="str">
        <f>+VLOOKUP($AJ740,Data_Validation!$A:$E,5,0)</f>
        <v>Oui</v>
      </c>
      <c r="AT740" s="904" t="str">
        <f t="shared" si="77"/>
        <v>G46900</v>
      </c>
      <c r="AU740" s="488" t="str">
        <f t="shared" si="78"/>
        <v>VTES FOURNITURE ATELIER</v>
      </c>
      <c r="AV740" s="899">
        <f>IFERROR(INDEX(V740:AG740,1,MATCH(Parametres!$B$3,V$1:AG$1,0)-1)*IF(OR(C740="L",C740="S",C740="I"),-1,1),"")</f>
        <v>2059</v>
      </c>
      <c r="AW740" s="899">
        <f t="shared" si="79"/>
        <v>208</v>
      </c>
      <c r="AX740" s="899">
        <f>INDEX(V740:AG740,1,MATCH(Parametres!$B$3,V$1:AG$1,0))*IF(OR(C740="L",C740="S",C740="I"),-1,1)</f>
        <v>2267</v>
      </c>
      <c r="AY740" s="487" t="s">
        <v>337</v>
      </c>
      <c r="AZ740" s="487" t="str">
        <f>+VLOOKUP($AJ740,Data_Validation!$A:$E,5,0)</f>
        <v>Oui</v>
      </c>
    </row>
    <row r="741" spans="1:52" ht="15" customHeight="1">
      <c r="A741" s="706" t="s">
        <v>1148</v>
      </c>
      <c r="B741" s="706">
        <v>2026</v>
      </c>
      <c r="C741" s="706" t="s">
        <v>2488</v>
      </c>
      <c r="D741" s="706" t="s">
        <v>3363</v>
      </c>
      <c r="E741" s="706" t="s">
        <v>1151</v>
      </c>
      <c r="F741" s="706" t="s">
        <v>1149</v>
      </c>
      <c r="G741" s="706">
        <v>0</v>
      </c>
      <c r="H741" s="706">
        <v>0</v>
      </c>
      <c r="I741" s="706">
        <v>0</v>
      </c>
      <c r="J741" s="706">
        <v>0</v>
      </c>
      <c r="K741" s="706">
        <v>7647.4</v>
      </c>
      <c r="L741" s="706">
        <v>19811.75</v>
      </c>
      <c r="M741" s="706">
        <v>29506.6</v>
      </c>
      <c r="N741" s="706">
        <v>32925.629999999997</v>
      </c>
      <c r="O741" s="706">
        <v>43343.23</v>
      </c>
      <c r="P741" s="706">
        <v>0</v>
      </c>
      <c r="Q741" s="706">
        <v>0</v>
      </c>
      <c r="R741" s="706">
        <v>0</v>
      </c>
      <c r="S741" s="706">
        <v>4115.7</v>
      </c>
      <c r="T741" s="706">
        <v>4115.7</v>
      </c>
      <c r="U741" s="706">
        <v>0</v>
      </c>
      <c r="V741" s="706">
        <v>0</v>
      </c>
      <c r="W741" s="706">
        <v>0</v>
      </c>
      <c r="X741" s="706">
        <v>0</v>
      </c>
      <c r="Y741" s="706">
        <v>0</v>
      </c>
      <c r="Z741" s="706">
        <v>16</v>
      </c>
      <c r="AA741" s="706">
        <v>38</v>
      </c>
      <c r="AB741" s="706">
        <v>54</v>
      </c>
      <c r="AC741" s="706">
        <v>63</v>
      </c>
      <c r="AD741" s="706">
        <v>83</v>
      </c>
      <c r="AE741" s="706">
        <v>0</v>
      </c>
      <c r="AF741" s="706">
        <v>0</v>
      </c>
      <c r="AG741" s="706">
        <v>0</v>
      </c>
      <c r="AH741" s="706">
        <v>8</v>
      </c>
      <c r="AI741" s="706">
        <v>8</v>
      </c>
      <c r="AJ741" s="905" t="str">
        <f t="shared" si="74"/>
        <v>G47000</v>
      </c>
      <c r="AK741" s="905" t="str">
        <f t="shared" si="75"/>
        <v>VTES -MO .CLIENT-PEINTURE</v>
      </c>
      <c r="AL741" s="905">
        <f>IFERROR(INDEX(G741:R741,1,MATCH(Parametres!$B$3,G$1:R$1,0)-1)*IF(OR(F741="L",F741="S",F741="I"),-1,1),"")</f>
        <v>-29506.6</v>
      </c>
      <c r="AM741" s="905">
        <f t="shared" si="76"/>
        <v>-3419.0299999999988</v>
      </c>
      <c r="AN741" s="905">
        <f>INDEX(G741:R741,1,MATCH(Parametres!$B$3,G$1:R$1,0))*IF(OR(F741="L",F741="S",F741="I"),-1,1)</f>
        <v>-32925.629999999997</v>
      </c>
      <c r="AO741" s="487" t="str">
        <f>+VLOOKUP($AJ741,Data_Validation!$A:$D,1,0)</f>
        <v>G47000</v>
      </c>
      <c r="AP741" s="487" t="str">
        <f>+VLOOKUP($AJ741,Data_Validation!$A:$D,3,0)</f>
        <v>Carrosserie</v>
      </c>
      <c r="AQ741" s="487" t="str">
        <f>+VLOOKUP($AJ741,Data_Validation!$A:$D,4,0)</f>
        <v>Carrosserie Clients</v>
      </c>
      <c r="AR741" s="487" t="s">
        <v>299</v>
      </c>
      <c r="AS741" s="487" t="str">
        <f>+VLOOKUP($AJ741,Data_Validation!$A:$E,5,0)</f>
        <v>Oui</v>
      </c>
      <c r="AT741" s="904" t="str">
        <f t="shared" si="77"/>
        <v>G47000</v>
      </c>
      <c r="AU741" s="488" t="str">
        <f t="shared" si="78"/>
        <v>VTES -MO .CLIENT-PEINTURE</v>
      </c>
      <c r="AV741" s="899">
        <f>IFERROR(INDEX(V741:AG741,1,MATCH(Parametres!$B$3,V$1:AG$1,0)-1)*IF(OR(C741="L",C741="S",C741="I"),-1,1),"")</f>
        <v>54</v>
      </c>
      <c r="AW741" s="899">
        <f t="shared" si="79"/>
        <v>9</v>
      </c>
      <c r="AX741" s="899">
        <f>INDEX(V741:AG741,1,MATCH(Parametres!$B$3,V$1:AG$1,0))*IF(OR(C741="L",C741="S",C741="I"),-1,1)</f>
        <v>63</v>
      </c>
      <c r="AY741" s="487" t="s">
        <v>337</v>
      </c>
      <c r="AZ741" s="487" t="str">
        <f>+VLOOKUP($AJ741,Data_Validation!$A:$E,5,0)</f>
        <v>Oui</v>
      </c>
    </row>
    <row r="742" spans="1:52" ht="15" customHeight="1">
      <c r="A742" s="706" t="s">
        <v>1148</v>
      </c>
      <c r="B742" s="706">
        <v>2026</v>
      </c>
      <c r="C742" s="706" t="s">
        <v>2490</v>
      </c>
      <c r="D742" s="706" t="s">
        <v>3364</v>
      </c>
      <c r="E742" s="706" t="s">
        <v>1151</v>
      </c>
      <c r="F742" s="706" t="s">
        <v>1149</v>
      </c>
      <c r="G742" s="706">
        <v>0</v>
      </c>
      <c r="H742" s="706">
        <v>0</v>
      </c>
      <c r="I742" s="706">
        <v>0</v>
      </c>
      <c r="J742" s="706">
        <v>0</v>
      </c>
      <c r="K742" s="706">
        <v>10270.44</v>
      </c>
      <c r="L742" s="706">
        <v>23929.94</v>
      </c>
      <c r="M742" s="706">
        <v>33592.980000000003</v>
      </c>
      <c r="N742" s="706">
        <v>40487.51</v>
      </c>
      <c r="O742" s="706">
        <v>46147.64</v>
      </c>
      <c r="P742" s="706">
        <v>0</v>
      </c>
      <c r="Q742" s="706">
        <v>0</v>
      </c>
      <c r="R742" s="706">
        <v>0</v>
      </c>
      <c r="S742" s="706">
        <v>5060.9399999999996</v>
      </c>
      <c r="T742" s="706">
        <v>5060.9399999999996</v>
      </c>
      <c r="U742" s="706">
        <v>0</v>
      </c>
      <c r="V742" s="706">
        <v>0</v>
      </c>
      <c r="W742" s="706">
        <v>0</v>
      </c>
      <c r="X742" s="706">
        <v>0</v>
      </c>
      <c r="Y742" s="706">
        <v>0</v>
      </c>
      <c r="Z742" s="706">
        <v>17</v>
      </c>
      <c r="AA742" s="706">
        <v>36</v>
      </c>
      <c r="AB742" s="706">
        <v>55</v>
      </c>
      <c r="AC742" s="706">
        <v>65</v>
      </c>
      <c r="AD742" s="706">
        <v>75</v>
      </c>
      <c r="AE742" s="706">
        <v>0</v>
      </c>
      <c r="AF742" s="706">
        <v>0</v>
      </c>
      <c r="AG742" s="706">
        <v>0</v>
      </c>
      <c r="AH742" s="706">
        <v>8</v>
      </c>
      <c r="AI742" s="706">
        <v>8</v>
      </c>
      <c r="AJ742" s="905" t="str">
        <f t="shared" si="74"/>
        <v>G47005</v>
      </c>
      <c r="AK742" s="905" t="str">
        <f t="shared" si="75"/>
        <v>VTES -M.O CONCES. PEINTUR</v>
      </c>
      <c r="AL742" s="905">
        <f>IFERROR(INDEX(G742:R742,1,MATCH(Parametres!$B$3,G$1:R$1,0)-1)*IF(OR(F742="L",F742="S",F742="I"),-1,1),"")</f>
        <v>-33592.980000000003</v>
      </c>
      <c r="AM742" s="905">
        <f t="shared" si="76"/>
        <v>-6894.5299999999988</v>
      </c>
      <c r="AN742" s="905">
        <f>INDEX(G742:R742,1,MATCH(Parametres!$B$3,G$1:R$1,0))*IF(OR(F742="L",F742="S",F742="I"),-1,1)</f>
        <v>-40487.51</v>
      </c>
      <c r="AO742" s="487" t="str">
        <f>+VLOOKUP($AJ742,Data_Validation!$A:$D,1,0)</f>
        <v>G47005</v>
      </c>
      <c r="AP742" s="487" t="str">
        <f>+VLOOKUP($AJ742,Data_Validation!$A:$D,3,0)</f>
        <v>Carrosserie</v>
      </c>
      <c r="AQ742" s="487" t="str">
        <f>+VLOOKUP($AJ742,Data_Validation!$A:$D,4,0)</f>
        <v>Carrosserie Concessions</v>
      </c>
      <c r="AR742" s="487" t="s">
        <v>299</v>
      </c>
      <c r="AS742" s="487" t="str">
        <f>+VLOOKUP($AJ742,Data_Validation!$A:$E,5,0)</f>
        <v>Oui</v>
      </c>
      <c r="AT742" s="904" t="str">
        <f t="shared" si="77"/>
        <v>G47005</v>
      </c>
      <c r="AU742" s="488" t="str">
        <f t="shared" si="78"/>
        <v>VTES -M.O CONCES. PEINTUR</v>
      </c>
      <c r="AV742" s="899">
        <f>IFERROR(INDEX(V742:AG742,1,MATCH(Parametres!$B$3,V$1:AG$1,0)-1)*IF(OR(C742="L",C742="S",C742="I"),-1,1),"")</f>
        <v>55</v>
      </c>
      <c r="AW742" s="899">
        <f t="shared" si="79"/>
        <v>10</v>
      </c>
      <c r="AX742" s="899">
        <f>INDEX(V742:AG742,1,MATCH(Parametres!$B$3,V$1:AG$1,0))*IF(OR(C742="L",C742="S",C742="I"),-1,1)</f>
        <v>65</v>
      </c>
      <c r="AY742" s="487" t="s">
        <v>337</v>
      </c>
      <c r="AZ742" s="487" t="str">
        <f>+VLOOKUP($AJ742,Data_Validation!$A:$E,5,0)</f>
        <v>Oui</v>
      </c>
    </row>
    <row r="743" spans="1:52" ht="15" customHeight="1">
      <c r="A743" s="706" t="s">
        <v>1148</v>
      </c>
      <c r="B743" s="706">
        <v>2026</v>
      </c>
      <c r="C743" s="706" t="s">
        <v>2492</v>
      </c>
      <c r="D743" s="706" t="s">
        <v>2493</v>
      </c>
      <c r="E743" s="706" t="s">
        <v>1151</v>
      </c>
      <c r="F743" s="706" t="s">
        <v>1149</v>
      </c>
      <c r="G743" s="706">
        <v>56064.89</v>
      </c>
      <c r="H743" s="706">
        <v>121587.01</v>
      </c>
      <c r="I743" s="706">
        <v>174836.25</v>
      </c>
      <c r="J743" s="706">
        <v>279197.3</v>
      </c>
      <c r="K743" s="706">
        <v>298896.17</v>
      </c>
      <c r="L743" s="706">
        <v>317588.84999999998</v>
      </c>
      <c r="M743" s="706">
        <v>340882.88</v>
      </c>
      <c r="N743" s="706">
        <v>374868.99</v>
      </c>
      <c r="O743" s="706">
        <v>395040.8</v>
      </c>
      <c r="P743" s="706">
        <v>0</v>
      </c>
      <c r="Q743" s="706">
        <v>0</v>
      </c>
      <c r="R743" s="706">
        <v>0</v>
      </c>
      <c r="S743" s="706">
        <v>46858.62</v>
      </c>
      <c r="T743" s="706">
        <v>46858.62</v>
      </c>
      <c r="U743" s="706">
        <v>0</v>
      </c>
      <c r="V743" s="706">
        <v>45</v>
      </c>
      <c r="W743" s="706">
        <v>95</v>
      </c>
      <c r="X743" s="706">
        <v>146</v>
      </c>
      <c r="Y743" s="706">
        <v>210</v>
      </c>
      <c r="Z743" s="706">
        <v>237</v>
      </c>
      <c r="AA743" s="706">
        <v>266</v>
      </c>
      <c r="AB743" s="706">
        <v>293</v>
      </c>
      <c r="AC743" s="706">
        <v>315</v>
      </c>
      <c r="AD743" s="706">
        <v>344</v>
      </c>
      <c r="AE743" s="706">
        <v>0</v>
      </c>
      <c r="AF743" s="706">
        <v>0</v>
      </c>
      <c r="AG743" s="706">
        <v>0</v>
      </c>
      <c r="AH743" s="706">
        <v>39</v>
      </c>
      <c r="AI743" s="706">
        <v>39</v>
      </c>
      <c r="AJ743" s="905" t="str">
        <f t="shared" si="74"/>
        <v>G47100</v>
      </c>
      <c r="AK743" s="905" t="str">
        <f t="shared" si="75"/>
        <v>VTES-M.D. CLIENT CARROSS.</v>
      </c>
      <c r="AL743" s="905">
        <f>IFERROR(INDEX(G743:R743,1,MATCH(Parametres!$B$3,G$1:R$1,0)-1)*IF(OR(F743="L",F743="S",F743="I"),-1,1),"")</f>
        <v>-340882.88</v>
      </c>
      <c r="AM743" s="905">
        <f t="shared" si="76"/>
        <v>-33986.109999999986</v>
      </c>
      <c r="AN743" s="905">
        <f>INDEX(G743:R743,1,MATCH(Parametres!$B$3,G$1:R$1,0))*IF(OR(F743="L",F743="S",F743="I"),-1,1)</f>
        <v>-374868.99</v>
      </c>
      <c r="AO743" s="487" t="str">
        <f>+VLOOKUP($AJ743,Data_Validation!$A:$D,1,0)</f>
        <v>G47100</v>
      </c>
      <c r="AP743" s="487" t="str">
        <f>+VLOOKUP($AJ743,Data_Validation!$A:$D,3,0)</f>
        <v>Carrosserie</v>
      </c>
      <c r="AQ743" s="487" t="str">
        <f>+VLOOKUP($AJ743,Data_Validation!$A:$D,4,0)</f>
        <v>Carrosserie Clients</v>
      </c>
      <c r="AR743" s="487" t="s">
        <v>299</v>
      </c>
      <c r="AS743" s="487" t="str">
        <f>+VLOOKUP($AJ743,Data_Validation!$A:$E,5,0)</f>
        <v>Oui</v>
      </c>
      <c r="AT743" s="904" t="str">
        <f t="shared" si="77"/>
        <v>G47100</v>
      </c>
      <c r="AU743" s="488" t="str">
        <f t="shared" si="78"/>
        <v>VTES-M.D. CLIENT CARROSS.</v>
      </c>
      <c r="AV743" s="899">
        <f>IFERROR(INDEX(V743:AG743,1,MATCH(Parametres!$B$3,V$1:AG$1,0)-1)*IF(OR(C743="L",C743="S",C743="I"),-1,1),"")</f>
        <v>293</v>
      </c>
      <c r="AW743" s="899">
        <f t="shared" si="79"/>
        <v>22</v>
      </c>
      <c r="AX743" s="899">
        <f>INDEX(V743:AG743,1,MATCH(Parametres!$B$3,V$1:AG$1,0))*IF(OR(C743="L",C743="S",C743="I"),-1,1)</f>
        <v>315</v>
      </c>
      <c r="AY743" s="487" t="s">
        <v>337</v>
      </c>
      <c r="AZ743" s="487" t="str">
        <f>+VLOOKUP($AJ743,Data_Validation!$A:$E,5,0)</f>
        <v>Oui</v>
      </c>
    </row>
    <row r="744" spans="1:52" ht="15" customHeight="1">
      <c r="A744" s="706" t="s">
        <v>1148</v>
      </c>
      <c r="B744" s="706">
        <v>2026</v>
      </c>
      <c r="C744" s="706" t="s">
        <v>2494</v>
      </c>
      <c r="D744" s="706" t="s">
        <v>3365</v>
      </c>
      <c r="E744" s="706" t="s">
        <v>1151</v>
      </c>
      <c r="F744" s="706" t="s">
        <v>1149</v>
      </c>
      <c r="G744" s="706">
        <v>0</v>
      </c>
      <c r="H744" s="706">
        <v>0</v>
      </c>
      <c r="I744" s="706">
        <v>0</v>
      </c>
      <c r="J744" s="706">
        <v>0</v>
      </c>
      <c r="K744" s="706">
        <v>20289.45</v>
      </c>
      <c r="L744" s="706">
        <v>50705.96</v>
      </c>
      <c r="M744" s="706">
        <v>74569.38</v>
      </c>
      <c r="N744" s="706">
        <v>92193.01</v>
      </c>
      <c r="O744" s="706">
        <v>104589.62</v>
      </c>
      <c r="P744" s="706">
        <v>0</v>
      </c>
      <c r="Q744" s="706">
        <v>0</v>
      </c>
      <c r="R744" s="706">
        <v>0</v>
      </c>
      <c r="S744" s="706">
        <v>11524.13</v>
      </c>
      <c r="T744" s="706">
        <v>11524.13</v>
      </c>
      <c r="U744" s="706">
        <v>0</v>
      </c>
      <c r="V744" s="706">
        <v>0</v>
      </c>
      <c r="W744" s="706">
        <v>0</v>
      </c>
      <c r="X744" s="706">
        <v>0</v>
      </c>
      <c r="Y744" s="706">
        <v>0</v>
      </c>
      <c r="Z744" s="706">
        <v>19</v>
      </c>
      <c r="AA744" s="706">
        <v>43</v>
      </c>
      <c r="AB744" s="706">
        <v>64</v>
      </c>
      <c r="AC744" s="706">
        <v>77</v>
      </c>
      <c r="AD744" s="706">
        <v>87</v>
      </c>
      <c r="AE744" s="706">
        <v>0</v>
      </c>
      <c r="AF744" s="706">
        <v>0</v>
      </c>
      <c r="AG744" s="706">
        <v>0</v>
      </c>
      <c r="AH744" s="706">
        <v>10</v>
      </c>
      <c r="AI744" s="706">
        <v>10</v>
      </c>
      <c r="AJ744" s="905" t="str">
        <f t="shared" si="74"/>
        <v>G47105</v>
      </c>
      <c r="AK744" s="905" t="str">
        <f t="shared" si="75"/>
        <v>VTES -M.O CONCES. -BODY</v>
      </c>
      <c r="AL744" s="905">
        <f>IFERROR(INDEX(G744:R744,1,MATCH(Parametres!$B$3,G$1:R$1,0)-1)*IF(OR(F744="L",F744="S",F744="I"),-1,1),"")</f>
        <v>-74569.38</v>
      </c>
      <c r="AM744" s="905">
        <f t="shared" si="76"/>
        <v>-17623.62999999999</v>
      </c>
      <c r="AN744" s="905">
        <f>INDEX(G744:R744,1,MATCH(Parametres!$B$3,G$1:R$1,0))*IF(OR(F744="L",F744="S",F744="I"),-1,1)</f>
        <v>-92193.01</v>
      </c>
      <c r="AO744" s="487" t="str">
        <f>+VLOOKUP($AJ744,Data_Validation!$A:$D,1,0)</f>
        <v>G47105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G47105</v>
      </c>
      <c r="AU744" s="488" t="str">
        <f t="shared" si="78"/>
        <v>VTES -M.O CONCES. -BODY</v>
      </c>
      <c r="AV744" s="899">
        <f>IFERROR(INDEX(V744:AG744,1,MATCH(Parametres!$B$3,V$1:AG$1,0)-1)*IF(OR(C744="L",C744="S",C744="I"),-1,1),"")</f>
        <v>64</v>
      </c>
      <c r="AW744" s="899">
        <f t="shared" si="79"/>
        <v>13</v>
      </c>
      <c r="AX744" s="899">
        <f>INDEX(V744:AG744,1,MATCH(Parametres!$B$3,V$1:AG$1,0))*IF(OR(C744="L",C744="S",C744="I"),-1,1)</f>
        <v>77</v>
      </c>
      <c r="AY744" s="487" t="s">
        <v>337</v>
      </c>
      <c r="AZ744" s="487" t="str">
        <f>+VLOOKUP($AJ744,Data_Validation!$A:$E,5,0)</f>
        <v>Oui</v>
      </c>
    </row>
    <row r="745" spans="1:52" ht="15" customHeight="1">
      <c r="A745" s="706" t="s">
        <v>1148</v>
      </c>
      <c r="B745" s="706">
        <v>2026</v>
      </c>
      <c r="C745" s="706" t="s">
        <v>2496</v>
      </c>
      <c r="D745" s="706" t="s">
        <v>3366</v>
      </c>
      <c r="E745" s="706" t="s">
        <v>1151</v>
      </c>
      <c r="F745" s="706" t="s">
        <v>1149</v>
      </c>
      <c r="G745" s="706">
        <v>0</v>
      </c>
      <c r="H745" s="706">
        <v>0</v>
      </c>
      <c r="I745" s="706">
        <v>0</v>
      </c>
      <c r="J745" s="706">
        <v>0</v>
      </c>
      <c r="K745" s="706">
        <v>845.5</v>
      </c>
      <c r="L745" s="706">
        <v>4409.1000000000004</v>
      </c>
      <c r="M745" s="706">
        <v>7096.43</v>
      </c>
      <c r="N745" s="706">
        <v>7224.43</v>
      </c>
      <c r="O745" s="706">
        <v>7717.93</v>
      </c>
      <c r="P745" s="706">
        <v>0</v>
      </c>
      <c r="Q745" s="706">
        <v>0</v>
      </c>
      <c r="R745" s="706">
        <v>0</v>
      </c>
      <c r="S745" s="706">
        <v>903.05</v>
      </c>
      <c r="T745" s="706">
        <v>903.05</v>
      </c>
      <c r="U745" s="706">
        <v>0</v>
      </c>
      <c r="V745" s="706">
        <v>0</v>
      </c>
      <c r="W745" s="706">
        <v>0</v>
      </c>
      <c r="X745" s="706">
        <v>0</v>
      </c>
      <c r="Y745" s="706">
        <v>0</v>
      </c>
      <c r="Z745" s="706">
        <v>5</v>
      </c>
      <c r="AA745" s="706">
        <v>24</v>
      </c>
      <c r="AB745" s="706">
        <v>42</v>
      </c>
      <c r="AC745" s="706">
        <v>43</v>
      </c>
      <c r="AD745" s="706">
        <v>47</v>
      </c>
      <c r="AE745" s="706">
        <v>0</v>
      </c>
      <c r="AF745" s="706">
        <v>0</v>
      </c>
      <c r="AG745" s="706">
        <v>0</v>
      </c>
      <c r="AH745" s="706">
        <v>5</v>
      </c>
      <c r="AI745" s="706">
        <v>5</v>
      </c>
      <c r="AJ745" s="905" t="str">
        <f t="shared" si="74"/>
        <v>G47110</v>
      </c>
      <c r="AK745" s="905" t="str">
        <f t="shared" si="75"/>
        <v>VTES - M.O MEC CLT BODY</v>
      </c>
      <c r="AL745" s="905">
        <f>IFERROR(INDEX(G745:R745,1,MATCH(Parametres!$B$3,G$1:R$1,0)-1)*IF(OR(F745="L",F745="S",F745="I"),-1,1),"")</f>
        <v>-7096.43</v>
      </c>
      <c r="AM745" s="905">
        <f t="shared" si="76"/>
        <v>-128</v>
      </c>
      <c r="AN745" s="905">
        <f>INDEX(G745:R745,1,MATCH(Parametres!$B$3,G$1:R$1,0))*IF(OR(F745="L",F745="S",F745="I"),-1,1)</f>
        <v>-7224.43</v>
      </c>
      <c r="AO745" s="487" t="str">
        <f>+VLOOKUP($AJ745,Data_Validation!$A:$D,1,0)</f>
        <v>G47110</v>
      </c>
      <c r="AP745" s="487" t="str">
        <f>+VLOOKUP($AJ745,Data_Validation!$A:$D,3,0)</f>
        <v>Carrosserie</v>
      </c>
      <c r="AQ745" s="487" t="str">
        <f>+VLOOKUP($AJ745,Data_Validation!$A:$D,4,0)</f>
        <v>Carrosserie Clients</v>
      </c>
      <c r="AR745" s="487" t="s">
        <v>299</v>
      </c>
      <c r="AS745" s="487" t="str">
        <f>+VLOOKUP($AJ745,Data_Validation!$A:$E,5,0)</f>
        <v>Oui</v>
      </c>
      <c r="AT745" s="904" t="str">
        <f t="shared" si="77"/>
        <v>G47110</v>
      </c>
      <c r="AU745" s="488" t="str">
        <f t="shared" si="78"/>
        <v>VTES - M.O MEC CLT BODY</v>
      </c>
      <c r="AV745" s="899">
        <f>IFERROR(INDEX(V745:AG745,1,MATCH(Parametres!$B$3,V$1:AG$1,0)-1)*IF(OR(C745="L",C745="S",C745="I"),-1,1),"")</f>
        <v>42</v>
      </c>
      <c r="AW745" s="899">
        <f t="shared" si="79"/>
        <v>1</v>
      </c>
      <c r="AX745" s="899">
        <f>INDEX(V745:AG745,1,MATCH(Parametres!$B$3,V$1:AG$1,0))*IF(OR(C745="L",C745="S",C745="I"),-1,1)</f>
        <v>43</v>
      </c>
      <c r="AY745" s="487" t="s">
        <v>337</v>
      </c>
      <c r="AZ745" s="487" t="str">
        <f>+VLOOKUP($AJ745,Data_Validation!$A:$E,5,0)</f>
        <v>Oui</v>
      </c>
    </row>
    <row r="746" spans="1:52" ht="15" customHeight="1">
      <c r="A746" s="706" t="s">
        <v>1148</v>
      </c>
      <c r="B746" s="706">
        <v>2026</v>
      </c>
      <c r="C746" s="706" t="s">
        <v>2498</v>
      </c>
      <c r="D746" s="706" t="s">
        <v>3367</v>
      </c>
      <c r="E746" s="706" t="s">
        <v>1151</v>
      </c>
      <c r="F746" s="706" t="s">
        <v>1149</v>
      </c>
      <c r="G746" s="706">
        <v>0</v>
      </c>
      <c r="H746" s="706">
        <v>0</v>
      </c>
      <c r="I746" s="706">
        <v>0</v>
      </c>
      <c r="J746" s="706">
        <v>0</v>
      </c>
      <c r="K746" s="706">
        <v>386</v>
      </c>
      <c r="L746" s="706">
        <v>386</v>
      </c>
      <c r="M746" s="706">
        <v>386</v>
      </c>
      <c r="N746" s="706">
        <v>386</v>
      </c>
      <c r="O746" s="706">
        <v>386</v>
      </c>
      <c r="P746" s="706">
        <v>0</v>
      </c>
      <c r="Q746" s="706">
        <v>0</v>
      </c>
      <c r="R746" s="706">
        <v>0</v>
      </c>
      <c r="S746" s="706">
        <v>48.25</v>
      </c>
      <c r="T746" s="706">
        <v>48.25</v>
      </c>
      <c r="U746" s="706">
        <v>0</v>
      </c>
      <c r="V746" s="706">
        <v>0</v>
      </c>
      <c r="W746" s="706">
        <v>0</v>
      </c>
      <c r="X746" s="706">
        <v>0</v>
      </c>
      <c r="Y746" s="706">
        <v>0</v>
      </c>
      <c r="Z746" s="706">
        <v>1</v>
      </c>
      <c r="AA746" s="706">
        <v>1</v>
      </c>
      <c r="AB746" s="706">
        <v>1</v>
      </c>
      <c r="AC746" s="706">
        <v>1</v>
      </c>
      <c r="AD746" s="706">
        <v>1</v>
      </c>
      <c r="AE746" s="706">
        <v>0</v>
      </c>
      <c r="AF746" s="706">
        <v>0</v>
      </c>
      <c r="AG746" s="706">
        <v>0</v>
      </c>
      <c r="AH746" s="706">
        <v>0</v>
      </c>
      <c r="AI746" s="706">
        <v>0</v>
      </c>
      <c r="AJ746" s="905" t="str">
        <f t="shared" si="74"/>
        <v>G47115</v>
      </c>
      <c r="AK746" s="905" t="str">
        <f t="shared" si="75"/>
        <v>VTES -M.O CONCES MEC-BODY</v>
      </c>
      <c r="AL746" s="905">
        <f>IFERROR(INDEX(G746:R746,1,MATCH(Parametres!$B$3,G$1:R$1,0)-1)*IF(OR(F746="L",F746="S",F746="I"),-1,1),"")</f>
        <v>-386</v>
      </c>
      <c r="AM746" s="905">
        <f t="shared" si="76"/>
        <v>0</v>
      </c>
      <c r="AN746" s="905">
        <f>INDEX(G746:R746,1,MATCH(Parametres!$B$3,G$1:R$1,0))*IF(OR(F746="L",F746="S",F746="I"),-1,1)</f>
        <v>-386</v>
      </c>
      <c r="AO746" s="487" t="str">
        <f>+VLOOKUP($AJ746,Data_Validation!$A:$D,1,0)</f>
        <v>G47115</v>
      </c>
      <c r="AP746" s="487" t="str">
        <f>+VLOOKUP($AJ746,Data_Validation!$A:$D,3,0)</f>
        <v>Carrosserie</v>
      </c>
      <c r="AQ746" s="487" t="str">
        <f>+VLOOKUP($AJ746,Data_Validation!$A:$D,4,0)</f>
        <v>Carrosserie Concessions</v>
      </c>
      <c r="AR746" s="487" t="s">
        <v>299</v>
      </c>
      <c r="AS746" s="487" t="str">
        <f>+VLOOKUP($AJ746,Data_Validation!$A:$E,5,0)</f>
        <v>Oui</v>
      </c>
      <c r="AT746" s="904" t="str">
        <f t="shared" si="77"/>
        <v>G47115</v>
      </c>
      <c r="AU746" s="488" t="str">
        <f t="shared" si="78"/>
        <v>VTES -M.O CONCES MEC-BODY</v>
      </c>
      <c r="AV746" s="899">
        <f>IFERROR(INDEX(V746:AG746,1,MATCH(Parametres!$B$3,V$1:AG$1,0)-1)*IF(OR(C746="L",C746="S",C746="I"),-1,1),"")</f>
        <v>1</v>
      </c>
      <c r="AW746" s="899">
        <f t="shared" si="79"/>
        <v>0</v>
      </c>
      <c r="AX746" s="899">
        <f>INDEX(V746:AG746,1,MATCH(Parametres!$B$3,V$1:AG$1,0))*IF(OR(C746="L",C746="S",C746="I"),-1,1)</f>
        <v>1</v>
      </c>
      <c r="AY746" s="487" t="s">
        <v>337</v>
      </c>
      <c r="AZ746" s="487" t="str">
        <f>+VLOOKUP($AJ746,Data_Validation!$A:$E,5,0)</f>
        <v>Oui</v>
      </c>
    </row>
    <row r="747" spans="1:52" ht="15" customHeight="1">
      <c r="A747" s="706" t="s">
        <v>1148</v>
      </c>
      <c r="B747" s="706">
        <v>2026</v>
      </c>
      <c r="C747" s="706" t="s">
        <v>2500</v>
      </c>
      <c r="D747" s="706" t="s">
        <v>2501</v>
      </c>
      <c r="E747" s="706" t="s">
        <v>333</v>
      </c>
      <c r="F747" s="706" t="s">
        <v>1149</v>
      </c>
      <c r="G747" s="706">
        <v>0</v>
      </c>
      <c r="H747" s="706">
        <v>0</v>
      </c>
      <c r="I747" s="706">
        <v>0</v>
      </c>
      <c r="J747" s="706">
        <v>0</v>
      </c>
      <c r="K747" s="706">
        <v>0</v>
      </c>
      <c r="L747" s="706">
        <v>-4238.93</v>
      </c>
      <c r="M747" s="706">
        <v>-9167.43</v>
      </c>
      <c r="N747" s="706">
        <v>-13864.6</v>
      </c>
      <c r="O747" s="706">
        <v>-15846.2</v>
      </c>
      <c r="P747" s="706">
        <v>0</v>
      </c>
      <c r="Q747" s="706">
        <v>0</v>
      </c>
      <c r="R747" s="706">
        <v>0</v>
      </c>
      <c r="S747" s="706">
        <v>-1733.08</v>
      </c>
      <c r="T747" s="706">
        <v>-1733.08</v>
      </c>
      <c r="U747" s="706">
        <v>0</v>
      </c>
      <c r="V747" s="706">
        <v>0</v>
      </c>
      <c r="W747" s="706">
        <v>0</v>
      </c>
      <c r="X747" s="706">
        <v>0</v>
      </c>
      <c r="Y747" s="706">
        <v>0</v>
      </c>
      <c r="Z747" s="706">
        <v>0</v>
      </c>
      <c r="AA747" s="706">
        <v>-1</v>
      </c>
      <c r="AB747" s="706">
        <v>-2</v>
      </c>
      <c r="AC747" s="706">
        <v>-3</v>
      </c>
      <c r="AD747" s="706">
        <v>-4</v>
      </c>
      <c r="AE747" s="706">
        <v>0</v>
      </c>
      <c r="AF747" s="706">
        <v>0</v>
      </c>
      <c r="AG747" s="706">
        <v>0</v>
      </c>
      <c r="AH747" s="706">
        <v>0</v>
      </c>
      <c r="AI747" s="706">
        <v>0</v>
      </c>
      <c r="AJ747" s="905" t="str">
        <f t="shared" si="74"/>
        <v>G47125</v>
      </c>
      <c r="AK747" s="905" t="str">
        <f t="shared" si="75"/>
        <v>RISTOURNE M.O CONC.BODY</v>
      </c>
      <c r="AL747" s="905">
        <f>IFERROR(INDEX(G747:R747,1,MATCH(Parametres!$B$3,G$1:R$1,0)-1)*IF(OR(F747="L",F747="S",F747="I"),-1,1),"")</f>
        <v>9167.43</v>
      </c>
      <c r="AM747" s="905">
        <f t="shared" si="76"/>
        <v>4697.17</v>
      </c>
      <c r="AN747" s="905">
        <f>INDEX(G747:R747,1,MATCH(Parametres!$B$3,G$1:R$1,0))*IF(OR(F747="L",F747="S",F747="I"),-1,1)</f>
        <v>13864.6</v>
      </c>
      <c r="AO747" s="487" t="str">
        <f>+VLOOKUP($AJ747,Data_Validation!$A:$D,1,0)</f>
        <v>G47125</v>
      </c>
      <c r="AP747" s="487" t="str">
        <f>+VLOOKUP($AJ747,Data_Validation!$A:$D,3,0)</f>
        <v>Carrosserie</v>
      </c>
      <c r="AQ747" s="487" t="str">
        <f>+VLOOKUP($AJ747,Data_Validation!$A:$D,4,0)</f>
        <v>Carrosserie Concessions</v>
      </c>
      <c r="AR747" s="487" t="s">
        <v>299</v>
      </c>
      <c r="AS747" s="487" t="str">
        <f>+VLOOKUP($AJ747,Data_Validation!$A:$E,5,0)</f>
        <v>Oui</v>
      </c>
      <c r="AT747" s="904" t="str">
        <f t="shared" si="77"/>
        <v>G47125</v>
      </c>
      <c r="AU747" s="488" t="str">
        <f t="shared" si="78"/>
        <v>RISTOURNE M.O CONC.BODY</v>
      </c>
      <c r="AV747" s="899">
        <f>IFERROR(INDEX(V747:AG747,1,MATCH(Parametres!$B$3,V$1:AG$1,0)-1)*IF(OR(C747="L",C747="S",C747="I"),-1,1),"")</f>
        <v>-2</v>
      </c>
      <c r="AW747" s="899">
        <f t="shared" si="79"/>
        <v>-1</v>
      </c>
      <c r="AX747" s="899">
        <f>INDEX(V747:AG747,1,MATCH(Parametres!$B$3,V$1:AG$1,0))*IF(OR(C747="L",C747="S",C747="I"),-1,1)</f>
        <v>-3</v>
      </c>
      <c r="AY747" s="487" t="s">
        <v>337</v>
      </c>
      <c r="AZ747" s="487" t="str">
        <f>+VLOOKUP($AJ747,Data_Validation!$A:$E,5,0)</f>
        <v>Oui</v>
      </c>
    </row>
    <row r="748" spans="1:52" ht="15" customHeight="1">
      <c r="A748" s="706" t="s">
        <v>1148</v>
      </c>
      <c r="B748" s="706">
        <v>2026</v>
      </c>
      <c r="C748" s="706" t="s">
        <v>2502</v>
      </c>
      <c r="D748" s="706" t="s">
        <v>2503</v>
      </c>
      <c r="E748" s="706" t="s">
        <v>1151</v>
      </c>
      <c r="F748" s="706" t="s">
        <v>1149</v>
      </c>
      <c r="G748" s="706">
        <v>176.85</v>
      </c>
      <c r="H748" s="706">
        <v>176.85</v>
      </c>
      <c r="I748" s="706">
        <v>176.85</v>
      </c>
      <c r="J748" s="706">
        <v>559.39</v>
      </c>
      <c r="K748" s="706">
        <v>559.39</v>
      </c>
      <c r="L748" s="706">
        <v>559.39</v>
      </c>
      <c r="M748" s="706">
        <v>559.39</v>
      </c>
      <c r="N748" s="706">
        <v>1598.72</v>
      </c>
      <c r="O748" s="706">
        <v>1598.72</v>
      </c>
      <c r="P748" s="706">
        <v>0</v>
      </c>
      <c r="Q748" s="706">
        <v>0</v>
      </c>
      <c r="R748" s="706">
        <v>0</v>
      </c>
      <c r="S748" s="706">
        <v>199.84</v>
      </c>
      <c r="T748" s="706">
        <v>199.84</v>
      </c>
      <c r="U748" s="706">
        <v>0</v>
      </c>
      <c r="V748" s="706">
        <v>1</v>
      </c>
      <c r="W748" s="706">
        <v>1</v>
      </c>
      <c r="X748" s="706">
        <v>1</v>
      </c>
      <c r="Y748" s="706">
        <v>2</v>
      </c>
      <c r="Z748" s="706">
        <v>2</v>
      </c>
      <c r="AA748" s="706">
        <v>2</v>
      </c>
      <c r="AB748" s="706">
        <v>2</v>
      </c>
      <c r="AC748" s="706">
        <v>3</v>
      </c>
      <c r="AD748" s="706">
        <v>3</v>
      </c>
      <c r="AE748" s="706">
        <v>0</v>
      </c>
      <c r="AF748" s="706">
        <v>0</v>
      </c>
      <c r="AG748" s="706">
        <v>0</v>
      </c>
      <c r="AH748" s="706">
        <v>0</v>
      </c>
      <c r="AI748" s="706">
        <v>0</v>
      </c>
      <c r="AJ748" s="905" t="str">
        <f t="shared" si="74"/>
        <v>G47200</v>
      </c>
      <c r="AK748" s="905" t="str">
        <f t="shared" si="75"/>
        <v>VTES-M.D. CARROS.GARANTIE</v>
      </c>
      <c r="AL748" s="905">
        <f>IFERROR(INDEX(G748:R748,1,MATCH(Parametres!$B$3,G$1:R$1,0)-1)*IF(OR(F748="L",F748="S",F748="I"),-1,1),"")</f>
        <v>-559.39</v>
      </c>
      <c r="AM748" s="905">
        <f t="shared" si="76"/>
        <v>-1039.33</v>
      </c>
      <c r="AN748" s="905">
        <f>INDEX(G748:R748,1,MATCH(Parametres!$B$3,G$1:R$1,0))*IF(OR(F748="L",F748="S",F748="I"),-1,1)</f>
        <v>-1598.72</v>
      </c>
      <c r="AO748" s="487" t="str">
        <f>+VLOOKUP($AJ748,Data_Validation!$A:$D,1,0)</f>
        <v>G47200</v>
      </c>
      <c r="AP748" s="487" t="str">
        <f>+VLOOKUP($AJ748,Data_Validation!$A:$D,3,0)</f>
        <v>Carrosserie</v>
      </c>
      <c r="AQ748" s="487" t="str">
        <f>+VLOOKUP($AJ748,Data_Validation!$A:$D,4,0)</f>
        <v>Carrosserie Interne</v>
      </c>
      <c r="AR748" s="487" t="s">
        <v>299</v>
      </c>
      <c r="AS748" s="487" t="str">
        <f>+VLOOKUP($AJ748,Data_Validation!$A:$E,5,0)</f>
        <v>Oui</v>
      </c>
      <c r="AT748" s="904" t="str">
        <f t="shared" si="77"/>
        <v>G47200</v>
      </c>
      <c r="AU748" s="488" t="str">
        <f t="shared" si="78"/>
        <v>VTES-M.D. CARROS.GARANTIE</v>
      </c>
      <c r="AV748" s="899">
        <f>IFERROR(INDEX(V748:AG748,1,MATCH(Parametres!$B$3,V$1:AG$1,0)-1)*IF(OR(C748="L",C748="S",C748="I"),-1,1),"")</f>
        <v>2</v>
      </c>
      <c r="AW748" s="899">
        <f t="shared" si="79"/>
        <v>1</v>
      </c>
      <c r="AX748" s="899">
        <f>INDEX(V748:AG748,1,MATCH(Parametres!$B$3,V$1:AG$1,0))*IF(OR(C748="L",C748="S",C748="I"),-1,1)</f>
        <v>3</v>
      </c>
      <c r="AY748" s="487" t="s">
        <v>337</v>
      </c>
      <c r="AZ748" s="487" t="str">
        <f>+VLOOKUP($AJ748,Data_Validation!$A:$E,5,0)</f>
        <v>Oui</v>
      </c>
    </row>
    <row r="749" spans="1:52" ht="15" customHeight="1">
      <c r="A749" s="706" t="s">
        <v>1148</v>
      </c>
      <c r="B749" s="706">
        <v>2026</v>
      </c>
      <c r="C749" s="706" t="s">
        <v>2504</v>
      </c>
      <c r="D749" s="706" t="s">
        <v>3368</v>
      </c>
      <c r="E749" s="706" t="s">
        <v>1151</v>
      </c>
      <c r="F749" s="706" t="s">
        <v>1149</v>
      </c>
      <c r="G749" s="706">
        <v>3884</v>
      </c>
      <c r="H749" s="706">
        <v>11349.2</v>
      </c>
      <c r="I749" s="706">
        <v>15516.7</v>
      </c>
      <c r="J749" s="706">
        <v>19788.2</v>
      </c>
      <c r="K749" s="706">
        <v>23844.5</v>
      </c>
      <c r="L749" s="706">
        <v>27952.25</v>
      </c>
      <c r="M749" s="706">
        <v>32587.84</v>
      </c>
      <c r="N749" s="706">
        <v>36754.839999999997</v>
      </c>
      <c r="O749" s="706">
        <v>39613.339999999997</v>
      </c>
      <c r="P749" s="706">
        <v>0</v>
      </c>
      <c r="Q749" s="706">
        <v>0</v>
      </c>
      <c r="R749" s="706">
        <v>0</v>
      </c>
      <c r="S749" s="706">
        <v>4594.3599999999997</v>
      </c>
      <c r="T749" s="706">
        <v>4594.3599999999997</v>
      </c>
      <c r="U749" s="706">
        <v>0</v>
      </c>
      <c r="V749" s="706">
        <v>4</v>
      </c>
      <c r="W749" s="706">
        <v>15</v>
      </c>
      <c r="X749" s="706">
        <v>27</v>
      </c>
      <c r="Y749" s="706">
        <v>33</v>
      </c>
      <c r="Z749" s="706">
        <v>40</v>
      </c>
      <c r="AA749" s="706">
        <v>48</v>
      </c>
      <c r="AB749" s="706">
        <v>56</v>
      </c>
      <c r="AC749" s="706">
        <v>63</v>
      </c>
      <c r="AD749" s="706">
        <v>74</v>
      </c>
      <c r="AE749" s="706">
        <v>0</v>
      </c>
      <c r="AF749" s="706">
        <v>0</v>
      </c>
      <c r="AG749" s="706">
        <v>0</v>
      </c>
      <c r="AH749" s="706">
        <v>8</v>
      </c>
      <c r="AI749" s="706">
        <v>8</v>
      </c>
      <c r="AJ749" s="905" t="str">
        <f t="shared" si="74"/>
        <v>G47300</v>
      </c>
      <c r="AK749" s="905" t="str">
        <f t="shared" si="75"/>
        <v>VTES -M.D. CARROS.INTERNE</v>
      </c>
      <c r="AL749" s="905">
        <f>IFERROR(INDEX(G749:R749,1,MATCH(Parametres!$B$3,G$1:R$1,0)-1)*IF(OR(F749="L",F749="S",F749="I"),-1,1),"")</f>
        <v>-32587.84</v>
      </c>
      <c r="AM749" s="905">
        <f t="shared" si="76"/>
        <v>-4166.9999999999964</v>
      </c>
      <c r="AN749" s="905">
        <f>INDEX(G749:R749,1,MATCH(Parametres!$B$3,G$1:R$1,0))*IF(OR(F749="L",F749="S",F749="I"),-1,1)</f>
        <v>-36754.839999999997</v>
      </c>
      <c r="AO749" s="487" t="str">
        <f>+VLOOKUP($AJ749,Data_Validation!$A:$D,1,0)</f>
        <v>G47300</v>
      </c>
      <c r="AP749" s="487" t="str">
        <f>+VLOOKUP($AJ749,Data_Validation!$A:$D,3,0)</f>
        <v>Carrosserie</v>
      </c>
      <c r="AQ749" s="487" t="str">
        <f>+VLOOKUP($AJ749,Data_Validation!$A:$D,4,0)</f>
        <v>Carrosserie Interne</v>
      </c>
      <c r="AR749" s="487" t="s">
        <v>299</v>
      </c>
      <c r="AS749" s="487" t="str">
        <f>+VLOOKUP($AJ749,Data_Validation!$A:$E,5,0)</f>
        <v>Oui</v>
      </c>
      <c r="AT749" s="904" t="str">
        <f t="shared" si="77"/>
        <v>G47300</v>
      </c>
      <c r="AU749" s="488" t="str">
        <f t="shared" si="78"/>
        <v>VTES -M.D. CARROS.INTERNE</v>
      </c>
      <c r="AV749" s="899">
        <f>IFERROR(INDEX(V749:AG749,1,MATCH(Parametres!$B$3,V$1:AG$1,0)-1)*IF(OR(C749="L",C749="S",C749="I"),-1,1),"")</f>
        <v>56</v>
      </c>
      <c r="AW749" s="899">
        <f t="shared" si="79"/>
        <v>7</v>
      </c>
      <c r="AX749" s="899">
        <f>INDEX(V749:AG749,1,MATCH(Parametres!$B$3,V$1:AG$1,0))*IF(OR(C749="L",C749="S",C749="I"),-1,1)</f>
        <v>63</v>
      </c>
      <c r="AY749" s="487" t="s">
        <v>337</v>
      </c>
      <c r="AZ749" s="487" t="str">
        <f>+VLOOKUP($AJ749,Data_Validation!$A:$E,5,0)</f>
        <v>Oui</v>
      </c>
    </row>
    <row r="750" spans="1:52" ht="15" customHeight="1">
      <c r="A750" s="706" t="s">
        <v>1148</v>
      </c>
      <c r="B750" s="706">
        <v>2026</v>
      </c>
      <c r="C750" s="706" t="s">
        <v>2506</v>
      </c>
      <c r="D750" s="706" t="s">
        <v>3369</v>
      </c>
      <c r="E750" s="706" t="s">
        <v>1151</v>
      </c>
      <c r="F750" s="706" t="s">
        <v>1149</v>
      </c>
      <c r="G750" s="706">
        <v>0</v>
      </c>
      <c r="H750" s="706">
        <v>0</v>
      </c>
      <c r="I750" s="706">
        <v>0</v>
      </c>
      <c r="J750" s="706">
        <v>0</v>
      </c>
      <c r="K750" s="706">
        <v>817.5</v>
      </c>
      <c r="L750" s="706">
        <v>1843.5</v>
      </c>
      <c r="M750" s="706">
        <v>2793</v>
      </c>
      <c r="N750" s="706">
        <v>3523.5</v>
      </c>
      <c r="O750" s="706">
        <v>4348</v>
      </c>
      <c r="P750" s="706">
        <v>0</v>
      </c>
      <c r="Q750" s="706">
        <v>0</v>
      </c>
      <c r="R750" s="706">
        <v>0</v>
      </c>
      <c r="S750" s="706">
        <v>440.44</v>
      </c>
      <c r="T750" s="706">
        <v>440.44</v>
      </c>
      <c r="U750" s="706">
        <v>0</v>
      </c>
      <c r="V750" s="706">
        <v>0</v>
      </c>
      <c r="W750" s="706">
        <v>0</v>
      </c>
      <c r="X750" s="706">
        <v>0</v>
      </c>
      <c r="Y750" s="706">
        <v>0</v>
      </c>
      <c r="Z750" s="706">
        <v>4</v>
      </c>
      <c r="AA750" s="706">
        <v>10</v>
      </c>
      <c r="AB750" s="706">
        <v>14</v>
      </c>
      <c r="AC750" s="706">
        <v>17</v>
      </c>
      <c r="AD750" s="706">
        <v>22</v>
      </c>
      <c r="AE750" s="706">
        <v>0</v>
      </c>
      <c r="AF750" s="706">
        <v>0</v>
      </c>
      <c r="AG750" s="706">
        <v>0</v>
      </c>
      <c r="AH750" s="706">
        <v>2</v>
      </c>
      <c r="AI750" s="706">
        <v>2</v>
      </c>
      <c r="AJ750" s="905" t="str">
        <f t="shared" si="74"/>
        <v>G47303</v>
      </c>
      <c r="AK750" s="905" t="str">
        <f t="shared" si="75"/>
        <v>VTES -M.D. PEINTURE INT</v>
      </c>
      <c r="AL750" s="905">
        <f>IFERROR(INDEX(G750:R750,1,MATCH(Parametres!$B$3,G$1:R$1,0)-1)*IF(OR(F750="L",F750="S",F750="I"),-1,1),"")</f>
        <v>-2793</v>
      </c>
      <c r="AM750" s="905">
        <f t="shared" si="76"/>
        <v>-730.5</v>
      </c>
      <c r="AN750" s="905">
        <f>INDEX(G750:R750,1,MATCH(Parametres!$B$3,G$1:R$1,0))*IF(OR(F750="L",F750="S",F750="I"),-1,1)</f>
        <v>-3523.5</v>
      </c>
      <c r="AO750" s="487" t="str">
        <f>+VLOOKUP($AJ750,Data_Validation!$A:$D,1,0)</f>
        <v>G47303</v>
      </c>
      <c r="AP750" s="487" t="str">
        <f>+VLOOKUP($AJ750,Data_Validation!$A:$D,3,0)</f>
        <v>Carrosserie</v>
      </c>
      <c r="AQ750" s="487" t="str">
        <f>+VLOOKUP($AJ750,Data_Validation!$A:$D,4,0)</f>
        <v>Carrosserie Interne</v>
      </c>
      <c r="AR750" s="487" t="s">
        <v>299</v>
      </c>
      <c r="AS750" s="487" t="str">
        <f>+VLOOKUP($AJ750,Data_Validation!$A:$E,5,0)</f>
        <v>Oui</v>
      </c>
      <c r="AT750" s="904" t="str">
        <f t="shared" si="77"/>
        <v>G47303</v>
      </c>
      <c r="AU750" s="488" t="str">
        <f t="shared" si="78"/>
        <v>VTES -M.D. PEINTURE INT</v>
      </c>
      <c r="AV750" s="899">
        <f>IFERROR(INDEX(V750:AG750,1,MATCH(Parametres!$B$3,V$1:AG$1,0)-1)*IF(OR(C750="L",C750="S",C750="I"),-1,1),"")</f>
        <v>14</v>
      </c>
      <c r="AW750" s="899">
        <f t="shared" si="79"/>
        <v>3</v>
      </c>
      <c r="AX750" s="899">
        <f>INDEX(V750:AG750,1,MATCH(Parametres!$B$3,V$1:AG$1,0))*IF(OR(C750="L",C750="S",C750="I"),-1,1)</f>
        <v>17</v>
      </c>
      <c r="AY750" s="487" t="s">
        <v>337</v>
      </c>
      <c r="AZ750" s="487" t="str">
        <f>+VLOOKUP($AJ750,Data_Validation!$A:$E,5,0)</f>
        <v>Oui</v>
      </c>
    </row>
    <row r="751" spans="1:52" ht="15" customHeight="1">
      <c r="A751" s="706" t="s">
        <v>1148</v>
      </c>
      <c r="B751" s="706">
        <v>2026</v>
      </c>
      <c r="C751" s="706" t="s">
        <v>2508</v>
      </c>
      <c r="D751" s="706" t="s">
        <v>2509</v>
      </c>
      <c r="E751" s="706" t="s">
        <v>1151</v>
      </c>
      <c r="F751" s="706" t="s">
        <v>1149</v>
      </c>
      <c r="G751" s="706">
        <v>0</v>
      </c>
      <c r="H751" s="706">
        <v>0</v>
      </c>
      <c r="I751" s="706">
        <v>0</v>
      </c>
      <c r="J751" s="706">
        <v>0</v>
      </c>
      <c r="K751" s="706">
        <v>0</v>
      </c>
      <c r="L751" s="706">
        <v>0</v>
      </c>
      <c r="M751" s="706">
        <v>0</v>
      </c>
      <c r="N751" s="706">
        <v>0</v>
      </c>
      <c r="O751" s="706">
        <v>792</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1</v>
      </c>
      <c r="AE751" s="706">
        <v>0</v>
      </c>
      <c r="AF751" s="706">
        <v>0</v>
      </c>
      <c r="AG751" s="706">
        <v>0</v>
      </c>
      <c r="AH751" s="706">
        <v>0</v>
      </c>
      <c r="AI751" s="706">
        <v>0</v>
      </c>
      <c r="AJ751" s="905" t="str">
        <f t="shared" si="74"/>
        <v>G47313</v>
      </c>
      <c r="AK751" s="905" t="str">
        <f t="shared" si="75"/>
        <v>VTE -M.O MEC INTERN-BODY</v>
      </c>
      <c r="AL751" s="905">
        <f>IFERROR(INDEX(G751:R751,1,MATCH(Parametres!$B$3,G$1:R$1,0)-1)*IF(OR(F751="L",F751="S",F751="I"),-1,1),"")</f>
        <v>0</v>
      </c>
      <c r="AM751" s="905">
        <f t="shared" si="76"/>
        <v>0</v>
      </c>
      <c r="AN751" s="905">
        <f>INDEX(G751:R751,1,MATCH(Parametres!$B$3,G$1:R$1,0))*IF(OR(F751="L",F751="S",F751="I"),-1,1)</f>
        <v>0</v>
      </c>
      <c r="AO751" s="487" t="str">
        <f>+VLOOKUP($AJ751,Data_Validation!$A:$D,1,0)</f>
        <v>G47313</v>
      </c>
      <c r="AP751" s="487" t="str">
        <f>+VLOOKUP($AJ751,Data_Validation!$A:$D,3,0)</f>
        <v>Carrosserie</v>
      </c>
      <c r="AQ751" s="487" t="str">
        <f>+VLOOKUP($AJ751,Data_Validation!$A:$D,4,0)</f>
        <v>Carrosserie Interne</v>
      </c>
      <c r="AR751" s="487" t="s">
        <v>299</v>
      </c>
      <c r="AS751" s="487" t="str">
        <f>+VLOOKUP($AJ751,Data_Validation!$A:$E,5,0)</f>
        <v>Oui</v>
      </c>
      <c r="AT751" s="904" t="str">
        <f t="shared" si="77"/>
        <v>G47313</v>
      </c>
      <c r="AU751" s="488" t="str">
        <f t="shared" si="78"/>
        <v>VTE -M.O MEC INTERN-BODY</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customHeight="1">
      <c r="A752" s="706" t="s">
        <v>1148</v>
      </c>
      <c r="B752" s="706">
        <v>2026</v>
      </c>
      <c r="C752" s="706" t="s">
        <v>2510</v>
      </c>
      <c r="D752" s="706" t="s">
        <v>2511</v>
      </c>
      <c r="E752" s="706" t="s">
        <v>333</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G47500</v>
      </c>
      <c r="AK752" s="905" t="str">
        <f t="shared" si="75"/>
        <v>*TEMPS PERDU CARROSSERIE</v>
      </c>
      <c r="AL752" s="905">
        <f>IFERROR(INDEX(G752:R752,1,MATCH(Parametres!$B$3,G$1:R$1,0)-1)*IF(OR(F752="L",F752="S",F752="I"),-1,1),"")</f>
        <v>0</v>
      </c>
      <c r="AM752" s="905">
        <f t="shared" si="76"/>
        <v>0</v>
      </c>
      <c r="AN752" s="905">
        <f>INDEX(G752:R752,1,MATCH(Parametres!$B$3,G$1:R$1,0))*IF(OR(F752="L",F752="S",F752="I"),-1,1)</f>
        <v>0</v>
      </c>
      <c r="AO752" s="487" t="str">
        <f>+VLOOKUP($AJ752,Data_Validation!$A:$D,1,0)</f>
        <v>G47500</v>
      </c>
      <c r="AP752" s="487" t="str">
        <f>+VLOOKUP($AJ752,Data_Validation!$A:$D,3,0)</f>
        <v>Carrosserie</v>
      </c>
      <c r="AQ752" s="487" t="str">
        <f>+VLOOKUP($AJ752,Data_Validation!$A:$D,4,0)</f>
        <v>Ajustement M/O Carrosserie</v>
      </c>
      <c r="AR752" s="487" t="s">
        <v>299</v>
      </c>
      <c r="AS752" s="487" t="str">
        <f>+VLOOKUP($AJ752,Data_Validation!$A:$E,5,0)</f>
        <v>Oui</v>
      </c>
      <c r="AT752" s="904" t="str">
        <f t="shared" si="77"/>
        <v>G47500</v>
      </c>
      <c r="AU752" s="488" t="str">
        <f t="shared" si="78"/>
        <v>*TEMPS PERDU CARROSSERIE</v>
      </c>
      <c r="AV752" s="899">
        <f>IFERROR(INDEX(V752:AG752,1,MATCH(Parametres!$B$3,V$1:AG$1,0)-1)*IF(OR(C752="L",C752="S",C752="I"),-1,1),"")</f>
        <v>0</v>
      </c>
      <c r="AW752" s="899">
        <f t="shared" si="79"/>
        <v>0</v>
      </c>
      <c r="AX752" s="899">
        <f>INDEX(V752:AG752,1,MATCH(Parametres!$B$3,V$1:AG$1,0))*IF(OR(C752="L",C752="S",C752="I"),-1,1)</f>
        <v>0</v>
      </c>
      <c r="AY752" s="487" t="s">
        <v>337</v>
      </c>
      <c r="AZ752" s="487" t="str">
        <f>+VLOOKUP($AJ752,Data_Validation!$A:$E,5,0)</f>
        <v>Oui</v>
      </c>
    </row>
    <row r="753" spans="1:52" ht="15" customHeight="1">
      <c r="A753" s="706" t="s">
        <v>1148</v>
      </c>
      <c r="B753" s="706">
        <v>2026</v>
      </c>
      <c r="C753" s="706" t="s">
        <v>2512</v>
      </c>
      <c r="D753" s="706" t="s">
        <v>2513</v>
      </c>
      <c r="E753" s="706" t="s">
        <v>1151</v>
      </c>
      <c r="F753" s="706" t="s">
        <v>1149</v>
      </c>
      <c r="G753" s="706">
        <v>95129.18</v>
      </c>
      <c r="H753" s="706">
        <v>187039.21</v>
      </c>
      <c r="I753" s="706">
        <v>259663.73</v>
      </c>
      <c r="J753" s="706">
        <v>303769.32</v>
      </c>
      <c r="K753" s="706">
        <v>337800.91</v>
      </c>
      <c r="L753" s="706">
        <v>389901.01</v>
      </c>
      <c r="M753" s="706">
        <v>433867.16</v>
      </c>
      <c r="N753" s="706">
        <v>475247.57</v>
      </c>
      <c r="O753" s="706">
        <v>507700.26</v>
      </c>
      <c r="P753" s="706">
        <v>0</v>
      </c>
      <c r="Q753" s="706">
        <v>0</v>
      </c>
      <c r="R753" s="706">
        <v>0</v>
      </c>
      <c r="S753" s="706">
        <v>59405.95</v>
      </c>
      <c r="T753" s="706">
        <v>59405.95</v>
      </c>
      <c r="U753" s="706">
        <v>0</v>
      </c>
      <c r="V753" s="706">
        <v>30</v>
      </c>
      <c r="W753" s="706">
        <v>70</v>
      </c>
      <c r="X753" s="706">
        <v>108</v>
      </c>
      <c r="Y753" s="706">
        <v>135</v>
      </c>
      <c r="Z753" s="706">
        <v>157</v>
      </c>
      <c r="AA753" s="706">
        <v>188</v>
      </c>
      <c r="AB753" s="706">
        <v>213</v>
      </c>
      <c r="AC753" s="706">
        <v>235</v>
      </c>
      <c r="AD753" s="706">
        <v>263</v>
      </c>
      <c r="AE753" s="706">
        <v>0</v>
      </c>
      <c r="AF753" s="706">
        <v>0</v>
      </c>
      <c r="AG753" s="706">
        <v>0</v>
      </c>
      <c r="AH753" s="706">
        <v>29</v>
      </c>
      <c r="AI753" s="706">
        <v>29</v>
      </c>
      <c r="AJ753" s="905" t="str">
        <f t="shared" si="74"/>
        <v>G47600</v>
      </c>
      <c r="AK753" s="905" t="str">
        <f t="shared" si="75"/>
        <v>VTES-REP.SOUS-TRAITE BODY</v>
      </c>
      <c r="AL753" s="905">
        <f>IFERROR(INDEX(G753:R753,1,MATCH(Parametres!$B$3,G$1:R$1,0)-1)*IF(OR(F753="L",F753="S",F753="I"),-1,1),"")</f>
        <v>-433867.16</v>
      </c>
      <c r="AM753" s="905">
        <f t="shared" si="76"/>
        <v>-41380.410000000033</v>
      </c>
      <c r="AN753" s="905">
        <f>INDEX(G753:R753,1,MATCH(Parametres!$B$3,G$1:R$1,0))*IF(OR(F753="L",F753="S",F753="I"),-1,1)</f>
        <v>-475247.57</v>
      </c>
      <c r="AO753" s="487" t="str">
        <f>+VLOOKUP($AJ753,Data_Validation!$A:$D,1,0)</f>
        <v>G47600</v>
      </c>
      <c r="AP753" s="487" t="str">
        <f>+VLOOKUP($AJ753,Data_Validation!$A:$D,3,0)</f>
        <v>Carrosserie</v>
      </c>
      <c r="AQ753" s="487" t="str">
        <f>+VLOOKUP($AJ753,Data_Validation!$A:$D,4,0)</f>
        <v>Carrosserie Clients</v>
      </c>
      <c r="AR753" s="487" t="s">
        <v>299</v>
      </c>
      <c r="AS753" s="487" t="str">
        <f>+VLOOKUP($AJ753,Data_Validation!$A:$E,5,0)</f>
        <v>Oui</v>
      </c>
      <c r="AT753" s="904" t="str">
        <f t="shared" si="77"/>
        <v>G47600</v>
      </c>
      <c r="AU753" s="488" t="str">
        <f t="shared" si="78"/>
        <v>VTES-REP.SOUS-TRAITE BODY</v>
      </c>
      <c r="AV753" s="899">
        <f>IFERROR(INDEX(V753:AG753,1,MATCH(Parametres!$B$3,V$1:AG$1,0)-1)*IF(OR(C753="L",C753="S",C753="I"),-1,1),"")</f>
        <v>213</v>
      </c>
      <c r="AW753" s="899">
        <f t="shared" si="79"/>
        <v>22</v>
      </c>
      <c r="AX753" s="899">
        <f>INDEX(V753:AG753,1,MATCH(Parametres!$B$3,V$1:AG$1,0))*IF(OR(C753="L",C753="S",C753="I"),-1,1)</f>
        <v>235</v>
      </c>
      <c r="AY753" s="487" t="s">
        <v>337</v>
      </c>
      <c r="AZ753" s="487" t="str">
        <f>+VLOOKUP($AJ753,Data_Validation!$A:$E,5,0)</f>
        <v>Oui</v>
      </c>
    </row>
    <row r="754" spans="1:52" ht="15" customHeight="1">
      <c r="A754" s="706" t="s">
        <v>1148</v>
      </c>
      <c r="B754" s="706">
        <v>2026</v>
      </c>
      <c r="C754" s="706" t="s">
        <v>2514</v>
      </c>
      <c r="D754" s="706" t="s">
        <v>3370</v>
      </c>
      <c r="E754" s="706" t="s">
        <v>1151</v>
      </c>
      <c r="F754" s="706" t="s">
        <v>1149</v>
      </c>
      <c r="G754" s="706">
        <v>0</v>
      </c>
      <c r="H754" s="706">
        <v>0</v>
      </c>
      <c r="I754" s="706">
        <v>0</v>
      </c>
      <c r="J754" s="706">
        <v>0</v>
      </c>
      <c r="K754" s="706">
        <v>0</v>
      </c>
      <c r="L754" s="706">
        <v>331.62</v>
      </c>
      <c r="M754" s="706">
        <v>1036.33</v>
      </c>
      <c r="N754" s="706">
        <v>1451.84</v>
      </c>
      <c r="O754" s="706">
        <v>5688.45</v>
      </c>
      <c r="P754" s="706">
        <v>0</v>
      </c>
      <c r="Q754" s="706">
        <v>0</v>
      </c>
      <c r="R754" s="706">
        <v>0</v>
      </c>
      <c r="S754" s="706">
        <v>181.48</v>
      </c>
      <c r="T754" s="706">
        <v>181.48</v>
      </c>
      <c r="U754" s="706">
        <v>0</v>
      </c>
      <c r="V754" s="706">
        <v>0</v>
      </c>
      <c r="W754" s="706">
        <v>0</v>
      </c>
      <c r="X754" s="706">
        <v>0</v>
      </c>
      <c r="Y754" s="706">
        <v>0</v>
      </c>
      <c r="Z754" s="706">
        <v>0</v>
      </c>
      <c r="AA754" s="706">
        <v>3</v>
      </c>
      <c r="AB754" s="706">
        <v>8</v>
      </c>
      <c r="AC754" s="706">
        <v>10</v>
      </c>
      <c r="AD754" s="706">
        <v>14</v>
      </c>
      <c r="AE754" s="706">
        <v>0</v>
      </c>
      <c r="AF754" s="706">
        <v>0</v>
      </c>
      <c r="AG754" s="706">
        <v>0</v>
      </c>
      <c r="AH754" s="706">
        <v>1</v>
      </c>
      <c r="AI754" s="706">
        <v>1</v>
      </c>
      <c r="AJ754" s="905" t="str">
        <f t="shared" si="74"/>
        <v>G47603</v>
      </c>
      <c r="AK754" s="905" t="str">
        <f t="shared" si="75"/>
        <v>VTES - S.T. INTERN-BODY</v>
      </c>
      <c r="AL754" s="905">
        <f>IFERROR(INDEX(G754:R754,1,MATCH(Parametres!$B$3,G$1:R$1,0)-1)*IF(OR(F754="L",F754="S",F754="I"),-1,1),"")</f>
        <v>-1036.33</v>
      </c>
      <c r="AM754" s="905">
        <f t="shared" si="76"/>
        <v>-415.51</v>
      </c>
      <c r="AN754" s="905">
        <f>INDEX(G754:R754,1,MATCH(Parametres!$B$3,G$1:R$1,0))*IF(OR(F754="L",F754="S",F754="I"),-1,1)</f>
        <v>-1451.84</v>
      </c>
      <c r="AO754" s="487" t="str">
        <f>+VLOOKUP($AJ754,Data_Validation!$A:$D,1,0)</f>
        <v>G47603</v>
      </c>
      <c r="AP754" s="487" t="str">
        <f>+VLOOKUP($AJ754,Data_Validation!$A:$D,3,0)</f>
        <v>Carrosserie</v>
      </c>
      <c r="AQ754" s="487" t="str">
        <f>+VLOOKUP($AJ754,Data_Validation!$A:$D,4,0)</f>
        <v>Carrosserie Interne</v>
      </c>
      <c r="AR754" s="487" t="s">
        <v>299</v>
      </c>
      <c r="AS754" s="487" t="str">
        <f>+VLOOKUP($AJ754,Data_Validation!$A:$E,5,0)</f>
        <v>Oui</v>
      </c>
      <c r="AT754" s="904" t="str">
        <f t="shared" si="77"/>
        <v>G47603</v>
      </c>
      <c r="AU754" s="488" t="str">
        <f t="shared" si="78"/>
        <v>VTES - S.T. INTERN-BODY</v>
      </c>
      <c r="AV754" s="899">
        <f>IFERROR(INDEX(V754:AG754,1,MATCH(Parametres!$B$3,V$1:AG$1,0)-1)*IF(OR(C754="L",C754="S",C754="I"),-1,1),"")</f>
        <v>8</v>
      </c>
      <c r="AW754" s="899">
        <f t="shared" si="79"/>
        <v>2</v>
      </c>
      <c r="AX754" s="899">
        <f>INDEX(V754:AG754,1,MATCH(Parametres!$B$3,V$1:AG$1,0))*IF(OR(C754="L",C754="S",C754="I"),-1,1)</f>
        <v>10</v>
      </c>
      <c r="AY754" s="487" t="s">
        <v>337</v>
      </c>
      <c r="AZ754" s="487" t="str">
        <f>+VLOOKUP($AJ754,Data_Validation!$A:$E,5,0)</f>
        <v>Oui</v>
      </c>
    </row>
    <row r="755" spans="1:52" ht="15" customHeight="1">
      <c r="A755" s="706" t="s">
        <v>1148</v>
      </c>
      <c r="B755" s="706">
        <v>2026</v>
      </c>
      <c r="C755" s="706" t="s">
        <v>2516</v>
      </c>
      <c r="D755" s="706" t="s">
        <v>3371</v>
      </c>
      <c r="E755" s="706" t="s">
        <v>1151</v>
      </c>
      <c r="F755" s="706" t="s">
        <v>1149</v>
      </c>
      <c r="G755" s="706">
        <v>0</v>
      </c>
      <c r="H755" s="706">
        <v>0</v>
      </c>
      <c r="I755" s="706">
        <v>0</v>
      </c>
      <c r="J755" s="706">
        <v>0</v>
      </c>
      <c r="K755" s="706">
        <v>7087.7</v>
      </c>
      <c r="L755" s="706">
        <v>7357.7</v>
      </c>
      <c r="M755" s="706">
        <v>8017.7</v>
      </c>
      <c r="N755" s="706">
        <v>8182.7</v>
      </c>
      <c r="O755" s="706">
        <v>9005.7000000000007</v>
      </c>
      <c r="P755" s="706">
        <v>0</v>
      </c>
      <c r="Q755" s="706">
        <v>0</v>
      </c>
      <c r="R755" s="706">
        <v>0</v>
      </c>
      <c r="S755" s="706">
        <v>1022.84</v>
      </c>
      <c r="T755" s="706">
        <v>1022.84</v>
      </c>
      <c r="U755" s="706">
        <v>0</v>
      </c>
      <c r="V755" s="706">
        <v>0</v>
      </c>
      <c r="W755" s="706">
        <v>0</v>
      </c>
      <c r="X755" s="706">
        <v>0</v>
      </c>
      <c r="Y755" s="706">
        <v>0</v>
      </c>
      <c r="Z755" s="706">
        <v>2</v>
      </c>
      <c r="AA755" s="706">
        <v>4</v>
      </c>
      <c r="AB755" s="706">
        <v>6</v>
      </c>
      <c r="AC755" s="706">
        <v>7</v>
      </c>
      <c r="AD755" s="706">
        <v>10</v>
      </c>
      <c r="AE755" s="706">
        <v>0</v>
      </c>
      <c r="AF755" s="706">
        <v>0</v>
      </c>
      <c r="AG755" s="706">
        <v>0</v>
      </c>
      <c r="AH755" s="706">
        <v>1</v>
      </c>
      <c r="AI755" s="706">
        <v>1</v>
      </c>
      <c r="AJ755" s="905" t="str">
        <f t="shared" si="74"/>
        <v>G47605</v>
      </c>
      <c r="AK755" s="905" t="str">
        <f t="shared" si="75"/>
        <v>VTES -S.T CONCES. BODY</v>
      </c>
      <c r="AL755" s="905">
        <f>IFERROR(INDEX(G755:R755,1,MATCH(Parametres!$B$3,G$1:R$1,0)-1)*IF(OR(F755="L",F755="S",F755="I"),-1,1),"")</f>
        <v>-8017.7</v>
      </c>
      <c r="AM755" s="905">
        <f t="shared" si="76"/>
        <v>-165</v>
      </c>
      <c r="AN755" s="905">
        <f>INDEX(G755:R755,1,MATCH(Parametres!$B$3,G$1:R$1,0))*IF(OR(F755="L",F755="S",F755="I"),-1,1)</f>
        <v>-8182.7</v>
      </c>
      <c r="AO755" s="487" t="str">
        <f>+VLOOKUP($AJ755,Data_Validation!$A:$D,1,0)</f>
        <v>G47605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G47605</v>
      </c>
      <c r="AU755" s="488" t="str">
        <f t="shared" si="78"/>
        <v>VTES -S.T CONCES. BODY</v>
      </c>
      <c r="AV755" s="899">
        <f>IFERROR(INDEX(V755:AG755,1,MATCH(Parametres!$B$3,V$1:AG$1,0)-1)*IF(OR(C755="L",C755="S",C755="I"),-1,1),"")</f>
        <v>6</v>
      </c>
      <c r="AW755" s="899">
        <f t="shared" si="79"/>
        <v>1</v>
      </c>
      <c r="AX755" s="899">
        <f>INDEX(V755:AG755,1,MATCH(Parametres!$B$3,V$1:AG$1,0))*IF(OR(C755="L",C755="S",C755="I"),-1,1)</f>
        <v>7</v>
      </c>
      <c r="AY755" s="487" t="s">
        <v>337</v>
      </c>
      <c r="AZ755" s="487" t="str">
        <f>+VLOOKUP($AJ755,Data_Validation!$A:$E,5,0)</f>
        <v>Oui</v>
      </c>
    </row>
    <row r="756" spans="1:52" ht="15" customHeight="1">
      <c r="A756" s="706" t="s">
        <v>1148</v>
      </c>
      <c r="B756" s="706">
        <v>2026</v>
      </c>
      <c r="C756" s="706" t="s">
        <v>2518</v>
      </c>
      <c r="D756" s="706" t="s">
        <v>2519</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G47610</v>
      </c>
      <c r="AK756" s="905" t="str">
        <f t="shared" si="75"/>
        <v>VTE -PCS.S-T BODY -CLIENT</v>
      </c>
      <c r="AL756" s="905">
        <f>IFERROR(INDEX(G756:R756,1,MATCH(Parametres!$B$3,G$1:R$1,0)-1)*IF(OR(F756="L",F756="S",F756="I"),-1,1),"")</f>
        <v>0</v>
      </c>
      <c r="AM756" s="905">
        <f t="shared" si="76"/>
        <v>0</v>
      </c>
      <c r="AN756" s="905">
        <f>INDEX(G756:R756,1,MATCH(Parametres!$B$3,G$1:R$1,0))*IF(OR(F756="L",F756="S",F756="I"),-1,1)</f>
        <v>0</v>
      </c>
      <c r="AO756" s="487" t="str">
        <f>+VLOOKUP($AJ756,Data_Validation!$A:$D,1,0)</f>
        <v>G47610</v>
      </c>
      <c r="AP756" s="487" t="str">
        <f>+VLOOKUP($AJ756,Data_Validation!$A:$D,3,0)</f>
        <v>Carrosserie</v>
      </c>
      <c r="AQ756" s="487" t="str">
        <f>+VLOOKUP($AJ756,Data_Validation!$A:$D,4,0)</f>
        <v>Carrosserie Clients</v>
      </c>
      <c r="AR756" s="487" t="s">
        <v>299</v>
      </c>
      <c r="AS756" s="487" t="str">
        <f>+VLOOKUP($AJ756,Data_Validation!$A:$E,5,0)</f>
        <v>Oui</v>
      </c>
      <c r="AT756" s="904" t="str">
        <f t="shared" si="77"/>
        <v>G47610</v>
      </c>
      <c r="AU756" s="488" t="str">
        <f t="shared" si="78"/>
        <v>VTE -PCS.S-T BODY -CLIENT</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2520</v>
      </c>
      <c r="D757" s="706" t="s">
        <v>2521</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G47613</v>
      </c>
      <c r="AK757" s="905" t="str">
        <f t="shared" si="75"/>
        <v>VTE -PIECES INTERN -BODY</v>
      </c>
      <c r="AL757" s="905">
        <f>IFERROR(INDEX(G757:R757,1,MATCH(Parametres!$B$3,G$1:R$1,0)-1)*IF(OR(F757="L",F757="S",F757="I"),-1,1),"")</f>
        <v>0</v>
      </c>
      <c r="AM757" s="905">
        <f t="shared" si="76"/>
        <v>0</v>
      </c>
      <c r="AN757" s="905">
        <f>INDEX(G757:R757,1,MATCH(Parametres!$B$3,G$1:R$1,0))*IF(OR(F757="L",F757="S",F757="I"),-1,1)</f>
        <v>0</v>
      </c>
      <c r="AO757" s="487" t="str">
        <f>+VLOOKUP($AJ757,Data_Validation!$A:$D,1,0)</f>
        <v>G47613</v>
      </c>
      <c r="AP757" s="487" t="str">
        <f>+VLOOKUP($AJ757,Data_Validation!$A:$D,3,0)</f>
        <v>Carrosserie</v>
      </c>
      <c r="AQ757" s="487" t="str">
        <f>+VLOOKUP($AJ757,Data_Validation!$A:$D,4,0)</f>
        <v>Carrosserie Interne</v>
      </c>
      <c r="AR757" s="487" t="s">
        <v>299</v>
      </c>
      <c r="AS757" s="487" t="str">
        <f>+VLOOKUP($AJ757,Data_Validation!$A:$E,5,0)</f>
        <v>Oui</v>
      </c>
      <c r="AT757" s="904" t="str">
        <f t="shared" si="77"/>
        <v>G47613</v>
      </c>
      <c r="AU757" s="488" t="str">
        <f t="shared" si="78"/>
        <v>VTE -PIECES INTERN -BODY</v>
      </c>
      <c r="AV757" s="899">
        <f>IFERROR(INDEX(V757:AG757,1,MATCH(Parametres!$B$3,V$1:AG$1,0)-1)*IF(OR(C757="L",C757="S",C757="I"),-1,1),"")</f>
        <v>0</v>
      </c>
      <c r="AW757" s="899">
        <f t="shared" si="79"/>
        <v>0</v>
      </c>
      <c r="AX757" s="899">
        <f>INDEX(V757:AG757,1,MATCH(Parametres!$B$3,V$1:AG$1,0))*IF(OR(C757="L",C757="S",C757="I"),-1,1)</f>
        <v>0</v>
      </c>
      <c r="AY757" s="487" t="s">
        <v>337</v>
      </c>
      <c r="AZ757" s="487" t="str">
        <f>+VLOOKUP($AJ757,Data_Validation!$A:$E,5,0)</f>
        <v>Oui</v>
      </c>
    </row>
    <row r="758" spans="1:52" ht="15" customHeight="1">
      <c r="A758" s="706" t="s">
        <v>1148</v>
      </c>
      <c r="B758" s="706">
        <v>2026</v>
      </c>
      <c r="C758" s="706" t="s">
        <v>2522</v>
      </c>
      <c r="D758" s="706" t="s">
        <v>2523</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G47615</v>
      </c>
      <c r="AK758" s="905" t="str">
        <f t="shared" si="75"/>
        <v>VTE - S-T PCS CONCES-BOD</v>
      </c>
      <c r="AL758" s="905">
        <f>IFERROR(INDEX(G758:R758,1,MATCH(Parametres!$B$3,G$1:R$1,0)-1)*IF(OR(F758="L",F758="S",F758="I"),-1,1),"")</f>
        <v>0</v>
      </c>
      <c r="AM758" s="905">
        <f t="shared" si="76"/>
        <v>0</v>
      </c>
      <c r="AN758" s="905">
        <f>INDEX(G758:R758,1,MATCH(Parametres!$B$3,G$1:R$1,0))*IF(OR(F758="L",F758="S",F758="I"),-1,1)</f>
        <v>0</v>
      </c>
      <c r="AO758" s="487" t="str">
        <f>+VLOOKUP($AJ758,Data_Validation!$A:$D,1,0)</f>
        <v>G47615</v>
      </c>
      <c r="AP758" s="487" t="str">
        <f>+VLOOKUP($AJ758,Data_Validation!$A:$D,3,0)</f>
        <v>Carrosserie</v>
      </c>
      <c r="AQ758" s="487" t="str">
        <f>+VLOOKUP($AJ758,Data_Validation!$A:$D,4,0)</f>
        <v>Carrosserie Concessions</v>
      </c>
      <c r="AR758" s="487" t="s">
        <v>299</v>
      </c>
      <c r="AS758" s="487" t="str">
        <f>+VLOOKUP($AJ758,Data_Validation!$A:$E,5,0)</f>
        <v>Oui</v>
      </c>
      <c r="AT758" s="904" t="str">
        <f t="shared" si="77"/>
        <v>G47615</v>
      </c>
      <c r="AU758" s="488" t="str">
        <f t="shared" si="78"/>
        <v>VTE - S-T PCS CONCES-BOD</v>
      </c>
      <c r="AV758" s="899">
        <f>IFERROR(INDEX(V758:AG758,1,MATCH(Parametres!$B$3,V$1:AG$1,0)-1)*IF(OR(C758="L",C758="S",C758="I"),-1,1),"")</f>
        <v>0</v>
      </c>
      <c r="AW758" s="899">
        <f t="shared" si="79"/>
        <v>0</v>
      </c>
      <c r="AX758" s="899">
        <f>INDEX(V758:AG758,1,MATCH(Parametres!$B$3,V$1:AG$1,0))*IF(OR(C758="L",C758="S",C758="I"),-1,1)</f>
        <v>0</v>
      </c>
      <c r="AY758" s="487" t="s">
        <v>337</v>
      </c>
      <c r="AZ758" s="487" t="str">
        <f>+VLOOKUP($AJ758,Data_Validation!$A:$E,5,0)</f>
        <v>Oui</v>
      </c>
    </row>
    <row r="759" spans="1:52" ht="15" customHeight="1">
      <c r="A759" s="706" t="s">
        <v>1148</v>
      </c>
      <c r="B759" s="706">
        <v>2026</v>
      </c>
      <c r="C759" s="706" t="s">
        <v>2524</v>
      </c>
      <c r="D759" s="706" t="s">
        <v>3372</v>
      </c>
      <c r="E759" s="706" t="s">
        <v>1151</v>
      </c>
      <c r="F759" s="706" t="s">
        <v>1149</v>
      </c>
      <c r="G759" s="706">
        <v>0</v>
      </c>
      <c r="H759" s="706">
        <v>0</v>
      </c>
      <c r="I759" s="706">
        <v>0</v>
      </c>
      <c r="J759" s="706">
        <v>0</v>
      </c>
      <c r="K759" s="706">
        <v>0</v>
      </c>
      <c r="L759" s="706">
        <v>1486.33</v>
      </c>
      <c r="M759" s="706">
        <v>1486.33</v>
      </c>
      <c r="N759" s="706">
        <v>1486.33</v>
      </c>
      <c r="O759" s="706">
        <v>1486.33</v>
      </c>
      <c r="P759" s="706">
        <v>0</v>
      </c>
      <c r="Q759" s="706">
        <v>0</v>
      </c>
      <c r="R759" s="706">
        <v>0</v>
      </c>
      <c r="S759" s="706">
        <v>185.79</v>
      </c>
      <c r="T759" s="706">
        <v>185.79</v>
      </c>
      <c r="U759" s="706">
        <v>0</v>
      </c>
      <c r="V759" s="706">
        <v>0</v>
      </c>
      <c r="W759" s="706">
        <v>0</v>
      </c>
      <c r="X759" s="706">
        <v>0</v>
      </c>
      <c r="Y759" s="706">
        <v>0</v>
      </c>
      <c r="Z759" s="706">
        <v>12</v>
      </c>
      <c r="AA759" s="706">
        <v>18</v>
      </c>
      <c r="AB759" s="706">
        <v>18</v>
      </c>
      <c r="AC759" s="706">
        <v>18</v>
      </c>
      <c r="AD759" s="706">
        <v>18</v>
      </c>
      <c r="AE759" s="706">
        <v>0</v>
      </c>
      <c r="AF759" s="706">
        <v>0</v>
      </c>
      <c r="AG759" s="706">
        <v>0</v>
      </c>
      <c r="AH759" s="706">
        <v>2</v>
      </c>
      <c r="AI759" s="706">
        <v>2</v>
      </c>
      <c r="AJ759" s="905" t="str">
        <f t="shared" si="74"/>
        <v>G47620</v>
      </c>
      <c r="AK759" s="905" t="str">
        <f t="shared" si="75"/>
        <v>VTES -LOC.COURTOIS - BODY</v>
      </c>
      <c r="AL759" s="905">
        <f>IFERROR(INDEX(G759:R759,1,MATCH(Parametres!$B$3,G$1:R$1,0)-1)*IF(OR(F759="L",F759="S",F759="I"),-1,1),"")</f>
        <v>-1486.33</v>
      </c>
      <c r="AM759" s="905">
        <f t="shared" si="76"/>
        <v>0</v>
      </c>
      <c r="AN759" s="905">
        <f>INDEX(G759:R759,1,MATCH(Parametres!$B$3,G$1:R$1,0))*IF(OR(F759="L",F759="S",F759="I"),-1,1)</f>
        <v>-1486.33</v>
      </c>
      <c r="AO759" s="487" t="str">
        <f>+VLOOKUP($AJ759,Data_Validation!$A:$D,1,0)</f>
        <v>G47620</v>
      </c>
      <c r="AP759" s="487" t="str">
        <f>+VLOOKUP($AJ759,Data_Validation!$A:$D,3,0)</f>
        <v>Carrosserie</v>
      </c>
      <c r="AQ759" s="487" t="str">
        <f>+VLOOKUP($AJ759,Data_Validation!$A:$D,4,0)</f>
        <v>Carrosserie Clients</v>
      </c>
      <c r="AR759" s="487" t="s">
        <v>299</v>
      </c>
      <c r="AS759" s="487" t="str">
        <f>+VLOOKUP($AJ759,Data_Validation!$A:$E,5,0)</f>
        <v>Oui</v>
      </c>
      <c r="AT759" s="904" t="str">
        <f t="shared" si="77"/>
        <v>G47620</v>
      </c>
      <c r="AU759" s="488" t="str">
        <f t="shared" si="78"/>
        <v>VTES -LOC.COURTOIS - BODY</v>
      </c>
      <c r="AV759" s="899">
        <f>IFERROR(INDEX(V759:AG759,1,MATCH(Parametres!$B$3,V$1:AG$1,0)-1)*IF(OR(C759="L",C759="S",C759="I"),-1,1),"")</f>
        <v>18</v>
      </c>
      <c r="AW759" s="899">
        <f t="shared" si="79"/>
        <v>0</v>
      </c>
      <c r="AX759" s="899">
        <f>INDEX(V759:AG759,1,MATCH(Parametres!$B$3,V$1:AG$1,0))*IF(OR(C759="L",C759="S",C759="I"),-1,1)</f>
        <v>18</v>
      </c>
      <c r="AY759" s="487" t="s">
        <v>337</v>
      </c>
      <c r="AZ759" s="487" t="str">
        <f>+VLOOKUP($AJ759,Data_Validation!$A:$E,5,0)</f>
        <v>Oui</v>
      </c>
    </row>
    <row r="760" spans="1:52" ht="15" customHeight="1">
      <c r="A760" s="706" t="s">
        <v>1148</v>
      </c>
      <c r="B760" s="706">
        <v>2026</v>
      </c>
      <c r="C760" s="706" t="s">
        <v>2526</v>
      </c>
      <c r="D760" s="706" t="s">
        <v>2527</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G47623</v>
      </c>
      <c r="AK760" s="905" t="str">
        <f t="shared" si="75"/>
        <v>VTE -LOC COURT INT-BODY</v>
      </c>
      <c r="AL760" s="905">
        <f>IFERROR(INDEX(G760:R760,1,MATCH(Parametres!$B$3,G$1:R$1,0)-1)*IF(OR(F760="L",F760="S",F760="I"),-1,1),"")</f>
        <v>0</v>
      </c>
      <c r="AM760" s="905">
        <f t="shared" si="76"/>
        <v>0</v>
      </c>
      <c r="AN760" s="905">
        <f>INDEX(G760:R760,1,MATCH(Parametres!$B$3,G$1:R$1,0))*IF(OR(F760="L",F760="S",F760="I"),-1,1)</f>
        <v>0</v>
      </c>
      <c r="AO760" s="487" t="str">
        <f>+VLOOKUP($AJ760,Data_Validation!$A:$D,1,0)</f>
        <v>G47623</v>
      </c>
      <c r="AP760" s="487">
        <f>+VLOOKUP($AJ760,Data_Validation!$A:$D,3,0)</f>
        <v>0</v>
      </c>
      <c r="AQ760" s="487">
        <f>+VLOOKUP($AJ760,Data_Validation!$A:$D,4,0)</f>
        <v>0</v>
      </c>
      <c r="AR760" s="487" t="s">
        <v>299</v>
      </c>
      <c r="AS760" s="487">
        <f>+VLOOKUP($AJ760,Data_Validation!$A:$E,5,0)</f>
        <v>0</v>
      </c>
      <c r="AT760" s="904" t="str">
        <f t="shared" si="77"/>
        <v>G47623</v>
      </c>
      <c r="AU760" s="488" t="str">
        <f t="shared" si="78"/>
        <v>VTE -LOC COURT INT-BODY</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2528</v>
      </c>
      <c r="D761" s="706" t="s">
        <v>2529</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G47625</v>
      </c>
      <c r="AK761" s="905" t="str">
        <f t="shared" si="75"/>
        <v>VTE - LOC COURT CONCES B</v>
      </c>
      <c r="AL761" s="905">
        <f>IFERROR(INDEX(G761:R761,1,MATCH(Parametres!$B$3,G$1:R$1,0)-1)*IF(OR(F761="L",F761="S",F761="I"),-1,1),"")</f>
        <v>0</v>
      </c>
      <c r="AM761" s="905">
        <f t="shared" si="76"/>
        <v>0</v>
      </c>
      <c r="AN761" s="905">
        <f>INDEX(G761:R761,1,MATCH(Parametres!$B$3,G$1:R$1,0))*IF(OR(F761="L",F761="S",F761="I"),-1,1)</f>
        <v>0</v>
      </c>
      <c r="AO761" s="487" t="str">
        <f>+VLOOKUP($AJ761,Data_Validation!$A:$D,1,0)</f>
        <v>G47625</v>
      </c>
      <c r="AP761" s="487">
        <f>+VLOOKUP($AJ761,Data_Validation!$A:$D,3,0)</f>
        <v>0</v>
      </c>
      <c r="AQ761" s="487">
        <f>+VLOOKUP($AJ761,Data_Validation!$A:$D,4,0)</f>
        <v>0</v>
      </c>
      <c r="AR761" s="487" t="s">
        <v>299</v>
      </c>
      <c r="AS761" s="487">
        <f>+VLOOKUP($AJ761,Data_Validation!$A:$E,5,0)</f>
        <v>0</v>
      </c>
      <c r="AT761" s="904" t="str">
        <f t="shared" si="77"/>
        <v>G47625</v>
      </c>
      <c r="AU761" s="488" t="str">
        <f t="shared" si="78"/>
        <v>VTE - LOC COURT CONCES B</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2530</v>
      </c>
      <c r="D762" s="706" t="s">
        <v>2531</v>
      </c>
      <c r="E762" s="706" t="s">
        <v>1151</v>
      </c>
      <c r="F762" s="706" t="s">
        <v>1149</v>
      </c>
      <c r="G762" s="706">
        <v>0</v>
      </c>
      <c r="H762" s="706">
        <v>0</v>
      </c>
      <c r="I762" s="706">
        <v>0</v>
      </c>
      <c r="J762" s="706">
        <v>0</v>
      </c>
      <c r="K762" s="706">
        <v>100.64</v>
      </c>
      <c r="L762" s="706">
        <v>100.64</v>
      </c>
      <c r="M762" s="706">
        <v>100.64</v>
      </c>
      <c r="N762" s="706">
        <v>100.64</v>
      </c>
      <c r="O762" s="706">
        <v>100.64</v>
      </c>
      <c r="P762" s="706">
        <v>0</v>
      </c>
      <c r="Q762" s="706">
        <v>0</v>
      </c>
      <c r="R762" s="706">
        <v>0</v>
      </c>
      <c r="S762" s="706">
        <v>12.58</v>
      </c>
      <c r="T762" s="706">
        <v>12.58</v>
      </c>
      <c r="U762" s="706">
        <v>0</v>
      </c>
      <c r="V762" s="706">
        <v>0</v>
      </c>
      <c r="W762" s="706">
        <v>0</v>
      </c>
      <c r="X762" s="706">
        <v>0</v>
      </c>
      <c r="Y762" s="706">
        <v>0</v>
      </c>
      <c r="Z762" s="706">
        <v>1</v>
      </c>
      <c r="AA762" s="706">
        <v>1</v>
      </c>
      <c r="AB762" s="706">
        <v>1</v>
      </c>
      <c r="AC762" s="706">
        <v>1</v>
      </c>
      <c r="AD762" s="706">
        <v>1</v>
      </c>
      <c r="AE762" s="706">
        <v>0</v>
      </c>
      <c r="AF762" s="706">
        <v>0</v>
      </c>
      <c r="AG762" s="706">
        <v>0</v>
      </c>
      <c r="AH762" s="706">
        <v>0</v>
      </c>
      <c r="AI762" s="706">
        <v>0</v>
      </c>
      <c r="AJ762" s="905" t="str">
        <f t="shared" si="74"/>
        <v>G47700</v>
      </c>
      <c r="AK762" s="905" t="str">
        <f t="shared" si="75"/>
        <v>VENTE P&amp;A CLIENTS CAROSSE</v>
      </c>
      <c r="AL762" s="905">
        <f>IFERROR(INDEX(G762:R762,1,MATCH(Parametres!$B$3,G$1:R$1,0)-1)*IF(OR(F762="L",F762="S",F762="I"),-1,1),"")</f>
        <v>-100.64</v>
      </c>
      <c r="AM762" s="905">
        <f t="shared" si="76"/>
        <v>0</v>
      </c>
      <c r="AN762" s="905">
        <f>INDEX(G762:R762,1,MATCH(Parametres!$B$3,G$1:R$1,0))*IF(OR(F762="L",F762="S",F762="I"),-1,1)</f>
        <v>-100.64</v>
      </c>
      <c r="AO762" s="487" t="str">
        <f>+VLOOKUP($AJ762,Data_Validation!$A:$D,1,0)</f>
        <v>G47700</v>
      </c>
      <c r="AP762" s="487" t="str">
        <f>+VLOOKUP($AJ762,Data_Validation!$A:$D,3,0)</f>
        <v>Pièces</v>
      </c>
      <c r="AQ762" s="487" t="str">
        <f>+VLOOKUP($AJ762,Data_Validation!$A:$D,4,0)</f>
        <v>Pièces Ro Carrosserie</v>
      </c>
      <c r="AR762" s="487" t="s">
        <v>299</v>
      </c>
      <c r="AS762" s="487" t="str">
        <f>+VLOOKUP($AJ762,Data_Validation!$A:$E,5,0)</f>
        <v>Oui</v>
      </c>
      <c r="AT762" s="904" t="str">
        <f t="shared" si="77"/>
        <v>G47700</v>
      </c>
      <c r="AU762" s="488" t="str">
        <f t="shared" si="78"/>
        <v>VENTE P&amp;A CLIENTS CAROSSE</v>
      </c>
      <c r="AV762" s="899">
        <f>IFERROR(INDEX(V762:AG762,1,MATCH(Parametres!$B$3,V$1:AG$1,0)-1)*IF(OR(C762="L",C762="S",C762="I"),-1,1),"")</f>
        <v>1</v>
      </c>
      <c r="AW762" s="899">
        <f t="shared" si="79"/>
        <v>0</v>
      </c>
      <c r="AX762" s="899">
        <f>INDEX(V762:AG762,1,MATCH(Parametres!$B$3,V$1:AG$1,0))*IF(OR(C762="L",C762="S",C762="I"),-1,1)</f>
        <v>1</v>
      </c>
      <c r="AY762" s="487" t="s">
        <v>337</v>
      </c>
      <c r="AZ762" s="487" t="str">
        <f>+VLOOKUP($AJ762,Data_Validation!$A:$E,5,0)</f>
        <v>Oui</v>
      </c>
    </row>
    <row r="763" spans="1:52" ht="15" customHeight="1">
      <c r="A763" s="706" t="s">
        <v>1148</v>
      </c>
      <c r="B763" s="706">
        <v>2026</v>
      </c>
      <c r="C763" s="706" t="s">
        <v>2532</v>
      </c>
      <c r="D763" s="706" t="s">
        <v>3373</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G47800</v>
      </c>
      <c r="AK763" s="905" t="str">
        <f t="shared" si="75"/>
        <v>VTE -PCE CARR.CLIENT.CAM.</v>
      </c>
      <c r="AL763" s="905">
        <f>IFERROR(INDEX(G763:R763,1,MATCH(Parametres!$B$3,G$1:R$1,0)-1)*IF(OR(F763="L",F763="S",F763="I"),-1,1),"")</f>
        <v>0</v>
      </c>
      <c r="AM763" s="905">
        <f t="shared" si="76"/>
        <v>0</v>
      </c>
      <c r="AN763" s="905">
        <f>INDEX(G763:R763,1,MATCH(Parametres!$B$3,G$1:R$1,0))*IF(OR(F763="L",F763="S",F763="I"),-1,1)</f>
        <v>0</v>
      </c>
      <c r="AO763" s="487" t="str">
        <f>+VLOOKUP($AJ763,Data_Validation!$A:$D,1,0)</f>
        <v>G47800</v>
      </c>
      <c r="AP763" s="487">
        <f>+VLOOKUP($AJ763,Data_Validation!$A:$D,3,0)</f>
        <v>0</v>
      </c>
      <c r="AQ763" s="487">
        <f>+VLOOKUP($AJ763,Data_Validation!$A:$D,4,0)</f>
        <v>0</v>
      </c>
      <c r="AR763" s="487" t="s">
        <v>299</v>
      </c>
      <c r="AS763" s="487">
        <f>+VLOOKUP($AJ763,Data_Validation!$A:$E,5,0)</f>
        <v>0</v>
      </c>
      <c r="AT763" s="904" t="str">
        <f t="shared" si="77"/>
        <v>G47800</v>
      </c>
      <c r="AU763" s="488" t="str">
        <f t="shared" si="78"/>
        <v>VTE -PCE CARR.CLIENT.CAM.</v>
      </c>
      <c r="AV763" s="899">
        <f>IFERROR(INDEX(V763:AG763,1,MATCH(Parametres!$B$3,V$1:AG$1,0)-1)*IF(OR(C763="L",C763="S",C763="I"),-1,1),"")</f>
        <v>0</v>
      </c>
      <c r="AW763" s="899">
        <f t="shared" si="79"/>
        <v>0</v>
      </c>
      <c r="AX763" s="899">
        <f>INDEX(V763:AG763,1,MATCH(Parametres!$B$3,V$1:AG$1,0))*IF(OR(C763="L",C763="S",C763="I"),-1,1)</f>
        <v>0</v>
      </c>
      <c r="AY763" s="487" t="s">
        <v>337</v>
      </c>
      <c r="AZ763" s="487">
        <f>+VLOOKUP($AJ763,Data_Validation!$A:$E,5,0)</f>
        <v>0</v>
      </c>
    </row>
    <row r="764" spans="1:52" ht="15" customHeight="1">
      <c r="A764" s="706" t="s">
        <v>1148</v>
      </c>
      <c r="B764" s="706">
        <v>2026</v>
      </c>
      <c r="C764" s="706" t="s">
        <v>2534</v>
      </c>
      <c r="D764" s="706" t="s">
        <v>2535</v>
      </c>
      <c r="E764" s="706" t="s">
        <v>1151</v>
      </c>
      <c r="F764" s="706" t="s">
        <v>1149</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905" t="str">
        <f t="shared" si="74"/>
        <v>G47840</v>
      </c>
      <c r="AK764" s="905" t="str">
        <f t="shared" si="75"/>
        <v>VTES-PCE GOODW.CAM MOYEN</v>
      </c>
      <c r="AL764" s="905">
        <f>IFERROR(INDEX(G764:R764,1,MATCH(Parametres!$B$3,G$1:R$1,0)-1)*IF(OR(F764="L",F764="S",F764="I"),-1,1),"")</f>
        <v>0</v>
      </c>
      <c r="AM764" s="905">
        <f t="shared" si="76"/>
        <v>0</v>
      </c>
      <c r="AN764" s="905">
        <f>INDEX(G764:R764,1,MATCH(Parametres!$B$3,G$1:R$1,0))*IF(OR(F764="L",F764="S",F764="I"),-1,1)</f>
        <v>0</v>
      </c>
      <c r="AO764" s="487" t="str">
        <f>+VLOOKUP($AJ764,Data_Validation!$A:$D,1,0)</f>
        <v>G47840</v>
      </c>
      <c r="AP764" s="487">
        <f>+VLOOKUP($AJ764,Data_Validation!$A:$D,3,0)</f>
        <v>0</v>
      </c>
      <c r="AQ764" s="487">
        <f>+VLOOKUP($AJ764,Data_Validation!$A:$D,4,0)</f>
        <v>0</v>
      </c>
      <c r="AR764" s="487" t="s">
        <v>299</v>
      </c>
      <c r="AS764" s="487">
        <f>+VLOOKUP($AJ764,Data_Validation!$A:$E,5,0)</f>
        <v>0</v>
      </c>
      <c r="AT764" s="904" t="str">
        <f t="shared" si="77"/>
        <v>G47840</v>
      </c>
      <c r="AU764" s="488" t="str">
        <f t="shared" si="78"/>
        <v>VTES-PCE GOODW.CAM MOYEN</v>
      </c>
      <c r="AV764" s="899">
        <f>IFERROR(INDEX(V764:AG764,1,MATCH(Parametres!$B$3,V$1:AG$1,0)-1)*IF(OR(C764="L",C764="S",C764="I"),-1,1),"")</f>
        <v>0</v>
      </c>
      <c r="AW764" s="899">
        <f t="shared" si="79"/>
        <v>0</v>
      </c>
      <c r="AX764" s="899">
        <f>INDEX(V764:AG764,1,MATCH(Parametres!$B$3,V$1:AG$1,0))*IF(OR(C764="L",C764="S",C764="I"),-1,1)</f>
        <v>0</v>
      </c>
      <c r="AY764" s="487" t="s">
        <v>337</v>
      </c>
      <c r="AZ764" s="487">
        <f>+VLOOKUP($AJ764,Data_Validation!$A:$E,5,0)</f>
        <v>0</v>
      </c>
    </row>
    <row r="765" spans="1:52" ht="15" customHeight="1">
      <c r="A765" s="706" t="s">
        <v>1148</v>
      </c>
      <c r="B765" s="706">
        <v>2026</v>
      </c>
      <c r="C765" s="706" t="s">
        <v>2536</v>
      </c>
      <c r="D765" s="706" t="s">
        <v>3374</v>
      </c>
      <c r="E765" s="706" t="s">
        <v>1151</v>
      </c>
      <c r="F765" s="706" t="s">
        <v>1149</v>
      </c>
      <c r="G765" s="706">
        <v>22035.39</v>
      </c>
      <c r="H765" s="706">
        <v>51692.06</v>
      </c>
      <c r="I765" s="706">
        <v>74713.48</v>
      </c>
      <c r="J765" s="706">
        <v>118736.54</v>
      </c>
      <c r="K765" s="706">
        <v>128979.54</v>
      </c>
      <c r="L765" s="706">
        <v>139535.45000000001</v>
      </c>
      <c r="M765" s="706">
        <v>149579.29</v>
      </c>
      <c r="N765" s="706">
        <v>159325.34</v>
      </c>
      <c r="O765" s="706">
        <v>168577.16</v>
      </c>
      <c r="P765" s="706">
        <v>0</v>
      </c>
      <c r="Q765" s="706">
        <v>0</v>
      </c>
      <c r="R765" s="706">
        <v>0</v>
      </c>
      <c r="S765" s="706">
        <v>19915.669999999998</v>
      </c>
      <c r="T765" s="706">
        <v>19915.669999999998</v>
      </c>
      <c r="U765" s="706">
        <v>0</v>
      </c>
      <c r="V765" s="706">
        <v>48</v>
      </c>
      <c r="W765" s="706">
        <v>106</v>
      </c>
      <c r="X765" s="706">
        <v>170</v>
      </c>
      <c r="Y765" s="706">
        <v>245</v>
      </c>
      <c r="Z765" s="706">
        <v>272</v>
      </c>
      <c r="AA765" s="706">
        <v>297</v>
      </c>
      <c r="AB765" s="706">
        <v>314</v>
      </c>
      <c r="AC765" s="706">
        <v>333</v>
      </c>
      <c r="AD765" s="706">
        <v>355</v>
      </c>
      <c r="AE765" s="706">
        <v>0</v>
      </c>
      <c r="AF765" s="706">
        <v>0</v>
      </c>
      <c r="AG765" s="706">
        <v>0</v>
      </c>
      <c r="AH765" s="706">
        <v>42</v>
      </c>
      <c r="AI765" s="706">
        <v>42</v>
      </c>
      <c r="AJ765" s="905" t="str">
        <f t="shared" si="74"/>
        <v>G47900</v>
      </c>
      <c r="AK765" s="905" t="str">
        <f t="shared" si="75"/>
        <v>VTES -PEINTURE CARROSS.</v>
      </c>
      <c r="AL765" s="905">
        <f>IFERROR(INDEX(G765:R765,1,MATCH(Parametres!$B$3,G$1:R$1,0)-1)*IF(OR(F765="L",F765="S",F765="I"),-1,1),"")</f>
        <v>-149579.29</v>
      </c>
      <c r="AM765" s="905">
        <f t="shared" si="76"/>
        <v>-9746.0499999999884</v>
      </c>
      <c r="AN765" s="905">
        <f>INDEX(G765:R765,1,MATCH(Parametres!$B$3,G$1:R$1,0))*IF(OR(F765="L",F765="S",F765="I"),-1,1)</f>
        <v>-159325.34</v>
      </c>
      <c r="AO765" s="487" t="str">
        <f>+VLOOKUP($AJ765,Data_Validation!$A:$D,1,0)</f>
        <v>G47900</v>
      </c>
      <c r="AP765" s="487" t="str">
        <f>+VLOOKUP($AJ765,Data_Validation!$A:$D,3,0)</f>
        <v>Carrosserie</v>
      </c>
      <c r="AQ765" s="487" t="str">
        <f>+VLOOKUP($AJ765,Data_Validation!$A:$D,4,0)</f>
        <v>Carrosserie Clients</v>
      </c>
      <c r="AR765" s="487" t="s">
        <v>299</v>
      </c>
      <c r="AS765" s="487" t="str">
        <f>+VLOOKUP($AJ765,Data_Validation!$A:$E,5,0)</f>
        <v>Oui</v>
      </c>
      <c r="AT765" s="904" t="str">
        <f t="shared" si="77"/>
        <v>G47900</v>
      </c>
      <c r="AU765" s="488" t="str">
        <f t="shared" si="78"/>
        <v>VTES -PEINTURE CARROSS.</v>
      </c>
      <c r="AV765" s="899">
        <f>IFERROR(INDEX(V765:AG765,1,MATCH(Parametres!$B$3,V$1:AG$1,0)-1)*IF(OR(C765="L",C765="S",C765="I"),-1,1),"")</f>
        <v>314</v>
      </c>
      <c r="AW765" s="899">
        <f t="shared" si="79"/>
        <v>19</v>
      </c>
      <c r="AX765" s="899">
        <f>INDEX(V765:AG765,1,MATCH(Parametres!$B$3,V$1:AG$1,0))*IF(OR(C765="L",C765="S",C765="I"),-1,1)</f>
        <v>333</v>
      </c>
      <c r="AY765" s="487" t="s">
        <v>337</v>
      </c>
      <c r="AZ765" s="487" t="str">
        <f>+VLOOKUP($AJ765,Data_Validation!$A:$E,5,0)</f>
        <v>Oui</v>
      </c>
    </row>
    <row r="766" spans="1:52" ht="15" customHeight="1">
      <c r="A766" s="706" t="s">
        <v>1148</v>
      </c>
      <c r="B766" s="706">
        <v>2026</v>
      </c>
      <c r="C766" s="706" t="s">
        <v>2538</v>
      </c>
      <c r="D766" s="706" t="s">
        <v>3375</v>
      </c>
      <c r="E766" s="706" t="s">
        <v>1151</v>
      </c>
      <c r="F766" s="706" t="s">
        <v>1149</v>
      </c>
      <c r="G766" s="706">
        <v>0</v>
      </c>
      <c r="H766" s="706">
        <v>0</v>
      </c>
      <c r="I766" s="706">
        <v>0</v>
      </c>
      <c r="J766" s="706">
        <v>0</v>
      </c>
      <c r="K766" s="706">
        <v>337.04</v>
      </c>
      <c r="L766" s="706">
        <v>1138.58</v>
      </c>
      <c r="M766" s="706">
        <v>1857.02</v>
      </c>
      <c r="N766" s="706">
        <v>3592.59</v>
      </c>
      <c r="O766" s="706">
        <v>4552.91</v>
      </c>
      <c r="P766" s="706">
        <v>0</v>
      </c>
      <c r="Q766" s="706">
        <v>0</v>
      </c>
      <c r="R766" s="706">
        <v>0</v>
      </c>
      <c r="S766" s="706">
        <v>449.07</v>
      </c>
      <c r="T766" s="706">
        <v>449.07</v>
      </c>
      <c r="U766" s="706">
        <v>0</v>
      </c>
      <c r="V766" s="706">
        <v>0</v>
      </c>
      <c r="W766" s="706">
        <v>0</v>
      </c>
      <c r="X766" s="706">
        <v>0</v>
      </c>
      <c r="Y766" s="706">
        <v>0</v>
      </c>
      <c r="Z766" s="706">
        <v>2</v>
      </c>
      <c r="AA766" s="706">
        <v>7</v>
      </c>
      <c r="AB766" s="706">
        <v>11</v>
      </c>
      <c r="AC766" s="706">
        <v>17</v>
      </c>
      <c r="AD766" s="706">
        <v>25</v>
      </c>
      <c r="AE766" s="706">
        <v>0</v>
      </c>
      <c r="AF766" s="706">
        <v>0</v>
      </c>
      <c r="AG766" s="706">
        <v>0</v>
      </c>
      <c r="AH766" s="706">
        <v>2</v>
      </c>
      <c r="AI766" s="706">
        <v>2</v>
      </c>
      <c r="AJ766" s="905" t="str">
        <f t="shared" si="74"/>
        <v>G47903</v>
      </c>
      <c r="AK766" s="905" t="str">
        <f t="shared" si="75"/>
        <v>VTES -PEINT. INTERN-BODY</v>
      </c>
      <c r="AL766" s="905">
        <f>IFERROR(INDEX(G766:R766,1,MATCH(Parametres!$B$3,G$1:R$1,0)-1)*IF(OR(F766="L",F766="S",F766="I"),-1,1),"")</f>
        <v>-1857.02</v>
      </c>
      <c r="AM766" s="905">
        <f t="shared" si="76"/>
        <v>-1735.5700000000002</v>
      </c>
      <c r="AN766" s="905">
        <f>INDEX(G766:R766,1,MATCH(Parametres!$B$3,G$1:R$1,0))*IF(OR(F766="L",F766="S",F766="I"),-1,1)</f>
        <v>-3592.59</v>
      </c>
      <c r="AO766" s="487" t="str">
        <f>+VLOOKUP($AJ766,Data_Validation!$A:$D,1,0)</f>
        <v>G47903</v>
      </c>
      <c r="AP766" s="487" t="str">
        <f>+VLOOKUP($AJ766,Data_Validation!$A:$D,3,0)</f>
        <v>Carrosserie</v>
      </c>
      <c r="AQ766" s="487" t="str">
        <f>+VLOOKUP($AJ766,Data_Validation!$A:$D,4,0)</f>
        <v>Carrosserie Interne</v>
      </c>
      <c r="AR766" s="487" t="s">
        <v>299</v>
      </c>
      <c r="AS766" s="487" t="str">
        <f>+VLOOKUP($AJ766,Data_Validation!$A:$E,5,0)</f>
        <v>Oui</v>
      </c>
      <c r="AT766" s="904" t="str">
        <f t="shared" si="77"/>
        <v>G47903</v>
      </c>
      <c r="AU766" s="488" t="str">
        <f t="shared" si="78"/>
        <v>VTES -PEINT. INTERN-BODY</v>
      </c>
      <c r="AV766" s="899">
        <f>IFERROR(INDEX(V766:AG766,1,MATCH(Parametres!$B$3,V$1:AG$1,0)-1)*IF(OR(C766="L",C766="S",C766="I"),-1,1),"")</f>
        <v>11</v>
      </c>
      <c r="AW766" s="899">
        <f t="shared" si="79"/>
        <v>6</v>
      </c>
      <c r="AX766" s="899">
        <f>INDEX(V766:AG766,1,MATCH(Parametres!$B$3,V$1:AG$1,0))*IF(OR(C766="L",C766="S",C766="I"),-1,1)</f>
        <v>17</v>
      </c>
      <c r="AY766" s="487" t="s">
        <v>337</v>
      </c>
      <c r="AZ766" s="487" t="str">
        <f>+VLOOKUP($AJ766,Data_Validation!$A:$E,5,0)</f>
        <v>Oui</v>
      </c>
    </row>
    <row r="767" spans="1:52" ht="15" customHeight="1">
      <c r="A767" s="706" t="s">
        <v>1148</v>
      </c>
      <c r="B767" s="706">
        <v>2026</v>
      </c>
      <c r="C767" s="706" t="s">
        <v>2540</v>
      </c>
      <c r="D767" s="706" t="s">
        <v>3376</v>
      </c>
      <c r="E767" s="706" t="s">
        <v>1151</v>
      </c>
      <c r="F767" s="706" t="s">
        <v>1149</v>
      </c>
      <c r="G767" s="706">
        <v>0</v>
      </c>
      <c r="H767" s="706">
        <v>0</v>
      </c>
      <c r="I767" s="706">
        <v>0</v>
      </c>
      <c r="J767" s="706">
        <v>0</v>
      </c>
      <c r="K767" s="706">
        <v>8325.6200000000008</v>
      </c>
      <c r="L767" s="706">
        <v>18909.43</v>
      </c>
      <c r="M767" s="706">
        <v>25496.63</v>
      </c>
      <c r="N767" s="706">
        <v>31833.25</v>
      </c>
      <c r="O767" s="706">
        <v>35214.879999999997</v>
      </c>
      <c r="P767" s="706">
        <v>0</v>
      </c>
      <c r="Q767" s="706">
        <v>0</v>
      </c>
      <c r="R767" s="706">
        <v>0</v>
      </c>
      <c r="S767" s="706">
        <v>3979.16</v>
      </c>
      <c r="T767" s="706">
        <v>3979.16</v>
      </c>
      <c r="U767" s="706">
        <v>0</v>
      </c>
      <c r="V767" s="706">
        <v>0</v>
      </c>
      <c r="W767" s="706">
        <v>0</v>
      </c>
      <c r="X767" s="706">
        <v>0</v>
      </c>
      <c r="Y767" s="706">
        <v>0</v>
      </c>
      <c r="Z767" s="706">
        <v>18</v>
      </c>
      <c r="AA767" s="706">
        <v>40</v>
      </c>
      <c r="AB767" s="706">
        <v>57</v>
      </c>
      <c r="AC767" s="706">
        <v>71</v>
      </c>
      <c r="AD767" s="706">
        <v>82</v>
      </c>
      <c r="AE767" s="706">
        <v>0</v>
      </c>
      <c r="AF767" s="706">
        <v>0</v>
      </c>
      <c r="AG767" s="706">
        <v>0</v>
      </c>
      <c r="AH767" s="706">
        <v>9</v>
      </c>
      <c r="AI767" s="706">
        <v>9</v>
      </c>
      <c r="AJ767" s="905" t="str">
        <f t="shared" si="74"/>
        <v>G47905</v>
      </c>
      <c r="AK767" s="905" t="str">
        <f t="shared" si="75"/>
        <v>VTES -PEINT CONC-BODY</v>
      </c>
      <c r="AL767" s="905">
        <f>IFERROR(INDEX(G767:R767,1,MATCH(Parametres!$B$3,G$1:R$1,0)-1)*IF(OR(F767="L",F767="S",F767="I"),-1,1),"")</f>
        <v>-25496.63</v>
      </c>
      <c r="AM767" s="905">
        <f t="shared" si="76"/>
        <v>-6336.619999999999</v>
      </c>
      <c r="AN767" s="905">
        <f>INDEX(G767:R767,1,MATCH(Parametres!$B$3,G$1:R$1,0))*IF(OR(F767="L",F767="S",F767="I"),-1,1)</f>
        <v>-31833.25</v>
      </c>
      <c r="AO767" s="487" t="str">
        <f>+VLOOKUP($AJ767,Data_Validation!$A:$D,1,0)</f>
        <v>G47905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G47905</v>
      </c>
      <c r="AU767" s="488" t="str">
        <f t="shared" si="78"/>
        <v>VTES -PEINT CONC-BODY</v>
      </c>
      <c r="AV767" s="899">
        <f>IFERROR(INDEX(V767:AG767,1,MATCH(Parametres!$B$3,V$1:AG$1,0)-1)*IF(OR(C767="L",C767="S",C767="I"),-1,1),"")</f>
        <v>57</v>
      </c>
      <c r="AW767" s="899">
        <f t="shared" si="79"/>
        <v>14</v>
      </c>
      <c r="AX767" s="899">
        <f>INDEX(V767:AG767,1,MATCH(Parametres!$B$3,V$1:AG$1,0))*IF(OR(C767="L",C767="S",C767="I"),-1,1)</f>
        <v>71</v>
      </c>
      <c r="AY767" s="487" t="s">
        <v>337</v>
      </c>
      <c r="AZ767" s="487" t="str">
        <f>+VLOOKUP($AJ767,Data_Validation!$A:$E,5,0)</f>
        <v>Oui</v>
      </c>
    </row>
    <row r="768" spans="1:52" ht="15" customHeight="1">
      <c r="A768" s="706" t="s">
        <v>1148</v>
      </c>
      <c r="B768" s="706">
        <v>2026</v>
      </c>
      <c r="C768" s="706" t="s">
        <v>2542</v>
      </c>
      <c r="D768" s="706" t="s">
        <v>3377</v>
      </c>
      <c r="E768" s="706" t="s">
        <v>1151</v>
      </c>
      <c r="F768" s="706" t="s">
        <v>1149</v>
      </c>
      <c r="G768" s="706">
        <v>0</v>
      </c>
      <c r="H768" s="706">
        <v>0</v>
      </c>
      <c r="I768" s="706">
        <v>0</v>
      </c>
      <c r="J768" s="706">
        <v>0</v>
      </c>
      <c r="K768" s="706">
        <v>2666.08</v>
      </c>
      <c r="L768" s="706">
        <v>9429.58</v>
      </c>
      <c r="M768" s="706">
        <v>13724.29</v>
      </c>
      <c r="N768" s="706">
        <v>17889.93</v>
      </c>
      <c r="O768" s="706">
        <v>23676.33</v>
      </c>
      <c r="P768" s="706">
        <v>0</v>
      </c>
      <c r="Q768" s="706">
        <v>0</v>
      </c>
      <c r="R768" s="706">
        <v>0</v>
      </c>
      <c r="S768" s="706">
        <v>2236.2399999999998</v>
      </c>
      <c r="T768" s="706">
        <v>2236.2399999999998</v>
      </c>
      <c r="U768" s="706">
        <v>0</v>
      </c>
      <c r="V768" s="706">
        <v>0</v>
      </c>
      <c r="W768" s="706">
        <v>0</v>
      </c>
      <c r="X768" s="706">
        <v>0</v>
      </c>
      <c r="Y768" s="706">
        <v>0</v>
      </c>
      <c r="Z768" s="706">
        <v>12</v>
      </c>
      <c r="AA768" s="706">
        <v>42</v>
      </c>
      <c r="AB768" s="706">
        <v>67</v>
      </c>
      <c r="AC768" s="706">
        <v>88</v>
      </c>
      <c r="AD768" s="706">
        <v>118</v>
      </c>
      <c r="AE768" s="706">
        <v>0</v>
      </c>
      <c r="AF768" s="706">
        <v>0</v>
      </c>
      <c r="AG768" s="706">
        <v>0</v>
      </c>
      <c r="AH768" s="706">
        <v>11</v>
      </c>
      <c r="AI768" s="706">
        <v>11</v>
      </c>
      <c r="AJ768" s="905" t="str">
        <f t="shared" si="74"/>
        <v>G47910</v>
      </c>
      <c r="AK768" s="905" t="str">
        <f t="shared" si="75"/>
        <v>VTES -M-ATELIER CLT-BODY</v>
      </c>
      <c r="AL768" s="905">
        <f>IFERROR(INDEX(G768:R768,1,MATCH(Parametres!$B$3,G$1:R$1,0)-1)*IF(OR(F768="L",F768="S",F768="I"),-1,1),"")</f>
        <v>-13724.29</v>
      </c>
      <c r="AM768" s="905">
        <f t="shared" si="76"/>
        <v>-4165.6399999999994</v>
      </c>
      <c r="AN768" s="905">
        <f>INDEX(G768:R768,1,MATCH(Parametres!$B$3,G$1:R$1,0))*IF(OR(F768="L",F768="S",F768="I"),-1,1)</f>
        <v>-17889.93</v>
      </c>
      <c r="AO768" s="487" t="str">
        <f>+VLOOKUP($AJ768,Data_Validation!$A:$D,1,0)</f>
        <v>G47910</v>
      </c>
      <c r="AP768" s="487" t="str">
        <f>+VLOOKUP($AJ768,Data_Validation!$A:$D,3,0)</f>
        <v>Carrosserie</v>
      </c>
      <c r="AQ768" s="487" t="str">
        <f>+VLOOKUP($AJ768,Data_Validation!$A:$D,4,0)</f>
        <v>Carrosserie Clients</v>
      </c>
      <c r="AR768" s="487" t="s">
        <v>299</v>
      </c>
      <c r="AS768" s="487" t="str">
        <f>+VLOOKUP($AJ768,Data_Validation!$A:$E,5,0)</f>
        <v>Oui</v>
      </c>
      <c r="AT768" s="904" t="str">
        <f t="shared" si="77"/>
        <v>G47910</v>
      </c>
      <c r="AU768" s="488" t="str">
        <f t="shared" si="78"/>
        <v>VTES -M-ATELIER CLT-BODY</v>
      </c>
      <c r="AV768" s="899">
        <f>IFERROR(INDEX(V768:AG768,1,MATCH(Parametres!$B$3,V$1:AG$1,0)-1)*IF(OR(C768="L",C768="S",C768="I"),-1,1),"")</f>
        <v>67</v>
      </c>
      <c r="AW768" s="899">
        <f t="shared" si="79"/>
        <v>21</v>
      </c>
      <c r="AX768" s="899">
        <f>INDEX(V768:AG768,1,MATCH(Parametres!$B$3,V$1:AG$1,0))*IF(OR(C768="L",C768="S",C768="I"),-1,1)</f>
        <v>88</v>
      </c>
      <c r="AY768" s="487" t="s">
        <v>337</v>
      </c>
      <c r="AZ768" s="487" t="str">
        <f>+VLOOKUP($AJ768,Data_Validation!$A:$E,5,0)</f>
        <v>Oui</v>
      </c>
    </row>
    <row r="769" spans="1:52" ht="15" customHeight="1">
      <c r="A769" s="706" t="s">
        <v>1148</v>
      </c>
      <c r="B769" s="706">
        <v>2026</v>
      </c>
      <c r="C769" s="706" t="s">
        <v>2544</v>
      </c>
      <c r="D769" s="706" t="s">
        <v>3378</v>
      </c>
      <c r="E769" s="706" t="s">
        <v>1151</v>
      </c>
      <c r="F769" s="706" t="s">
        <v>1149</v>
      </c>
      <c r="G769" s="706">
        <v>0</v>
      </c>
      <c r="H769" s="706">
        <v>0</v>
      </c>
      <c r="I769" s="706">
        <v>0</v>
      </c>
      <c r="J769" s="706">
        <v>0</v>
      </c>
      <c r="K769" s="706">
        <v>180.84</v>
      </c>
      <c r="L769" s="706">
        <v>510.43</v>
      </c>
      <c r="M769" s="706">
        <v>744.91</v>
      </c>
      <c r="N769" s="706">
        <v>1529.1</v>
      </c>
      <c r="O769" s="706">
        <v>1962.46</v>
      </c>
      <c r="P769" s="706">
        <v>0</v>
      </c>
      <c r="Q769" s="706">
        <v>0</v>
      </c>
      <c r="R769" s="706">
        <v>0</v>
      </c>
      <c r="S769" s="706">
        <v>191.14</v>
      </c>
      <c r="T769" s="706">
        <v>191.14</v>
      </c>
      <c r="U769" s="706">
        <v>0</v>
      </c>
      <c r="V769" s="706">
        <v>0</v>
      </c>
      <c r="W769" s="706">
        <v>0</v>
      </c>
      <c r="X769" s="706">
        <v>0</v>
      </c>
      <c r="Y769" s="706">
        <v>0</v>
      </c>
      <c r="Z769" s="706">
        <v>2</v>
      </c>
      <c r="AA769" s="706">
        <v>6</v>
      </c>
      <c r="AB769" s="706">
        <v>9</v>
      </c>
      <c r="AC769" s="706">
        <v>14</v>
      </c>
      <c r="AD769" s="706">
        <v>22</v>
      </c>
      <c r="AE769" s="706">
        <v>0</v>
      </c>
      <c r="AF769" s="706">
        <v>0</v>
      </c>
      <c r="AG769" s="706">
        <v>0</v>
      </c>
      <c r="AH769" s="706">
        <v>2</v>
      </c>
      <c r="AI769" s="706">
        <v>2</v>
      </c>
      <c r="AJ769" s="905" t="str">
        <f t="shared" si="74"/>
        <v>G47913</v>
      </c>
      <c r="AK769" s="905" t="str">
        <f t="shared" si="75"/>
        <v>VTES -M. ATEL.INTERN-BODY</v>
      </c>
      <c r="AL769" s="905">
        <f>IFERROR(INDEX(G769:R769,1,MATCH(Parametres!$B$3,G$1:R$1,0)-1)*IF(OR(F769="L",F769="S",F769="I"),-1,1),"")</f>
        <v>-744.91</v>
      </c>
      <c r="AM769" s="905">
        <f t="shared" si="76"/>
        <v>-784.18999999999994</v>
      </c>
      <c r="AN769" s="905">
        <f>INDEX(G769:R769,1,MATCH(Parametres!$B$3,G$1:R$1,0))*IF(OR(F769="L",F769="S",F769="I"),-1,1)</f>
        <v>-1529.1</v>
      </c>
      <c r="AO769" s="487" t="str">
        <f>+VLOOKUP($AJ769,Data_Validation!$A:$D,1,0)</f>
        <v>G47913</v>
      </c>
      <c r="AP769" s="487" t="str">
        <f>+VLOOKUP($AJ769,Data_Validation!$A:$D,3,0)</f>
        <v>Carrosserie</v>
      </c>
      <c r="AQ769" s="487" t="str">
        <f>+VLOOKUP($AJ769,Data_Validation!$A:$D,4,0)</f>
        <v>Carrosserie Interne</v>
      </c>
      <c r="AR769" s="487" t="s">
        <v>299</v>
      </c>
      <c r="AS769" s="487" t="str">
        <f>+VLOOKUP($AJ769,Data_Validation!$A:$E,5,0)</f>
        <v>Oui</v>
      </c>
      <c r="AT769" s="904" t="str">
        <f t="shared" si="77"/>
        <v>G47913</v>
      </c>
      <c r="AU769" s="488" t="str">
        <f t="shared" si="78"/>
        <v>VTES -M. ATEL.INTERN-BODY</v>
      </c>
      <c r="AV769" s="899">
        <f>IFERROR(INDEX(V769:AG769,1,MATCH(Parametres!$B$3,V$1:AG$1,0)-1)*IF(OR(C769="L",C769="S",C769="I"),-1,1),"")</f>
        <v>9</v>
      </c>
      <c r="AW769" s="899">
        <f t="shared" si="79"/>
        <v>5</v>
      </c>
      <c r="AX769" s="899">
        <f>INDEX(V769:AG769,1,MATCH(Parametres!$B$3,V$1:AG$1,0))*IF(OR(C769="L",C769="S",C769="I"),-1,1)</f>
        <v>14</v>
      </c>
      <c r="AY769" s="487" t="s">
        <v>337</v>
      </c>
      <c r="AZ769" s="487" t="str">
        <f>+VLOOKUP($AJ769,Data_Validation!$A:$E,5,0)</f>
        <v>Oui</v>
      </c>
    </row>
    <row r="770" spans="1:52" ht="15" customHeight="1">
      <c r="A770" s="706" t="s">
        <v>1148</v>
      </c>
      <c r="B770" s="706">
        <v>2026</v>
      </c>
      <c r="C770" s="706" t="s">
        <v>2546</v>
      </c>
      <c r="D770" s="706" t="s">
        <v>3379</v>
      </c>
      <c r="E770" s="706" t="s">
        <v>1151</v>
      </c>
      <c r="F770" s="706" t="s">
        <v>1149</v>
      </c>
      <c r="G770" s="706">
        <v>0</v>
      </c>
      <c r="H770" s="706">
        <v>0</v>
      </c>
      <c r="I770" s="706">
        <v>0</v>
      </c>
      <c r="J770" s="706">
        <v>0</v>
      </c>
      <c r="K770" s="706">
        <v>1133.0999999999999</v>
      </c>
      <c r="L770" s="706">
        <v>5151.83</v>
      </c>
      <c r="M770" s="706">
        <v>7518.17</v>
      </c>
      <c r="N770" s="706">
        <v>10303.77</v>
      </c>
      <c r="O770" s="706">
        <v>11819.25</v>
      </c>
      <c r="P770" s="706">
        <v>0</v>
      </c>
      <c r="Q770" s="706">
        <v>0</v>
      </c>
      <c r="R770" s="706">
        <v>0</v>
      </c>
      <c r="S770" s="706">
        <v>1287.97</v>
      </c>
      <c r="T770" s="706">
        <v>1287.97</v>
      </c>
      <c r="U770" s="706">
        <v>0</v>
      </c>
      <c r="V770" s="706">
        <v>0</v>
      </c>
      <c r="W770" s="706">
        <v>0</v>
      </c>
      <c r="X770" s="706">
        <v>0</v>
      </c>
      <c r="Y770" s="706">
        <v>0</v>
      </c>
      <c r="Z770" s="706">
        <v>12</v>
      </c>
      <c r="AA770" s="706">
        <v>32</v>
      </c>
      <c r="AB770" s="706">
        <v>49</v>
      </c>
      <c r="AC770" s="706">
        <v>62</v>
      </c>
      <c r="AD770" s="706">
        <v>72</v>
      </c>
      <c r="AE770" s="706">
        <v>0</v>
      </c>
      <c r="AF770" s="706">
        <v>0</v>
      </c>
      <c r="AG770" s="706">
        <v>0</v>
      </c>
      <c r="AH770" s="706">
        <v>8</v>
      </c>
      <c r="AI770" s="706">
        <v>8</v>
      </c>
      <c r="AJ770" s="905" t="str">
        <f t="shared" si="74"/>
        <v>G47915</v>
      </c>
      <c r="AK770" s="905" t="str">
        <f t="shared" si="75"/>
        <v>VTES -M.A CONCES. BODY</v>
      </c>
      <c r="AL770" s="905">
        <f>IFERROR(INDEX(G770:R770,1,MATCH(Parametres!$B$3,G$1:R$1,0)-1)*IF(OR(F770="L",F770="S",F770="I"),-1,1),"")</f>
        <v>-7518.17</v>
      </c>
      <c r="AM770" s="905">
        <f t="shared" si="76"/>
        <v>-2785.6000000000004</v>
      </c>
      <c r="AN770" s="905">
        <f>INDEX(G770:R770,1,MATCH(Parametres!$B$3,G$1:R$1,0))*IF(OR(F770="L",F770="S",F770="I"),-1,1)</f>
        <v>-10303.77</v>
      </c>
      <c r="AO770" s="487" t="str">
        <f>+VLOOKUP($AJ770,Data_Validation!$A:$D,1,0)</f>
        <v>G47915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G47915</v>
      </c>
      <c r="AU770" s="488" t="str">
        <f t="shared" si="78"/>
        <v>VTES -M.A CONCES. BODY</v>
      </c>
      <c r="AV770" s="899">
        <f>IFERROR(INDEX(V770:AG770,1,MATCH(Parametres!$B$3,V$1:AG$1,0)-1)*IF(OR(C770="L",C770="S",C770="I"),-1,1),"")</f>
        <v>49</v>
      </c>
      <c r="AW770" s="899">
        <f t="shared" si="79"/>
        <v>13</v>
      </c>
      <c r="AX770" s="899">
        <f>INDEX(V770:AG770,1,MATCH(Parametres!$B$3,V$1:AG$1,0))*IF(OR(C770="L",C770="S",C770="I"),-1,1)</f>
        <v>62</v>
      </c>
      <c r="AY770" s="487" t="s">
        <v>337</v>
      </c>
      <c r="AZ770" s="487" t="str">
        <f>+VLOOKUP($AJ770,Data_Validation!$A:$E,5,0)</f>
        <v>Oui</v>
      </c>
    </row>
    <row r="771" spans="1:52" ht="15" customHeight="1">
      <c r="A771" s="706" t="s">
        <v>1148</v>
      </c>
      <c r="B771" s="706">
        <v>2026</v>
      </c>
      <c r="C771" s="706" t="s">
        <v>2548</v>
      </c>
      <c r="D771" s="706" t="s">
        <v>2549</v>
      </c>
      <c r="E771" s="706" t="s">
        <v>1151</v>
      </c>
      <c r="F771" s="706" t="s">
        <v>1149</v>
      </c>
      <c r="G771" s="706">
        <v>55197.67</v>
      </c>
      <c r="H771" s="706">
        <v>107368.4</v>
      </c>
      <c r="I771" s="706">
        <v>183959.93</v>
      </c>
      <c r="J771" s="706">
        <v>242239.2</v>
      </c>
      <c r="K771" s="706">
        <v>269829.43</v>
      </c>
      <c r="L771" s="706">
        <v>360086.9</v>
      </c>
      <c r="M771" s="706">
        <v>413980.82</v>
      </c>
      <c r="N771" s="706">
        <v>500886.21</v>
      </c>
      <c r="O771" s="706">
        <v>524543.94999999995</v>
      </c>
      <c r="P771" s="706">
        <v>0</v>
      </c>
      <c r="Q771" s="706">
        <v>0</v>
      </c>
      <c r="R771" s="706">
        <v>0</v>
      </c>
      <c r="S771" s="706">
        <v>62610.78</v>
      </c>
      <c r="T771" s="706">
        <v>62610.78</v>
      </c>
      <c r="U771" s="706">
        <v>0</v>
      </c>
      <c r="V771" s="706">
        <v>202</v>
      </c>
      <c r="W771" s="706">
        <v>387</v>
      </c>
      <c r="X771" s="706">
        <v>642</v>
      </c>
      <c r="Y771" s="706">
        <v>833</v>
      </c>
      <c r="Z771" s="706">
        <v>992</v>
      </c>
      <c r="AA771" s="706">
        <v>1258</v>
      </c>
      <c r="AB771" s="706">
        <v>1410</v>
      </c>
      <c r="AC771" s="706">
        <v>1611</v>
      </c>
      <c r="AD771" s="706">
        <v>1702</v>
      </c>
      <c r="AE771" s="706">
        <v>0</v>
      </c>
      <c r="AF771" s="706">
        <v>0</v>
      </c>
      <c r="AG771" s="706">
        <v>0</v>
      </c>
      <c r="AH771" s="706">
        <v>201</v>
      </c>
      <c r="AI771" s="706">
        <v>201</v>
      </c>
      <c r="AJ771" s="905" t="str">
        <f t="shared" si="74"/>
        <v>G48000</v>
      </c>
      <c r="AK771" s="905" t="str">
        <f t="shared" si="75"/>
        <v>VTES-PIECES GARANTIES</v>
      </c>
      <c r="AL771" s="905">
        <f>IFERROR(INDEX(G771:R771,1,MATCH(Parametres!$B$3,G$1:R$1,0)-1)*IF(OR(F771="L",F771="S",F771="I"),-1,1),"")</f>
        <v>-413980.82</v>
      </c>
      <c r="AM771" s="905">
        <f t="shared" si="76"/>
        <v>-86905.390000000014</v>
      </c>
      <c r="AN771" s="905">
        <f>INDEX(G771:R771,1,MATCH(Parametres!$B$3,G$1:R$1,0))*IF(OR(F771="L",F771="S",F771="I"),-1,1)</f>
        <v>-500886.21</v>
      </c>
      <c r="AO771" s="487" t="str">
        <f>+VLOOKUP($AJ771,Data_Validation!$A:$D,1,0)</f>
        <v>G48000</v>
      </c>
      <c r="AP771" s="487" t="str">
        <f>+VLOOKUP($AJ771,Data_Validation!$A:$D,3,0)</f>
        <v>Pièces</v>
      </c>
      <c r="AQ771" s="487" t="str">
        <f>+VLOOKUP($AJ771,Data_Validation!$A:$D,4,0)</f>
        <v>P/A Garantie</v>
      </c>
      <c r="AR771" s="487" t="s">
        <v>299</v>
      </c>
      <c r="AS771" s="487" t="str">
        <f>+VLOOKUP($AJ771,Data_Validation!$A:$E,5,0)</f>
        <v>Oui</v>
      </c>
      <c r="AT771" s="904" t="str">
        <f t="shared" si="77"/>
        <v>G48000</v>
      </c>
      <c r="AU771" s="488" t="str">
        <f t="shared" si="78"/>
        <v>VTES-PIECES GARANTIES</v>
      </c>
      <c r="AV771" s="899">
        <f>IFERROR(INDEX(V771:AG771,1,MATCH(Parametres!$B$3,V$1:AG$1,0)-1)*IF(OR(C771="L",C771="S",C771="I"),-1,1),"")</f>
        <v>1410</v>
      </c>
      <c r="AW771" s="899">
        <f t="shared" si="79"/>
        <v>201</v>
      </c>
      <c r="AX771" s="899">
        <f>INDEX(V771:AG771,1,MATCH(Parametres!$B$3,V$1:AG$1,0))*IF(OR(C771="L",C771="S",C771="I"),-1,1)</f>
        <v>1611</v>
      </c>
      <c r="AY771" s="487" t="s">
        <v>337</v>
      </c>
      <c r="AZ771" s="487" t="str">
        <f>+VLOOKUP($AJ771,Data_Validation!$A:$E,5,0)</f>
        <v>Oui</v>
      </c>
    </row>
    <row r="772" spans="1:52" ht="15" customHeight="1">
      <c r="A772" s="706" t="s">
        <v>1148</v>
      </c>
      <c r="B772" s="706">
        <v>2026</v>
      </c>
      <c r="C772" s="706" t="s">
        <v>2550</v>
      </c>
      <c r="D772" s="706" t="s">
        <v>2551</v>
      </c>
      <c r="E772" s="706" t="s">
        <v>1151</v>
      </c>
      <c r="F772" s="706" t="s">
        <v>1149</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905" t="str">
        <f t="shared" si="74"/>
        <v>G48020</v>
      </c>
      <c r="AK772" s="905" t="str">
        <f t="shared" si="75"/>
        <v>VTES-PCE RECLAM.CAM MOYEN</v>
      </c>
      <c r="AL772" s="905">
        <f>IFERROR(INDEX(G772:R772,1,MATCH(Parametres!$B$3,G$1:R$1,0)-1)*IF(OR(F772="L",F772="S",F772="I"),-1,1),"")</f>
        <v>0</v>
      </c>
      <c r="AM772" s="905">
        <f t="shared" si="76"/>
        <v>0</v>
      </c>
      <c r="AN772" s="905">
        <f>INDEX(G772:R772,1,MATCH(Parametres!$B$3,G$1:R$1,0))*IF(OR(F772="L",F772="S",F772="I"),-1,1)</f>
        <v>0</v>
      </c>
      <c r="AO772" s="487" t="str">
        <f>+VLOOKUP($AJ772,Data_Validation!$A:$D,1,0)</f>
        <v>G48020</v>
      </c>
      <c r="AP772" s="487" t="str">
        <f>+VLOOKUP($AJ772,Data_Validation!$A:$D,3,0)</f>
        <v>Pièces</v>
      </c>
      <c r="AQ772" s="487" t="str">
        <f>+VLOOKUP($AJ772,Data_Validation!$A:$D,4,0)</f>
        <v>P/A Garantie</v>
      </c>
      <c r="AR772" s="487" t="s">
        <v>299</v>
      </c>
      <c r="AS772" s="487" t="str">
        <f>+VLOOKUP($AJ772,Data_Validation!$A:$E,5,0)</f>
        <v>Oui</v>
      </c>
      <c r="AT772" s="904" t="str">
        <f t="shared" si="77"/>
        <v>G48020</v>
      </c>
      <c r="AU772" s="488" t="str">
        <f t="shared" si="78"/>
        <v>VTES-PCE RECLAM.CAM MOYEN</v>
      </c>
      <c r="AV772" s="899">
        <f>IFERROR(INDEX(V772:AG772,1,MATCH(Parametres!$B$3,V$1:AG$1,0)-1)*IF(OR(C772="L",C772="S",C772="I"),-1,1),"")</f>
        <v>0</v>
      </c>
      <c r="AW772" s="899">
        <f t="shared" si="79"/>
        <v>0</v>
      </c>
      <c r="AX772" s="899">
        <f>INDEX(V772:AG772,1,MATCH(Parametres!$B$3,V$1:AG$1,0))*IF(OR(C772="L",C772="S",C772="I"),-1,1)</f>
        <v>0</v>
      </c>
      <c r="AY772" s="487" t="s">
        <v>337</v>
      </c>
      <c r="AZ772" s="487" t="str">
        <f>+VLOOKUP($AJ772,Data_Validation!$A:$E,5,0)</f>
        <v>Oui</v>
      </c>
    </row>
    <row r="773" spans="1:52" ht="15" customHeight="1">
      <c r="A773" s="706" t="s">
        <v>1148</v>
      </c>
      <c r="B773" s="706">
        <v>2026</v>
      </c>
      <c r="C773" s="706" t="s">
        <v>2552</v>
      </c>
      <c r="D773" s="706" t="s">
        <v>2553</v>
      </c>
      <c r="E773" s="706" t="s">
        <v>1151</v>
      </c>
      <c r="F773" s="706" t="s">
        <v>1149</v>
      </c>
      <c r="G773" s="706">
        <v>45959.51</v>
      </c>
      <c r="H773" s="706">
        <v>105251.2</v>
      </c>
      <c r="I773" s="706">
        <v>165218.51999999999</v>
      </c>
      <c r="J773" s="706">
        <v>233121.15</v>
      </c>
      <c r="K773" s="706">
        <v>275045.87</v>
      </c>
      <c r="L773" s="706">
        <v>322913.62</v>
      </c>
      <c r="M773" s="706">
        <v>365310.89</v>
      </c>
      <c r="N773" s="706">
        <v>402264.33</v>
      </c>
      <c r="O773" s="706">
        <v>426182.29</v>
      </c>
      <c r="P773" s="706">
        <v>0</v>
      </c>
      <c r="Q773" s="706">
        <v>0</v>
      </c>
      <c r="R773" s="706">
        <v>0</v>
      </c>
      <c r="S773" s="706">
        <v>50283.040000000001</v>
      </c>
      <c r="T773" s="706">
        <v>50283.040000000001</v>
      </c>
      <c r="U773" s="706">
        <v>0</v>
      </c>
      <c r="V773" s="706">
        <v>170</v>
      </c>
      <c r="W773" s="706">
        <v>328</v>
      </c>
      <c r="X773" s="706">
        <v>544</v>
      </c>
      <c r="Y773" s="706">
        <v>750</v>
      </c>
      <c r="Z773" s="706">
        <v>898</v>
      </c>
      <c r="AA773" s="706">
        <v>1083</v>
      </c>
      <c r="AB773" s="706">
        <v>1239</v>
      </c>
      <c r="AC773" s="706">
        <v>1398</v>
      </c>
      <c r="AD773" s="706">
        <v>1495</v>
      </c>
      <c r="AE773" s="706">
        <v>0</v>
      </c>
      <c r="AF773" s="706">
        <v>0</v>
      </c>
      <c r="AG773" s="706">
        <v>0</v>
      </c>
      <c r="AH773" s="706">
        <v>175</v>
      </c>
      <c r="AI773" s="706">
        <v>175</v>
      </c>
      <c r="AJ773" s="905" t="str">
        <f t="shared" si="74"/>
        <v>G48100</v>
      </c>
      <c r="AK773" s="905" t="str">
        <f t="shared" si="75"/>
        <v>VTES-PIECES INTERNE</v>
      </c>
      <c r="AL773" s="905">
        <f>IFERROR(INDEX(G773:R773,1,MATCH(Parametres!$B$3,G$1:R$1,0)-1)*IF(OR(F773="L",F773="S",F773="I"),-1,1),"")</f>
        <v>-365310.89</v>
      </c>
      <c r="AM773" s="905">
        <f t="shared" si="76"/>
        <v>-36953.440000000002</v>
      </c>
      <c r="AN773" s="905">
        <f>INDEX(G773:R773,1,MATCH(Parametres!$B$3,G$1:R$1,0))*IF(OR(F773="L",F773="S",F773="I"),-1,1)</f>
        <v>-402264.33</v>
      </c>
      <c r="AO773" s="487" t="str">
        <f>+VLOOKUP($AJ773,Data_Validation!$A:$D,1,0)</f>
        <v>G48100</v>
      </c>
      <c r="AP773" s="487" t="str">
        <f>+VLOOKUP($AJ773,Data_Validation!$A:$D,3,0)</f>
        <v>Pièces</v>
      </c>
      <c r="AQ773" s="487" t="str">
        <f>+VLOOKUP($AJ773,Data_Validation!$A:$D,4,0)</f>
        <v>Ventes Internes</v>
      </c>
      <c r="AR773" s="487" t="s">
        <v>299</v>
      </c>
      <c r="AS773" s="487" t="str">
        <f>+VLOOKUP($AJ773,Data_Validation!$A:$E,5,0)</f>
        <v>Oui</v>
      </c>
      <c r="AT773" s="904" t="str">
        <f t="shared" si="77"/>
        <v>G48100</v>
      </c>
      <c r="AU773" s="488" t="str">
        <f t="shared" si="78"/>
        <v>VTES-PIECES INTERNE</v>
      </c>
      <c r="AV773" s="899">
        <f>IFERROR(INDEX(V773:AG773,1,MATCH(Parametres!$B$3,V$1:AG$1,0)-1)*IF(OR(C773="L",C773="S",C773="I"),-1,1),"")</f>
        <v>1239</v>
      </c>
      <c r="AW773" s="899">
        <f t="shared" si="79"/>
        <v>159</v>
      </c>
      <c r="AX773" s="899">
        <f>INDEX(V773:AG773,1,MATCH(Parametres!$B$3,V$1:AG$1,0))*IF(OR(C773="L",C773="S",C773="I"),-1,1)</f>
        <v>1398</v>
      </c>
      <c r="AY773" s="487" t="s">
        <v>337</v>
      </c>
      <c r="AZ773" s="487" t="str">
        <f>+VLOOKUP($AJ773,Data_Validation!$A:$E,5,0)</f>
        <v>Oui</v>
      </c>
    </row>
    <row r="774" spans="1:52" ht="15" customHeight="1">
      <c r="A774" s="706" t="s">
        <v>1148</v>
      </c>
      <c r="B774" s="706">
        <v>2026</v>
      </c>
      <c r="C774" s="706" t="s">
        <v>2554</v>
      </c>
      <c r="D774" s="706" t="s">
        <v>2555</v>
      </c>
      <c r="E774" s="706" t="s">
        <v>1151</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G48120</v>
      </c>
      <c r="AK774" s="905" t="str">
        <f t="shared" si="75"/>
        <v>VTES-PCE INTERN CAM MOYEN</v>
      </c>
      <c r="AL774" s="905">
        <f>IFERROR(INDEX(G774:R774,1,MATCH(Parametres!$B$3,G$1:R$1,0)-1)*IF(OR(F774="L",F774="S",F774="I"),-1,1),"")</f>
        <v>0</v>
      </c>
      <c r="AM774" s="905">
        <f t="shared" si="76"/>
        <v>0</v>
      </c>
      <c r="AN774" s="905">
        <f>INDEX(G774:R774,1,MATCH(Parametres!$B$3,G$1:R$1,0))*IF(OR(F774="L",F774="S",F774="I"),-1,1)</f>
        <v>0</v>
      </c>
      <c r="AO774" s="487" t="str">
        <f>+VLOOKUP($AJ774,Data_Validation!$A:$D,1,0)</f>
        <v>G48120</v>
      </c>
      <c r="AP774" s="487" t="str">
        <f>+VLOOKUP($AJ774,Data_Validation!$A:$D,3,0)</f>
        <v>Pièces</v>
      </c>
      <c r="AQ774" s="487" t="str">
        <f>+VLOOKUP($AJ774,Data_Validation!$A:$D,4,0)</f>
        <v>Ventes Internes</v>
      </c>
      <c r="AR774" s="487" t="s">
        <v>299</v>
      </c>
      <c r="AS774" s="487" t="str">
        <f>+VLOOKUP($AJ774,Data_Validation!$A:$E,5,0)</f>
        <v>Oui</v>
      </c>
      <c r="AT774" s="904" t="str">
        <f t="shared" si="77"/>
        <v>G48120</v>
      </c>
      <c r="AU774" s="488" t="str">
        <f t="shared" si="78"/>
        <v>VTES-PCE INTERN CAM MOYEN</v>
      </c>
      <c r="AV774" s="899">
        <f>IFERROR(INDEX(V774:AG774,1,MATCH(Parametres!$B$3,V$1:AG$1,0)-1)*IF(OR(C774="L",C774="S",C774="I"),-1,1),"")</f>
        <v>0</v>
      </c>
      <c r="AW774" s="899">
        <f t="shared" si="79"/>
        <v>0</v>
      </c>
      <c r="AX774" s="899">
        <f>INDEX(V774:AG774,1,MATCH(Parametres!$B$3,V$1:AG$1,0))*IF(OR(C774="L",C774="S",C774="I"),-1,1)</f>
        <v>0</v>
      </c>
      <c r="AY774" s="487" t="s">
        <v>337</v>
      </c>
      <c r="AZ774" s="487" t="str">
        <f>+VLOOKUP($AJ774,Data_Validation!$A:$E,5,0)</f>
        <v>Oui</v>
      </c>
    </row>
    <row r="775" spans="1:52" ht="15" customHeight="1">
      <c r="A775" s="706" t="s">
        <v>1148</v>
      </c>
      <c r="B775" s="706">
        <v>2026</v>
      </c>
      <c r="C775" s="706" t="s">
        <v>2556</v>
      </c>
      <c r="D775" s="706" t="s">
        <v>2557</v>
      </c>
      <c r="E775" s="706" t="s">
        <v>1151</v>
      </c>
      <c r="F775" s="706" t="s">
        <v>1149</v>
      </c>
      <c r="G775" s="706">
        <v>28409.34</v>
      </c>
      <c r="H775" s="706">
        <v>49297.1</v>
      </c>
      <c r="I775" s="706">
        <v>91732.95</v>
      </c>
      <c r="J775" s="706">
        <v>130796.36</v>
      </c>
      <c r="K775" s="706">
        <v>168162.88</v>
      </c>
      <c r="L775" s="706">
        <v>218773.9</v>
      </c>
      <c r="M775" s="706">
        <v>272745.53999999998</v>
      </c>
      <c r="N775" s="706">
        <v>304187.03000000003</v>
      </c>
      <c r="O775" s="706">
        <v>328415.89</v>
      </c>
      <c r="P775" s="706">
        <v>0</v>
      </c>
      <c r="Q775" s="706">
        <v>0</v>
      </c>
      <c r="R775" s="706">
        <v>0</v>
      </c>
      <c r="S775" s="706">
        <v>38023.379999999997</v>
      </c>
      <c r="T775" s="706">
        <v>38023.379999999997</v>
      </c>
      <c r="U775" s="706">
        <v>0</v>
      </c>
      <c r="V775" s="706">
        <v>134</v>
      </c>
      <c r="W775" s="706">
        <v>265</v>
      </c>
      <c r="X775" s="706">
        <v>477</v>
      </c>
      <c r="Y775" s="706">
        <v>673</v>
      </c>
      <c r="Z775" s="706">
        <v>858</v>
      </c>
      <c r="AA775" s="706">
        <v>1080</v>
      </c>
      <c r="AB775" s="706">
        <v>1291</v>
      </c>
      <c r="AC775" s="706">
        <v>1485</v>
      </c>
      <c r="AD775" s="706">
        <v>1615</v>
      </c>
      <c r="AE775" s="706">
        <v>0</v>
      </c>
      <c r="AF775" s="706">
        <v>0</v>
      </c>
      <c r="AG775" s="706">
        <v>0</v>
      </c>
      <c r="AH775" s="706">
        <v>186</v>
      </c>
      <c r="AI775" s="706">
        <v>186</v>
      </c>
      <c r="AJ775" s="905" t="str">
        <f t="shared" si="74"/>
        <v>G48200</v>
      </c>
      <c r="AK775" s="905" t="str">
        <f t="shared" si="75"/>
        <v>VTES-PIECES AU DETAIL</v>
      </c>
      <c r="AL775" s="905">
        <f>IFERROR(INDEX(G775:R775,1,MATCH(Parametres!$B$3,G$1:R$1,0)-1)*IF(OR(F775="L",F775="S",F775="I"),-1,1),"")</f>
        <v>-272745.53999999998</v>
      </c>
      <c r="AM775" s="905">
        <f t="shared" si="76"/>
        <v>-31441.490000000049</v>
      </c>
      <c r="AN775" s="905">
        <f>INDEX(G775:R775,1,MATCH(Parametres!$B$3,G$1:R$1,0))*IF(OR(F775="L",F775="S",F775="I"),-1,1)</f>
        <v>-304187.03000000003</v>
      </c>
      <c r="AO775" s="487" t="str">
        <f>+VLOOKUP($AJ775,Data_Validation!$A:$D,1,0)</f>
        <v>G48200</v>
      </c>
      <c r="AP775" s="487" t="str">
        <f>+VLOOKUP($AJ775,Data_Validation!$A:$D,3,0)</f>
        <v>Pièces</v>
      </c>
      <c r="AQ775" s="487" t="str">
        <f>+VLOOKUP($AJ775,Data_Validation!$A:$D,4,0)</f>
        <v>Ventes Détails</v>
      </c>
      <c r="AR775" s="487" t="s">
        <v>299</v>
      </c>
      <c r="AS775" s="487" t="str">
        <f>+VLOOKUP($AJ775,Data_Validation!$A:$E,5,0)</f>
        <v>Oui</v>
      </c>
      <c r="AT775" s="904" t="str">
        <f t="shared" si="77"/>
        <v>G48200</v>
      </c>
      <c r="AU775" s="488" t="str">
        <f t="shared" si="78"/>
        <v>VTES-PIECES AU DETAIL</v>
      </c>
      <c r="AV775" s="899">
        <f>IFERROR(INDEX(V775:AG775,1,MATCH(Parametres!$B$3,V$1:AG$1,0)-1)*IF(OR(C775="L",C775="S",C775="I"),-1,1),"")</f>
        <v>1291</v>
      </c>
      <c r="AW775" s="899">
        <f t="shared" si="79"/>
        <v>194</v>
      </c>
      <c r="AX775" s="899">
        <f>INDEX(V775:AG775,1,MATCH(Parametres!$B$3,V$1:AG$1,0))*IF(OR(C775="L",C775="S",C775="I"),-1,1)</f>
        <v>1485</v>
      </c>
      <c r="AY775" s="487" t="s">
        <v>337</v>
      </c>
      <c r="AZ775" s="487" t="str">
        <f>+VLOOKUP($AJ775,Data_Validation!$A:$E,5,0)</f>
        <v>Oui</v>
      </c>
    </row>
    <row r="776" spans="1:52" ht="15" customHeight="1">
      <c r="A776" s="706" t="s">
        <v>1148</v>
      </c>
      <c r="B776" s="706">
        <v>2026</v>
      </c>
      <c r="C776" s="706" t="s">
        <v>2558</v>
      </c>
      <c r="D776" s="706" t="s">
        <v>2559</v>
      </c>
      <c r="E776" s="706" t="s">
        <v>1151</v>
      </c>
      <c r="F776" s="706" t="s">
        <v>1149</v>
      </c>
      <c r="G776" s="706">
        <v>177580.69</v>
      </c>
      <c r="H776" s="706">
        <v>320434.94</v>
      </c>
      <c r="I776" s="706">
        <v>444997.62</v>
      </c>
      <c r="J776" s="706">
        <v>542722.81000000006</v>
      </c>
      <c r="K776" s="706">
        <v>669745.9</v>
      </c>
      <c r="L776" s="706">
        <v>794379.49</v>
      </c>
      <c r="M776" s="706">
        <v>932468.11</v>
      </c>
      <c r="N776" s="706">
        <v>1048595.52</v>
      </c>
      <c r="O776" s="706">
        <v>1168195.02</v>
      </c>
      <c r="P776" s="706">
        <v>0</v>
      </c>
      <c r="Q776" s="706">
        <v>0</v>
      </c>
      <c r="R776" s="706">
        <v>0</v>
      </c>
      <c r="S776" s="706">
        <v>131074.44</v>
      </c>
      <c r="T776" s="706">
        <v>131074.44</v>
      </c>
      <c r="U776" s="706">
        <v>0</v>
      </c>
      <c r="V776" s="706">
        <v>410</v>
      </c>
      <c r="W776" s="706">
        <v>772</v>
      </c>
      <c r="X776" s="706">
        <v>1157</v>
      </c>
      <c r="Y776" s="706">
        <v>1447</v>
      </c>
      <c r="Z776" s="706">
        <v>1762</v>
      </c>
      <c r="AA776" s="706">
        <v>2090</v>
      </c>
      <c r="AB776" s="706">
        <v>2411</v>
      </c>
      <c r="AC776" s="706">
        <v>2709</v>
      </c>
      <c r="AD776" s="706">
        <v>2995</v>
      </c>
      <c r="AE776" s="706">
        <v>0</v>
      </c>
      <c r="AF776" s="706">
        <v>0</v>
      </c>
      <c r="AG776" s="706">
        <v>0</v>
      </c>
      <c r="AH776" s="706">
        <v>339</v>
      </c>
      <c r="AI776" s="706">
        <v>339</v>
      </c>
      <c r="AJ776" s="905" t="str">
        <f t="shared" si="74"/>
        <v>G48300</v>
      </c>
      <c r="AK776" s="905" t="str">
        <f t="shared" si="75"/>
        <v>VTES-PIECES EN GROS</v>
      </c>
      <c r="AL776" s="905">
        <f>IFERROR(INDEX(G776:R776,1,MATCH(Parametres!$B$3,G$1:R$1,0)-1)*IF(OR(F776="L",F776="S",F776="I"),-1,1),"")</f>
        <v>-932468.11</v>
      </c>
      <c r="AM776" s="905">
        <f t="shared" si="76"/>
        <v>-116127.41000000003</v>
      </c>
      <c r="AN776" s="905">
        <f>INDEX(G776:R776,1,MATCH(Parametres!$B$3,G$1:R$1,0))*IF(OR(F776="L",F776="S",F776="I"),-1,1)</f>
        <v>-1048595.52</v>
      </c>
      <c r="AO776" s="487" t="str">
        <f>+VLOOKUP($AJ776,Data_Validation!$A:$D,1,0)</f>
        <v>G48300</v>
      </c>
      <c r="AP776" s="487" t="str">
        <f>+VLOOKUP($AJ776,Data_Validation!$A:$D,3,0)</f>
        <v>Pièces</v>
      </c>
      <c r="AQ776" s="487" t="str">
        <f>+VLOOKUP($AJ776,Data_Validation!$A:$D,4,0)</f>
        <v>Ventes de Gros</v>
      </c>
      <c r="AR776" s="487" t="s">
        <v>299</v>
      </c>
      <c r="AS776" s="487" t="str">
        <f>+VLOOKUP($AJ776,Data_Validation!$A:$E,5,0)</f>
        <v>Oui</v>
      </c>
      <c r="AT776" s="904" t="str">
        <f t="shared" si="77"/>
        <v>G48300</v>
      </c>
      <c r="AU776" s="488" t="str">
        <f t="shared" si="78"/>
        <v>VTES-PIECES EN GROS</v>
      </c>
      <c r="AV776" s="899">
        <f>IFERROR(INDEX(V776:AG776,1,MATCH(Parametres!$B$3,V$1:AG$1,0)-1)*IF(OR(C776="L",C776="S",C776="I"),-1,1),"")</f>
        <v>2411</v>
      </c>
      <c r="AW776" s="899">
        <f t="shared" si="79"/>
        <v>298</v>
      </c>
      <c r="AX776" s="899">
        <f>INDEX(V776:AG776,1,MATCH(Parametres!$B$3,V$1:AG$1,0))*IF(OR(C776="L",C776="S",C776="I"),-1,1)</f>
        <v>2709</v>
      </c>
      <c r="AY776" s="487" t="s">
        <v>337</v>
      </c>
      <c r="AZ776" s="487" t="str">
        <f>+VLOOKUP($AJ776,Data_Validation!$A:$E,5,0)</f>
        <v>Oui</v>
      </c>
    </row>
    <row r="777" spans="1:52" ht="15" customHeight="1">
      <c r="A777" s="706" t="s">
        <v>1148</v>
      </c>
      <c r="B777" s="706">
        <v>2026</v>
      </c>
      <c r="C777" s="706" t="s">
        <v>2560</v>
      </c>
      <c r="D777" s="706" t="s">
        <v>2561</v>
      </c>
      <c r="E777" s="706" t="s">
        <v>333</v>
      </c>
      <c r="F777" s="706" t="s">
        <v>1149</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905" t="str">
        <f t="shared" si="74"/>
        <v>G48700</v>
      </c>
      <c r="AK777" s="905" t="str">
        <f t="shared" si="75"/>
        <v>*ESCOMPTES DE VOLUME</v>
      </c>
      <c r="AL777" s="905">
        <f>IFERROR(INDEX(G777:R777,1,MATCH(Parametres!$B$3,G$1:R$1,0)-1)*IF(OR(F777="L",F777="S",F777="I"),-1,1),"")</f>
        <v>0</v>
      </c>
      <c r="AM777" s="905">
        <f t="shared" si="76"/>
        <v>0</v>
      </c>
      <c r="AN777" s="905">
        <f>INDEX(G777:R777,1,MATCH(Parametres!$B$3,G$1:R$1,0))*IF(OR(F777="L",F777="S",F777="I"),-1,1)</f>
        <v>0</v>
      </c>
      <c r="AO777" s="487" t="str">
        <f>+VLOOKUP($AJ777,Data_Validation!$A:$D,1,0)</f>
        <v>G48700</v>
      </c>
      <c r="AP777" s="487">
        <f>+VLOOKUP($AJ777,Data_Validation!$A:$D,3,0)</f>
        <v>0</v>
      </c>
      <c r="AQ777" s="487">
        <f>+VLOOKUP($AJ777,Data_Validation!$A:$D,4,0)</f>
        <v>0</v>
      </c>
      <c r="AR777" s="487" t="s">
        <v>299</v>
      </c>
      <c r="AS777" s="487">
        <f>+VLOOKUP($AJ777,Data_Validation!$A:$E,5,0)</f>
        <v>0</v>
      </c>
      <c r="AT777" s="904" t="str">
        <f t="shared" si="77"/>
        <v>G48700</v>
      </c>
      <c r="AU777" s="488" t="str">
        <f t="shared" si="78"/>
        <v>*ESCOMPTES DE VOLUME</v>
      </c>
      <c r="AV777" s="899">
        <f>IFERROR(INDEX(V777:AG777,1,MATCH(Parametres!$B$3,V$1:AG$1,0)-1)*IF(OR(C777="L",C777="S",C777="I"),-1,1),"")</f>
        <v>0</v>
      </c>
      <c r="AW777" s="899">
        <f t="shared" si="79"/>
        <v>0</v>
      </c>
      <c r="AX777" s="899">
        <f>INDEX(V777:AG777,1,MATCH(Parametres!$B$3,V$1:AG$1,0))*IF(OR(C777="L",C777="S",C777="I"),-1,1)</f>
        <v>0</v>
      </c>
      <c r="AY777" s="487" t="s">
        <v>337</v>
      </c>
      <c r="AZ777" s="487">
        <f>+VLOOKUP($AJ777,Data_Validation!$A:$E,5,0)</f>
        <v>0</v>
      </c>
    </row>
    <row r="778" spans="1:52" ht="15" customHeight="1">
      <c r="A778" s="706" t="s">
        <v>1148</v>
      </c>
      <c r="B778" s="706">
        <v>2026</v>
      </c>
      <c r="C778" s="706" t="s">
        <v>2562</v>
      </c>
      <c r="D778" s="706" t="s">
        <v>2563</v>
      </c>
      <c r="E778" s="706" t="s">
        <v>333</v>
      </c>
      <c r="F778" s="706" t="s">
        <v>1149</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G48800</v>
      </c>
      <c r="AK778" s="905" t="str">
        <f t="shared" si="75"/>
        <v>*RECTIFIC.STOCK PIECES</v>
      </c>
      <c r="AL778" s="905">
        <f>IFERROR(INDEX(G778:R778,1,MATCH(Parametres!$B$3,G$1:R$1,0)-1)*IF(OR(F778="L",F778="S",F778="I"),-1,1),"")</f>
        <v>0</v>
      </c>
      <c r="AM778" s="905">
        <f t="shared" si="76"/>
        <v>0</v>
      </c>
      <c r="AN778" s="905">
        <f>INDEX(G778:R778,1,MATCH(Parametres!$B$3,G$1:R$1,0))*IF(OR(F778="L",F778="S",F778="I"),-1,1)</f>
        <v>0</v>
      </c>
      <c r="AO778" s="487" t="str">
        <f>+VLOOKUP($AJ778,Data_Validation!$A:$D,1,0)</f>
        <v>G48800</v>
      </c>
      <c r="AP778" s="487">
        <f>+VLOOKUP($AJ778,Data_Validation!$A:$D,3,0)</f>
        <v>0</v>
      </c>
      <c r="AQ778" s="487">
        <f>+VLOOKUP($AJ778,Data_Validation!$A:$D,4,0)</f>
        <v>0</v>
      </c>
      <c r="AR778" s="487" t="s">
        <v>299</v>
      </c>
      <c r="AS778" s="487">
        <f>+VLOOKUP($AJ778,Data_Validation!$A:$E,5,0)</f>
        <v>0</v>
      </c>
      <c r="AT778" s="904" t="str">
        <f t="shared" si="77"/>
        <v>G48800</v>
      </c>
      <c r="AU778" s="488" t="str">
        <f t="shared" si="78"/>
        <v>*RECTIFIC.STOCK PIECES</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customHeight="1">
      <c r="A779" s="706" t="s">
        <v>1148</v>
      </c>
      <c r="B779" s="706">
        <v>2026</v>
      </c>
      <c r="C779" s="706" t="s">
        <v>2564</v>
      </c>
      <c r="D779" s="706" t="s">
        <v>2565</v>
      </c>
      <c r="E779" s="706" t="s">
        <v>1151</v>
      </c>
      <c r="F779" s="706" t="s">
        <v>1149</v>
      </c>
      <c r="G779" s="706">
        <v>40036.18</v>
      </c>
      <c r="H779" s="706">
        <v>70738.16</v>
      </c>
      <c r="I779" s="706">
        <v>87648.34</v>
      </c>
      <c r="J779" s="706">
        <v>113298.18</v>
      </c>
      <c r="K779" s="706">
        <v>128407.36</v>
      </c>
      <c r="L779" s="706">
        <v>147040.26999999999</v>
      </c>
      <c r="M779" s="706">
        <v>159645.31</v>
      </c>
      <c r="N779" s="706">
        <v>178315.33</v>
      </c>
      <c r="O779" s="706">
        <v>198390.73</v>
      </c>
      <c r="P779" s="706">
        <v>0</v>
      </c>
      <c r="Q779" s="706">
        <v>0</v>
      </c>
      <c r="R779" s="706">
        <v>0</v>
      </c>
      <c r="S779" s="706">
        <v>22289.42</v>
      </c>
      <c r="T779" s="706">
        <v>22289.42</v>
      </c>
      <c r="U779" s="706">
        <v>0</v>
      </c>
      <c r="V779" s="706">
        <v>39</v>
      </c>
      <c r="W779" s="706">
        <v>72</v>
      </c>
      <c r="X779" s="706">
        <v>86</v>
      </c>
      <c r="Y779" s="706">
        <v>115</v>
      </c>
      <c r="Z779" s="706">
        <v>132</v>
      </c>
      <c r="AA779" s="706">
        <v>152</v>
      </c>
      <c r="AB779" s="706">
        <v>167</v>
      </c>
      <c r="AC779" s="706">
        <v>191</v>
      </c>
      <c r="AD779" s="706">
        <v>214</v>
      </c>
      <c r="AE779" s="706">
        <v>0</v>
      </c>
      <c r="AF779" s="706">
        <v>0</v>
      </c>
      <c r="AG779" s="706">
        <v>0</v>
      </c>
      <c r="AH779" s="706">
        <v>24</v>
      </c>
      <c r="AI779" s="706">
        <v>24</v>
      </c>
      <c r="AJ779" s="905" t="str">
        <f t="shared" si="74"/>
        <v>G49000</v>
      </c>
      <c r="AK779" s="905" t="str">
        <f t="shared" si="75"/>
        <v>VTES-DE PNEUS</v>
      </c>
      <c r="AL779" s="905">
        <f>IFERROR(INDEX(G779:R779,1,MATCH(Parametres!$B$3,G$1:R$1,0)-1)*IF(OR(F779="L",F779="S",F779="I"),-1,1),"")</f>
        <v>-159645.31</v>
      </c>
      <c r="AM779" s="905">
        <f t="shared" si="76"/>
        <v>-18670.01999999999</v>
      </c>
      <c r="AN779" s="905">
        <f>INDEX(G779:R779,1,MATCH(Parametres!$B$3,G$1:R$1,0))*IF(OR(F779="L",F779="S",F779="I"),-1,1)</f>
        <v>-178315.33</v>
      </c>
      <c r="AO779" s="487" t="str">
        <f>+VLOOKUP($AJ779,Data_Validation!$A:$D,1,0)</f>
        <v>G49000</v>
      </c>
      <c r="AP779" s="487" t="str">
        <f>+VLOOKUP($AJ779,Data_Validation!$A:$D,3,0)</f>
        <v>Pièces</v>
      </c>
      <c r="AQ779" s="487" t="str">
        <f>+VLOOKUP($AJ779,Data_Validation!$A:$D,4,0)</f>
        <v>Ventes Pneus</v>
      </c>
      <c r="AR779" s="487" t="s">
        <v>299</v>
      </c>
      <c r="AS779" s="487" t="str">
        <f>+VLOOKUP($AJ779,Data_Validation!$A:$E,5,0)</f>
        <v>Oui</v>
      </c>
      <c r="AT779" s="904" t="str">
        <f t="shared" si="77"/>
        <v>G49000</v>
      </c>
      <c r="AU779" s="488" t="str">
        <f t="shared" si="78"/>
        <v>VTES-DE PNEUS</v>
      </c>
      <c r="AV779" s="899">
        <f>IFERROR(INDEX(V779:AG779,1,MATCH(Parametres!$B$3,V$1:AG$1,0)-1)*IF(OR(C779="L",C779="S",C779="I"),-1,1),"")</f>
        <v>167</v>
      </c>
      <c r="AW779" s="899">
        <f t="shared" si="79"/>
        <v>24</v>
      </c>
      <c r="AX779" s="899">
        <f>INDEX(V779:AG779,1,MATCH(Parametres!$B$3,V$1:AG$1,0))*IF(OR(C779="L",C779="S",C779="I"),-1,1)</f>
        <v>191</v>
      </c>
      <c r="AY779" s="487" t="s">
        <v>337</v>
      </c>
      <c r="AZ779" s="487" t="str">
        <f>+VLOOKUP($AJ779,Data_Validation!$A:$E,5,0)</f>
        <v>Oui</v>
      </c>
    </row>
    <row r="780" spans="1:52" ht="15" customHeight="1">
      <c r="A780" s="706" t="s">
        <v>1148</v>
      </c>
      <c r="B780" s="706">
        <v>2026</v>
      </c>
      <c r="C780" s="706" t="s">
        <v>2566</v>
      </c>
      <c r="D780" s="706" t="s">
        <v>2567</v>
      </c>
      <c r="E780" s="706" t="s">
        <v>1151</v>
      </c>
      <c r="F780" s="706" t="s">
        <v>1149</v>
      </c>
      <c r="G780" s="706">
        <v>9627.3799999999992</v>
      </c>
      <c r="H780" s="706">
        <v>19499.64</v>
      </c>
      <c r="I780" s="706">
        <v>32785.910000000003</v>
      </c>
      <c r="J780" s="706">
        <v>44242.82</v>
      </c>
      <c r="K780" s="706">
        <v>55841.85</v>
      </c>
      <c r="L780" s="706">
        <v>70711.05</v>
      </c>
      <c r="M780" s="706">
        <v>83376.42</v>
      </c>
      <c r="N780" s="706">
        <v>96955.11</v>
      </c>
      <c r="O780" s="706">
        <v>105403.19</v>
      </c>
      <c r="P780" s="706">
        <v>0</v>
      </c>
      <c r="Q780" s="706">
        <v>0</v>
      </c>
      <c r="R780" s="706">
        <v>0</v>
      </c>
      <c r="S780" s="706">
        <v>12119.39</v>
      </c>
      <c r="T780" s="706">
        <v>12119.39</v>
      </c>
      <c r="U780" s="706">
        <v>0</v>
      </c>
      <c r="V780" s="706">
        <v>140</v>
      </c>
      <c r="W780" s="706">
        <v>273</v>
      </c>
      <c r="X780" s="706">
        <v>453</v>
      </c>
      <c r="Y780" s="706">
        <v>656</v>
      </c>
      <c r="Z780" s="706">
        <v>845</v>
      </c>
      <c r="AA780" s="706">
        <v>1067</v>
      </c>
      <c r="AB780" s="706">
        <v>1243</v>
      </c>
      <c r="AC780" s="706">
        <v>1440</v>
      </c>
      <c r="AD780" s="706">
        <v>1563</v>
      </c>
      <c r="AE780" s="706">
        <v>0</v>
      </c>
      <c r="AF780" s="706">
        <v>0</v>
      </c>
      <c r="AG780" s="706">
        <v>0</v>
      </c>
      <c r="AH780" s="706">
        <v>180</v>
      </c>
      <c r="AI780" s="706">
        <v>180</v>
      </c>
      <c r="AJ780" s="905" t="str">
        <f t="shared" si="74"/>
        <v>G49100</v>
      </c>
      <c r="AK780" s="905" t="str">
        <f t="shared" si="75"/>
        <v>VTES-HUILES &amp; GRAISSE</v>
      </c>
      <c r="AL780" s="905">
        <f>IFERROR(INDEX(G780:R780,1,MATCH(Parametres!$B$3,G$1:R$1,0)-1)*IF(OR(F780="L",F780="S",F780="I"),-1,1),"")</f>
        <v>-83376.42</v>
      </c>
      <c r="AM780" s="905">
        <f t="shared" si="76"/>
        <v>-13578.690000000002</v>
      </c>
      <c r="AN780" s="905">
        <f>INDEX(G780:R780,1,MATCH(Parametres!$B$3,G$1:R$1,0))*IF(OR(F780="L",F780="S",F780="I"),-1,1)</f>
        <v>-96955.11</v>
      </c>
      <c r="AO780" s="487" t="str">
        <f>+VLOOKUP($AJ780,Data_Validation!$A:$D,1,0)</f>
        <v>G49100</v>
      </c>
      <c r="AP780" s="487" t="str">
        <f>+VLOOKUP($AJ780,Data_Validation!$A:$D,3,0)</f>
        <v>Pièces</v>
      </c>
      <c r="AQ780" s="487" t="str">
        <f>+VLOOKUP($AJ780,Data_Validation!$A:$D,4,0)</f>
        <v>Huiles et Graisse</v>
      </c>
      <c r="AR780" s="487" t="s">
        <v>299</v>
      </c>
      <c r="AS780" s="487" t="str">
        <f>+VLOOKUP($AJ780,Data_Validation!$A:$E,5,0)</f>
        <v>Oui</v>
      </c>
      <c r="AT780" s="904" t="str">
        <f t="shared" si="77"/>
        <v>G49100</v>
      </c>
      <c r="AU780" s="488" t="str">
        <f t="shared" si="78"/>
        <v>VTES-HUILES &amp; GRAISSE</v>
      </c>
      <c r="AV780" s="899">
        <f>IFERROR(INDEX(V780:AG780,1,MATCH(Parametres!$B$3,V$1:AG$1,0)-1)*IF(OR(C780="L",C780="S",C780="I"),-1,1),"")</f>
        <v>1243</v>
      </c>
      <c r="AW780" s="899">
        <f t="shared" si="79"/>
        <v>197</v>
      </c>
      <c r="AX780" s="899">
        <f>INDEX(V780:AG780,1,MATCH(Parametres!$B$3,V$1:AG$1,0))*IF(OR(C780="L",C780="S",C780="I"),-1,1)</f>
        <v>1440</v>
      </c>
      <c r="AY780" s="487" t="s">
        <v>337</v>
      </c>
      <c r="AZ780" s="487" t="str">
        <f>+VLOOKUP($AJ780,Data_Validation!$A:$E,5,0)</f>
        <v>Oui</v>
      </c>
    </row>
    <row r="781" spans="1:52" ht="15" customHeight="1">
      <c r="A781" s="706" t="s">
        <v>1148</v>
      </c>
      <c r="B781" s="706">
        <v>2026</v>
      </c>
      <c r="C781" s="706" t="s">
        <v>2568</v>
      </c>
      <c r="D781" s="706" t="s">
        <v>2569</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G50210</v>
      </c>
      <c r="AK781" s="905" t="str">
        <f t="shared" si="75"/>
        <v>REVENUS LOCATION SERVICE</v>
      </c>
      <c r="AL781" s="905">
        <f>IFERROR(INDEX(G781:R781,1,MATCH(Parametres!$B$3,G$1:R$1,0)-1)*IF(OR(F781="L",F781="S",F781="I"),-1,1),"")</f>
        <v>0</v>
      </c>
      <c r="AM781" s="905">
        <f t="shared" si="76"/>
        <v>0</v>
      </c>
      <c r="AN781" s="905">
        <f>INDEX(G781:R781,1,MATCH(Parametres!$B$3,G$1:R$1,0))*IF(OR(F781="L",F781="S",F781="I"),-1,1)</f>
        <v>0</v>
      </c>
      <c r="AO781" s="487" t="str">
        <f>+VLOOKUP($AJ781,Data_Validation!$A:$D,1,0)</f>
        <v>G50210</v>
      </c>
      <c r="AP781" s="487" t="str">
        <f>+VLOOKUP($AJ781,Data_Validation!$A:$D,3,0)</f>
        <v>Service</v>
      </c>
      <c r="AQ781" s="487" t="str">
        <f>+VLOOKUP($AJ781,Data_Validation!$A:$D,4,0)</f>
        <v>Frais véhicules de cie</v>
      </c>
      <c r="AR781" s="487" t="s">
        <v>299</v>
      </c>
      <c r="AS781" s="487">
        <f>+VLOOKUP($AJ781,Data_Validation!$A:$E,5,0)</f>
        <v>0</v>
      </c>
      <c r="AT781" s="904" t="str">
        <f t="shared" si="77"/>
        <v>G50210</v>
      </c>
      <c r="AU781" s="488" t="str">
        <f t="shared" si="78"/>
        <v>REVENUS LOCATION SERVICE</v>
      </c>
      <c r="AV781" s="899">
        <f>IFERROR(INDEX(V781:AG781,1,MATCH(Parametres!$B$3,V$1:AG$1,0)-1)*IF(OR(C781="L",C781="S",C781="I"),-1,1),"")</f>
        <v>0</v>
      </c>
      <c r="AW781" s="899">
        <f t="shared" si="79"/>
        <v>0</v>
      </c>
      <c r="AX781" s="899">
        <f>INDEX(V781:AG781,1,MATCH(Parametres!$B$3,V$1:AG$1,0))*IF(OR(C781="L",C781="S",C781="I"),-1,1)</f>
        <v>0</v>
      </c>
      <c r="AY781" s="487" t="s">
        <v>337</v>
      </c>
      <c r="AZ781" s="487">
        <f>+VLOOKUP($AJ781,Data_Validation!$A:$E,5,0)</f>
        <v>0</v>
      </c>
    </row>
    <row r="782" spans="1:52" ht="15" customHeight="1">
      <c r="A782" s="706" t="s">
        <v>1148</v>
      </c>
      <c r="B782" s="706">
        <v>2026</v>
      </c>
      <c r="C782" s="706" t="s">
        <v>2570</v>
      </c>
      <c r="D782" s="706" t="s">
        <v>2571</v>
      </c>
      <c r="E782" s="706" t="s">
        <v>333</v>
      </c>
      <c r="F782" s="706" t="s">
        <v>1150</v>
      </c>
      <c r="G782" s="706">
        <v>0</v>
      </c>
      <c r="H782" s="706">
        <v>-3076.58</v>
      </c>
      <c r="I782" s="706">
        <v>-3310.58</v>
      </c>
      <c r="J782" s="706">
        <v>-4666.43</v>
      </c>
      <c r="K782" s="706">
        <v>-5040.79</v>
      </c>
      <c r="L782" s="706">
        <v>-5092.79</v>
      </c>
      <c r="M782" s="706">
        <v>-5092.79</v>
      </c>
      <c r="N782" s="706">
        <v>-7877.55</v>
      </c>
      <c r="O782" s="706">
        <v>-8605.5499999999993</v>
      </c>
      <c r="P782" s="706">
        <v>0</v>
      </c>
      <c r="Q782" s="706">
        <v>0</v>
      </c>
      <c r="R782" s="706">
        <v>0</v>
      </c>
      <c r="S782" s="706">
        <v>-984.69</v>
      </c>
      <c r="T782" s="706">
        <v>-984.69</v>
      </c>
      <c r="U782" s="706">
        <v>0</v>
      </c>
      <c r="V782" s="706">
        <v>0</v>
      </c>
      <c r="W782" s="706">
        <v>-4</v>
      </c>
      <c r="X782" s="706">
        <v>-5</v>
      </c>
      <c r="Y782" s="706">
        <v>-6</v>
      </c>
      <c r="Z782" s="706">
        <v>-7</v>
      </c>
      <c r="AA782" s="706">
        <v>-8</v>
      </c>
      <c r="AB782" s="706">
        <v>-8</v>
      </c>
      <c r="AC782" s="706">
        <v>-10</v>
      </c>
      <c r="AD782" s="706">
        <v>-12</v>
      </c>
      <c r="AE782" s="706">
        <v>0</v>
      </c>
      <c r="AF782" s="706">
        <v>0</v>
      </c>
      <c r="AG782" s="706">
        <v>0</v>
      </c>
      <c r="AH782" s="706">
        <v>-1</v>
      </c>
      <c r="AI782" s="706">
        <v>-1</v>
      </c>
      <c r="AJ782" s="905" t="str">
        <f t="shared" si="74"/>
        <v>G50220</v>
      </c>
      <c r="AK782" s="905" t="str">
        <f t="shared" si="75"/>
        <v>REVENUS LOCATION BODY</v>
      </c>
      <c r="AL782" s="905">
        <f>IFERROR(INDEX(G782:R782,1,MATCH(Parametres!$B$3,G$1:R$1,0)-1)*IF(OR(F782="L",F782="S",F782="I"),-1,1),"")</f>
        <v>5092.79</v>
      </c>
      <c r="AM782" s="905">
        <f t="shared" si="76"/>
        <v>2784.76</v>
      </c>
      <c r="AN782" s="905">
        <f>INDEX(G782:R782,1,MATCH(Parametres!$B$3,G$1:R$1,0))*IF(OR(F782="L",F782="S",F782="I"),-1,1)</f>
        <v>7877.55</v>
      </c>
      <c r="AO782" s="487" t="str">
        <f>+VLOOKUP($AJ782,Data_Validation!$A:$D,1,0)</f>
        <v>G50220</v>
      </c>
      <c r="AP782" s="487" t="str">
        <f>+VLOOKUP($AJ782,Data_Validation!$A:$D,3,0)</f>
        <v>Carrosserie</v>
      </c>
      <c r="AQ782" s="487" t="str">
        <f>+VLOOKUP($AJ782,Data_Validation!$A:$D,4,0)</f>
        <v>Frais véhicules de cie</v>
      </c>
      <c r="AR782" s="487" t="s">
        <v>299</v>
      </c>
      <c r="AS782" s="487">
        <f>+VLOOKUP($AJ782,Data_Validation!$A:$E,5,0)</f>
        <v>0</v>
      </c>
      <c r="AT782" s="904" t="str">
        <f t="shared" si="77"/>
        <v>G50220</v>
      </c>
      <c r="AU782" s="488" t="str">
        <f t="shared" si="78"/>
        <v>REVENUS LOCATION BODY</v>
      </c>
      <c r="AV782" s="899">
        <f>IFERROR(INDEX(V782:AG782,1,MATCH(Parametres!$B$3,V$1:AG$1,0)-1)*IF(OR(C782="L",C782="S",C782="I"),-1,1),"")</f>
        <v>-8</v>
      </c>
      <c r="AW782" s="899">
        <f t="shared" si="79"/>
        <v>-2</v>
      </c>
      <c r="AX782" s="899">
        <f>INDEX(V782:AG782,1,MATCH(Parametres!$B$3,V$1:AG$1,0))*IF(OR(C782="L",C782="S",C782="I"),-1,1)</f>
        <v>-10</v>
      </c>
      <c r="AY782" s="487" t="s">
        <v>337</v>
      </c>
      <c r="AZ782" s="487">
        <f>+VLOOKUP($AJ782,Data_Validation!$A:$E,5,0)</f>
        <v>0</v>
      </c>
    </row>
    <row r="783" spans="1:52" ht="15" customHeight="1">
      <c r="A783" s="706" t="s">
        <v>1148</v>
      </c>
      <c r="B783" s="706">
        <v>2026</v>
      </c>
      <c r="C783" s="706" t="s">
        <v>2572</v>
      </c>
      <c r="D783" s="706" t="s">
        <v>2573</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G511</v>
      </c>
      <c r="AK783" s="905" t="str">
        <f t="shared" si="75"/>
        <v>PMNT PER. LOC.BAIL-SIMPLE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G511</v>
      </c>
      <c r="AU783" s="488" t="str">
        <f t="shared" si="78"/>
        <v>PMNT PER. LOC.BAIL-SIMPLE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2574</v>
      </c>
      <c r="D784" s="706" t="s">
        <v>2575</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G512</v>
      </c>
      <c r="AK784" s="905" t="str">
        <f t="shared" si="75"/>
        <v>REVENU ENTRETIEN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G512</v>
      </c>
      <c r="AU784" s="488" t="str">
        <f t="shared" si="78"/>
        <v>REVENU ENTRETIEN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2576</v>
      </c>
      <c r="D785" s="706" t="s">
        <v>2577</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G513</v>
      </c>
      <c r="AK785" s="905" t="str">
        <f t="shared" si="75"/>
        <v>REV.PARTIEL MOIS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G513</v>
      </c>
      <c r="AU785" s="488" t="str">
        <f t="shared" si="78"/>
        <v>REV.PARTIEL MOIS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2578</v>
      </c>
      <c r="D786" s="706" t="s">
        <v>2579</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G514</v>
      </c>
      <c r="AK786" s="905" t="str">
        <f t="shared" si="75"/>
        <v>FRAIS PMNT TARDIF -SIMPLE</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G514</v>
      </c>
      <c r="AU786" s="488" t="str">
        <f t="shared" si="78"/>
        <v>FRAIS PMNT TARDIF -SIMPLE</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2580</v>
      </c>
      <c r="D787" s="706" t="s">
        <v>2581</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G516</v>
      </c>
      <c r="AK787" s="905" t="str">
        <f t="shared" si="75"/>
        <v>FRAIS ADMINIST.   -SIMPLE</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G516</v>
      </c>
      <c r="AU787" s="488" t="str">
        <f t="shared" si="78"/>
        <v>FRAIS ADMINIST.   -SIMPLE</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2582</v>
      </c>
      <c r="D788" s="706" t="s">
        <v>2583</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G517</v>
      </c>
      <c r="AK788" s="905" t="str">
        <f t="shared" si="75"/>
        <v>AUTRES REV.LOCAT. -SIMPLE</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G517</v>
      </c>
      <c r="AU788" s="488" t="str">
        <f t="shared" si="78"/>
        <v>AUTRES REV.LOCAT. -SIMPLE</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2584</v>
      </c>
      <c r="D789" s="706" t="s">
        <v>2585</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G521</v>
      </c>
      <c r="AK789" s="905" t="str">
        <f t="shared" si="75"/>
        <v>PMNT PER. LOC.BAIL-ALEATO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G521</v>
      </c>
      <c r="AU789" s="488" t="str">
        <f t="shared" si="78"/>
        <v>PMNT PER. LOC.BAIL-ALEATO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2586</v>
      </c>
      <c r="D790" s="706" t="s">
        <v>2587</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G522</v>
      </c>
      <c r="AK790" s="905" t="str">
        <f t="shared" si="75"/>
        <v>REVENU ENTRETIEN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G522</v>
      </c>
      <c r="AU790" s="488" t="str">
        <f t="shared" si="78"/>
        <v>REVENU ENTRETIEN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2588</v>
      </c>
      <c r="D791" s="706" t="s">
        <v>2589</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G523</v>
      </c>
      <c r="AK791" s="905" t="str">
        <f t="shared" si="75"/>
        <v>REV.PARTIEL MOIS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G523</v>
      </c>
      <c r="AU791" s="488" t="str">
        <f t="shared" si="78"/>
        <v>REV.PARTIEL MOIS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2590</v>
      </c>
      <c r="D792" s="706" t="s">
        <v>2591</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G524</v>
      </c>
      <c r="AK792" s="905" t="str">
        <f t="shared" ref="AK792:AK855" si="81">D792</f>
        <v>FRAIS PMNT TARDIF -ALEATO</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G524</v>
      </c>
      <c r="AU792" s="488" t="str">
        <f t="shared" ref="AU792:AU855" si="84">D792</f>
        <v>FRAIS PMNT TARDIF -ALEATO</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customHeight="1">
      <c r="A793" s="706" t="s">
        <v>1148</v>
      </c>
      <c r="B793" s="706">
        <v>2026</v>
      </c>
      <c r="C793" s="706" t="s">
        <v>2592</v>
      </c>
      <c r="D793" s="706" t="s">
        <v>2593</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G526</v>
      </c>
      <c r="AK793" s="905" t="str">
        <f t="shared" si="81"/>
        <v>FRAIS ADMINIST.   -ALEATO</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G526</v>
      </c>
      <c r="AU793" s="488" t="str">
        <f t="shared" si="84"/>
        <v>FRAIS ADMINIST.   -ALEATO</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2594</v>
      </c>
      <c r="D794" s="706" t="s">
        <v>2595</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G527</v>
      </c>
      <c r="AK794" s="905" t="str">
        <f t="shared" si="81"/>
        <v>AUTRES REV.LOCAT. -ALEATO</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G527</v>
      </c>
      <c r="AU794" s="488" t="str">
        <f t="shared" si="84"/>
        <v>AUTRES REV.LOCAT. -ALEATO</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customHeight="1">
      <c r="A795" s="706" t="s">
        <v>1148</v>
      </c>
      <c r="B795" s="706">
        <v>2026</v>
      </c>
      <c r="C795" s="706" t="s">
        <v>2596</v>
      </c>
      <c r="D795" s="706" t="s">
        <v>2597</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G53000</v>
      </c>
      <c r="AK795" s="905" t="str">
        <f t="shared" si="81"/>
        <v>PRIX VTE VEHICULES CEDES</v>
      </c>
      <c r="AL795" s="905">
        <f>IFERROR(INDEX(G795:R795,1,MATCH(Parametres!$B$3,G$1:R$1,0)-1)*IF(OR(F795="L",F795="S",F795="I"),-1,1),"")</f>
        <v>0</v>
      </c>
      <c r="AM795" s="905">
        <f t="shared" si="82"/>
        <v>0</v>
      </c>
      <c r="AN795" s="905">
        <f>INDEX(G795:R795,1,MATCH(Parametres!$B$3,G$1:R$1,0))*IF(OR(F795="L",F795="S",F795="I"),-1,1)</f>
        <v>0</v>
      </c>
      <c r="AO795" s="487" t="str">
        <f>+VLOOKUP($AJ795,Data_Validation!$A:$D,1,0)</f>
        <v>G53000</v>
      </c>
      <c r="AP795" s="487">
        <f>+VLOOKUP($AJ795,Data_Validation!$A:$D,3,0)</f>
        <v>0</v>
      </c>
      <c r="AQ795" s="487">
        <f>+VLOOKUP($AJ795,Data_Validation!$A:$D,4,0)</f>
        <v>0</v>
      </c>
      <c r="AR795" s="487" t="s">
        <v>299</v>
      </c>
      <c r="AS795" s="487">
        <f>+VLOOKUP($AJ795,Data_Validation!$A:$E,5,0)</f>
        <v>0</v>
      </c>
      <c r="AT795" s="904" t="str">
        <f t="shared" si="83"/>
        <v>G53000</v>
      </c>
      <c r="AU795" s="488" t="str">
        <f t="shared" si="84"/>
        <v>PRIX VTE VEHICULES CEDES</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customHeight="1">
      <c r="A796" s="706" t="s">
        <v>1148</v>
      </c>
      <c r="B796" s="706">
        <v>2026</v>
      </c>
      <c r="C796" s="706" t="s">
        <v>2598</v>
      </c>
      <c r="D796" s="706" t="s">
        <v>2599</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G534</v>
      </c>
      <c r="AK796" s="905" t="str">
        <f t="shared" si="81"/>
        <v>FRAIS PMNT TARDIF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G534</v>
      </c>
      <c r="AU796" s="488" t="str">
        <f t="shared" si="84"/>
        <v>FRAIS PMNT TARDIF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2600</v>
      </c>
      <c r="D797" s="706" t="s">
        <v>2601</v>
      </c>
      <c r="E797" s="706" t="s">
        <v>333</v>
      </c>
      <c r="F797" s="706" t="s">
        <v>1150</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G535</v>
      </c>
      <c r="AK797" s="905" t="str">
        <f t="shared" si="81"/>
        <v>REV.LOCATION C/T     -C/T</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G535</v>
      </c>
      <c r="AU797" s="488" t="str">
        <f t="shared" si="84"/>
        <v>REV.LOCATION C/T     -C/T</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2602</v>
      </c>
      <c r="D798" s="706" t="s">
        <v>2603</v>
      </c>
      <c r="E798" s="706" t="s">
        <v>333</v>
      </c>
      <c r="F798" s="706" t="s">
        <v>1150</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G53500</v>
      </c>
      <c r="AK798" s="905" t="str">
        <f t="shared" si="81"/>
        <v>REVENUS LOCATION C/TERME</v>
      </c>
      <c r="AL798" s="905">
        <f>IFERROR(INDEX(G798:R798,1,MATCH(Parametres!$B$3,G$1:R$1,0)-1)*IF(OR(F798="L",F798="S",F798="I"),-1,1),"")</f>
        <v>0</v>
      </c>
      <c r="AM798" s="1047">
        <f t="shared" si="82"/>
        <v>0</v>
      </c>
      <c r="AN798" s="905">
        <f>INDEX(G798:R798,1,MATCH(Parametres!$B$3,G$1:R$1,0))*IF(OR(F798="L",F798="S",F798="I"),-1,1)</f>
        <v>0</v>
      </c>
      <c r="AO798" s="487" t="str">
        <f>+VLOOKUP($AJ798,Data_Validation!$A:$D,1,0)</f>
        <v>G53500</v>
      </c>
      <c r="AP798" s="487">
        <f>+VLOOKUP($AJ798,Data_Validation!$A:$D,3,0)</f>
        <v>0</v>
      </c>
      <c r="AQ798" s="487">
        <f>+VLOOKUP($AJ798,Data_Validation!$A:$D,4,0)</f>
        <v>0</v>
      </c>
      <c r="AR798" s="487" t="s">
        <v>299</v>
      </c>
      <c r="AS798" s="487">
        <f>+VLOOKUP($AJ798,Data_Validation!$A:$E,5,0)</f>
        <v>0</v>
      </c>
      <c r="AT798" s="904" t="str">
        <f t="shared" si="83"/>
        <v>G53500</v>
      </c>
      <c r="AU798" s="488" t="str">
        <f t="shared" si="84"/>
        <v>REVENUS LOCATION C/TERME</v>
      </c>
      <c r="AV798" s="899">
        <f>IFERROR(INDEX(V798:AG798,1,MATCH(Parametres!$B$3,V$1:AG$1,0)-1)*IF(OR(C798="L",C798="S",C798="I"),-1,1),"")</f>
        <v>0</v>
      </c>
      <c r="AW798" s="899">
        <f t="shared" si="85"/>
        <v>0</v>
      </c>
      <c r="AX798" s="899">
        <f>INDEX(V798:AG798,1,MATCH(Parametres!$B$3,V$1:AG$1,0))*IF(OR(C798="L",C798="S",C798="I"),-1,1)</f>
        <v>0</v>
      </c>
      <c r="AY798" s="487" t="s">
        <v>337</v>
      </c>
      <c r="AZ798" s="487">
        <f>+VLOOKUP($AJ798,Data_Validation!$A:$E,5,0)</f>
        <v>0</v>
      </c>
    </row>
    <row r="799" spans="1:52" ht="15" customHeight="1">
      <c r="A799" s="706" t="s">
        <v>1148</v>
      </c>
      <c r="B799" s="706">
        <v>2026</v>
      </c>
      <c r="C799" s="706" t="s">
        <v>2604</v>
      </c>
      <c r="D799" s="706" t="s">
        <v>2605</v>
      </c>
      <c r="E799" s="706" t="s">
        <v>333</v>
      </c>
      <c r="F799" s="706" t="s">
        <v>1150</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G536</v>
      </c>
      <c r="AK799" s="905" t="str">
        <f t="shared" si="81"/>
        <v>FRAIS ADMINIST.      -C/T</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G536</v>
      </c>
      <c r="AU799" s="488" t="str">
        <f t="shared" si="84"/>
        <v>FRAIS ADMINIST.      -C/T</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2606</v>
      </c>
      <c r="D800" s="706" t="s">
        <v>2607</v>
      </c>
      <c r="E800" s="706" t="s">
        <v>333</v>
      </c>
      <c r="F800" s="706" t="s">
        <v>1149</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G541</v>
      </c>
      <c r="AK800" s="905" t="str">
        <f t="shared" si="81"/>
        <v>COMM.ENCAISSE/ASS LOC C&amp;L</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G541</v>
      </c>
      <c r="AU800" s="488" t="str">
        <f t="shared" si="84"/>
        <v>COMM.ENCAISSE/ASS LOC C&amp;L</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2608</v>
      </c>
      <c r="D801" s="706" t="s">
        <v>2609</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G541C</v>
      </c>
      <c r="AK801" s="905" t="str">
        <f t="shared" si="81"/>
        <v>*COMM.ENCAISSE/ASS.LOC</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G541C</v>
      </c>
      <c r="AU801" s="488" t="str">
        <f t="shared" si="84"/>
        <v>*COMM.ENCAISSE/ASS.LOC</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2610</v>
      </c>
      <c r="D802" s="706" t="s">
        <v>2611</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G542</v>
      </c>
      <c r="AK802" s="905" t="str">
        <f t="shared" si="81"/>
        <v>ACCESSOIRES LOC C&amp;L TERME</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G542</v>
      </c>
      <c r="AU802" s="488" t="str">
        <f t="shared" si="84"/>
        <v>ACCESSOIRES LOC C&amp;L TERME</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2612</v>
      </c>
      <c r="D803" s="706" t="s">
        <v>2611</v>
      </c>
      <c r="E803" s="706" t="s">
        <v>333</v>
      </c>
      <c r="F803" s="706" t="s">
        <v>1152</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G542C</v>
      </c>
      <c r="AK803" s="905" t="str">
        <f t="shared" si="81"/>
        <v>ACCESSOIRES LOC C&amp;L TERME</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G542C</v>
      </c>
      <c r="AU803" s="488" t="str">
        <f t="shared" si="84"/>
        <v>ACCESSOIRES LOC C&amp;L TERME</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2613</v>
      </c>
      <c r="D804" s="706" t="s">
        <v>2614</v>
      </c>
      <c r="E804" s="706" t="s">
        <v>333</v>
      </c>
      <c r="F804" s="706" t="s">
        <v>1149</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G543</v>
      </c>
      <c r="AK804" s="905" t="str">
        <f t="shared" si="81"/>
        <v>PLAN PROT.GM LOC C&amp;L TERM</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G543</v>
      </c>
      <c r="AU804" s="488" t="str">
        <f t="shared" si="84"/>
        <v>PLAN PROT.GM LOC C&amp;L TERM</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2615</v>
      </c>
      <c r="D805" s="706" t="s">
        <v>2614</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G543C</v>
      </c>
      <c r="AK805" s="905" t="str">
        <f t="shared" si="81"/>
        <v>PLAN PROT.GM LOC C&amp;L TERM</v>
      </c>
      <c r="AL805" s="905">
        <f>IFERROR(INDEX(G805:R805,1,MATCH(Parametres!$B$3,G$1:R$1,0)-1)*IF(OR(F805="L",F805="S",F805="I"),-1,1),"")</f>
        <v>0</v>
      </c>
      <c r="AM805" s="905">
        <f t="shared" si="82"/>
        <v>0</v>
      </c>
      <c r="AN805" s="905">
        <f>INDEX(G805:R805,1,MATCH(Parametres!$B$3,G$1:R$1,0))*IF(OR(F805="L",F805="S",F805="I"),-1,1)</f>
        <v>0</v>
      </c>
      <c r="AO805" s="487" t="e">
        <f>+VLOOKUP($AJ805,Data_Validation!$A:$D,1,0)</f>
        <v>#N/A</v>
      </c>
      <c r="AP805" s="487" t="e">
        <f>+VLOOKUP($AJ805,Data_Validation!$A:$D,3,0)</f>
        <v>#N/A</v>
      </c>
      <c r="AQ805" s="487" t="e">
        <f>+VLOOKUP($AJ805,Data_Validation!$A:$D,4,0)</f>
        <v>#N/A</v>
      </c>
      <c r="AR805" s="487" t="s">
        <v>299</v>
      </c>
      <c r="AS805" s="487" t="e">
        <f>+VLOOKUP($AJ805,Data_Validation!$A:$E,5,0)</f>
        <v>#N/A</v>
      </c>
      <c r="AT805" s="904" t="str">
        <f t="shared" si="83"/>
        <v>G543C</v>
      </c>
      <c r="AU805" s="488" t="str">
        <f t="shared" si="84"/>
        <v>PLAN PROT.GM LOC C&amp;L TERM</v>
      </c>
      <c r="AV805" s="899">
        <f>IFERROR(INDEX(V805:AG805,1,MATCH(Parametres!$B$3,V$1:AG$1,0)-1)*IF(OR(C805="L",C805="S",C805="I"),-1,1),"")</f>
        <v>0</v>
      </c>
      <c r="AW805" s="899">
        <f t="shared" si="85"/>
        <v>0</v>
      </c>
      <c r="AX805" s="899">
        <f>INDEX(V805:AG805,1,MATCH(Parametres!$B$3,V$1:AG$1,0))*IF(OR(C805="L",C805="S",C805="I"),-1,1)</f>
        <v>0</v>
      </c>
      <c r="AY805" s="487" t="s">
        <v>337</v>
      </c>
      <c r="AZ805" s="487" t="e">
        <f>+VLOOKUP($AJ805,Data_Validation!$A:$E,5,0)</f>
        <v>#N/A</v>
      </c>
    </row>
    <row r="806" spans="1:52" ht="15" customHeight="1">
      <c r="A806" s="706" t="s">
        <v>1148</v>
      </c>
      <c r="B806" s="706">
        <v>2026</v>
      </c>
      <c r="C806" s="706" t="s">
        <v>2616</v>
      </c>
      <c r="D806" s="706" t="s">
        <v>2617</v>
      </c>
      <c r="E806" s="706" t="s">
        <v>333</v>
      </c>
      <c r="F806" s="706" t="s">
        <v>1149</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G544</v>
      </c>
      <c r="AK806" s="905" t="str">
        <f t="shared" si="81"/>
        <v>AUTRES PLAN PROT. LOC C&amp;L</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G544</v>
      </c>
      <c r="AU806" s="488" t="str">
        <f t="shared" si="84"/>
        <v>AUTRES PLAN PROT. LOC C&amp;L</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customHeight="1">
      <c r="A807" s="706" t="s">
        <v>1148</v>
      </c>
      <c r="B807" s="706">
        <v>2026</v>
      </c>
      <c r="C807" s="706" t="s">
        <v>2618</v>
      </c>
      <c r="D807" s="706" t="s">
        <v>2619</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G544C</v>
      </c>
      <c r="AK807" s="905" t="str">
        <f t="shared" si="81"/>
        <v>AUTRES PLAN PROT.LOC C&amp;L</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G544C</v>
      </c>
      <c r="AU807" s="488" t="str">
        <f t="shared" si="84"/>
        <v>AUTRES PLAN PROT.LOC C&amp;L</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customHeight="1">
      <c r="A808" s="706" t="s">
        <v>1148</v>
      </c>
      <c r="B808" s="706">
        <v>2026</v>
      </c>
      <c r="C808" s="706" t="s">
        <v>2620</v>
      </c>
      <c r="D808" s="706" t="s">
        <v>2621</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G60000</v>
      </c>
      <c r="AK808" s="905" t="str">
        <f t="shared" si="81"/>
        <v>COUT- VOLT</v>
      </c>
      <c r="AL808" s="905">
        <f>IFERROR(INDEX(G808:R808,1,MATCH(Parametres!$B$3,G$1:R$1,0)-1)*IF(OR(F808="L",F808="S",F808="I"),-1,1),"")</f>
        <v>0</v>
      </c>
      <c r="AM808" s="905">
        <f t="shared" si="82"/>
        <v>0</v>
      </c>
      <c r="AN808" s="905">
        <f>INDEX(G808:R808,1,MATCH(Parametres!$B$3,G$1:R$1,0))*IF(OR(F808="L",F808="S",F808="I"),-1,1)</f>
        <v>0</v>
      </c>
      <c r="AO808" s="487" t="str">
        <f>+VLOOKUP($AJ808,Data_Validation!$A:$D,1,0)</f>
        <v>G60000</v>
      </c>
      <c r="AP808" s="487" t="str">
        <f>+VLOOKUP($AJ808,Data_Validation!$A:$D,3,0)</f>
        <v>Véhicules neufs</v>
      </c>
      <c r="AQ808" s="487" t="str">
        <f>+VLOOKUP($AJ808,Data_Validation!$A:$D,4,0)</f>
        <v>Autos détail</v>
      </c>
      <c r="AR808" s="487" t="s">
        <v>299</v>
      </c>
      <c r="AS808" s="487">
        <f>+VLOOKUP($AJ808,Data_Validation!$A:$E,5,0)</f>
        <v>0</v>
      </c>
      <c r="AT808" s="904" t="str">
        <f t="shared" si="83"/>
        <v>G60000</v>
      </c>
      <c r="AU808" s="488" t="str">
        <f t="shared" si="84"/>
        <v>COUT- VOLT</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2622</v>
      </c>
      <c r="D809" s="706" t="s">
        <v>2623</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G60004</v>
      </c>
      <c r="AK809" s="905" t="str">
        <f t="shared" si="81"/>
        <v>COUTANT BUICK REGAL</v>
      </c>
      <c r="AL809" s="905">
        <f>IFERROR(INDEX(G809:R809,1,MATCH(Parametres!$B$3,G$1:R$1,0)-1)*IF(OR(F809="L",F809="S",F809="I"),-1,1),"")</f>
        <v>0</v>
      </c>
      <c r="AM809" s="905">
        <f t="shared" si="82"/>
        <v>0</v>
      </c>
      <c r="AN809" s="905">
        <f>INDEX(G809:R809,1,MATCH(Parametres!$B$3,G$1:R$1,0))*IF(OR(F809="L",F809="S",F809="I"),-1,1)</f>
        <v>0</v>
      </c>
      <c r="AO809" s="487" t="str">
        <f>+VLOOKUP($AJ809,Data_Validation!$A:$D,1,0)</f>
        <v>G60004</v>
      </c>
      <c r="AP809" s="487" t="str">
        <f>+VLOOKUP($AJ809,Data_Validation!$A:$D,3,0)</f>
        <v>Véhicules neufs</v>
      </c>
      <c r="AQ809" s="487" t="str">
        <f>+VLOOKUP($AJ809,Data_Validation!$A:$D,4,0)</f>
        <v>Autos détail</v>
      </c>
      <c r="AR809" s="487" t="s">
        <v>299</v>
      </c>
      <c r="AS809" s="487">
        <f>+VLOOKUP($AJ809,Data_Validation!$A:$E,5,0)</f>
        <v>0</v>
      </c>
      <c r="AT809" s="904" t="str">
        <f t="shared" si="83"/>
        <v>G60004</v>
      </c>
      <c r="AU809" s="488" t="str">
        <f t="shared" si="84"/>
        <v>COUTANT BUICK REGAL</v>
      </c>
      <c r="AV809" s="899">
        <f>IFERROR(INDEX(V809:AG809,1,MATCH(Parametres!$B$3,V$1:AG$1,0)-1)*IF(OR(C809="L",C809="S",C809="I"),-1,1),"")</f>
        <v>0</v>
      </c>
      <c r="AW809" s="899">
        <f t="shared" si="85"/>
        <v>0</v>
      </c>
      <c r="AX809" s="899">
        <f>INDEX(V809:AG809,1,MATCH(Parametres!$B$3,V$1:AG$1,0))*IF(OR(C809="L",C809="S",C809="I"),-1,1)</f>
        <v>0</v>
      </c>
      <c r="AY809" s="487" t="s">
        <v>337</v>
      </c>
      <c r="AZ809" s="487">
        <f>+VLOOKUP($AJ809,Data_Validation!$A:$E,5,0)</f>
        <v>0</v>
      </c>
    </row>
    <row r="810" spans="1:52" ht="15" customHeight="1">
      <c r="A810" s="706" t="s">
        <v>1148</v>
      </c>
      <c r="B810" s="706">
        <v>2026</v>
      </c>
      <c r="C810" s="706" t="s">
        <v>2624</v>
      </c>
      <c r="D810" s="706" t="s">
        <v>2625</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G60100</v>
      </c>
      <c r="AK810" s="905" t="str">
        <f t="shared" si="81"/>
        <v>COUTANT MALIBU</v>
      </c>
      <c r="AL810" s="905">
        <f>IFERROR(INDEX(G810:R810,1,MATCH(Parametres!$B$3,G$1:R$1,0)-1)*IF(OR(F810="L",F810="S",F810="I"),-1,1),"")</f>
        <v>0</v>
      </c>
      <c r="AM810" s="905">
        <f t="shared" si="82"/>
        <v>0</v>
      </c>
      <c r="AN810" s="905">
        <f>INDEX(G810:R810,1,MATCH(Parametres!$B$3,G$1:R$1,0))*IF(OR(F810="L",F810="S",F810="I"),-1,1)</f>
        <v>0</v>
      </c>
      <c r="AO810" s="487" t="str">
        <f>+VLOOKUP($AJ810,Data_Validation!$A:$D,1,0)</f>
        <v>G60100</v>
      </c>
      <c r="AP810" s="487" t="str">
        <f>+VLOOKUP($AJ810,Data_Validation!$A:$D,3,0)</f>
        <v>Véhicules neufs</v>
      </c>
      <c r="AQ810" s="487" t="str">
        <f>+VLOOKUP($AJ810,Data_Validation!$A:$D,4,0)</f>
        <v>Autos détail</v>
      </c>
      <c r="AR810" s="487" t="s">
        <v>299</v>
      </c>
      <c r="AS810" s="487">
        <f>+VLOOKUP($AJ810,Data_Validation!$A:$E,5,0)</f>
        <v>0</v>
      </c>
      <c r="AT810" s="904" t="str">
        <f t="shared" si="83"/>
        <v>G60100</v>
      </c>
      <c r="AU810" s="488" t="str">
        <f t="shared" si="84"/>
        <v>COUTANT MALIBU</v>
      </c>
      <c r="AV810" s="899">
        <f>IFERROR(INDEX(V810:AG810,1,MATCH(Parametres!$B$3,V$1:AG$1,0)-1)*IF(OR(C810="L",C810="S",C810="I"),-1,1),"")</f>
        <v>0</v>
      </c>
      <c r="AW810" s="899">
        <f t="shared" si="85"/>
        <v>0</v>
      </c>
      <c r="AX810" s="899">
        <f>INDEX(V810:AG810,1,MATCH(Parametres!$B$3,V$1:AG$1,0))*IF(OR(C810="L",C810="S",C810="I"),-1,1)</f>
        <v>0</v>
      </c>
      <c r="AY810" s="487" t="s">
        <v>337</v>
      </c>
      <c r="AZ810" s="487">
        <f>+VLOOKUP($AJ810,Data_Validation!$A:$E,5,0)</f>
        <v>0</v>
      </c>
    </row>
    <row r="811" spans="1:52" ht="15" customHeight="1">
      <c r="A811" s="706" t="s">
        <v>1148</v>
      </c>
      <c r="B811" s="706">
        <v>2026</v>
      </c>
      <c r="C811" s="706" t="s">
        <v>2626</v>
      </c>
      <c r="D811" s="706" t="s">
        <v>2627</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G60101</v>
      </c>
      <c r="AK811" s="905" t="str">
        <f t="shared" si="81"/>
        <v>COUTANT BUICK LACROSSE</v>
      </c>
      <c r="AL811" s="905">
        <f>IFERROR(INDEX(G811:R811,1,MATCH(Parametres!$B$3,G$1:R$1,0)-1)*IF(OR(F811="L",F811="S",F811="I"),-1,1),"")</f>
        <v>0</v>
      </c>
      <c r="AM811" s="905">
        <f t="shared" si="82"/>
        <v>0</v>
      </c>
      <c r="AN811" s="905">
        <f>INDEX(G811:R811,1,MATCH(Parametres!$B$3,G$1:R$1,0))*IF(OR(F811="L",F811="S",F811="I"),-1,1)</f>
        <v>0</v>
      </c>
      <c r="AO811" s="487" t="str">
        <f>+VLOOKUP($AJ811,Data_Validation!$A:$D,1,0)</f>
        <v>G60101</v>
      </c>
      <c r="AP811" s="487" t="str">
        <f>+VLOOKUP($AJ811,Data_Validation!$A:$D,3,0)</f>
        <v>Véhicules neufs</v>
      </c>
      <c r="AQ811" s="487" t="str">
        <f>+VLOOKUP($AJ811,Data_Validation!$A:$D,4,0)</f>
        <v>Autos détail</v>
      </c>
      <c r="AR811" s="487" t="s">
        <v>299</v>
      </c>
      <c r="AS811" s="487">
        <f>+VLOOKUP($AJ811,Data_Validation!$A:$E,5,0)</f>
        <v>0</v>
      </c>
      <c r="AT811" s="904" t="str">
        <f t="shared" si="83"/>
        <v>G60101</v>
      </c>
      <c r="AU811" s="488" t="str">
        <f t="shared" si="84"/>
        <v>COUTANT BUICK LACROSSE</v>
      </c>
      <c r="AV811" s="899">
        <f>IFERROR(INDEX(V811:AG811,1,MATCH(Parametres!$B$3,V$1:AG$1,0)-1)*IF(OR(C811="L",C811="S",C811="I"),-1,1),"")</f>
        <v>0</v>
      </c>
      <c r="AW811" s="899">
        <f t="shared" si="85"/>
        <v>0</v>
      </c>
      <c r="AX811" s="899">
        <f>INDEX(V811:AG811,1,MATCH(Parametres!$B$3,V$1:AG$1,0))*IF(OR(C811="L",C811="S",C811="I"),-1,1)</f>
        <v>0</v>
      </c>
      <c r="AY811" s="487" t="s">
        <v>337</v>
      </c>
      <c r="AZ811" s="487">
        <f>+VLOOKUP($AJ811,Data_Validation!$A:$E,5,0)</f>
        <v>0</v>
      </c>
    </row>
    <row r="812" spans="1:52" ht="15" customHeight="1">
      <c r="A812" s="706" t="s">
        <v>1148</v>
      </c>
      <c r="B812" s="706">
        <v>2026</v>
      </c>
      <c r="C812" s="706" t="s">
        <v>2628</v>
      </c>
      <c r="D812" s="706" t="s">
        <v>2629</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G60120</v>
      </c>
      <c r="AK812" s="905" t="str">
        <f t="shared" si="81"/>
        <v>COUT-MALIBU          -LOC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G60120</v>
      </c>
      <c r="AU812" s="488" t="str">
        <f t="shared" si="84"/>
        <v>COUT-MALIBU          -LOC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2630</v>
      </c>
      <c r="D813" s="706" t="s">
        <v>2631</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v>
      </c>
      <c r="AK813" s="905" t="str">
        <f t="shared" si="81"/>
        <v>COUT - GMC CANYON</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G602</v>
      </c>
      <c r="AU813" s="488" t="str">
        <f t="shared" si="84"/>
        <v>COUT - GMC CANYON</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2632</v>
      </c>
      <c r="D814" s="706" t="s">
        <v>2633</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G60200</v>
      </c>
      <c r="AK814" s="905" t="str">
        <f t="shared" si="81"/>
        <v>COUT-MALIBU MAXX</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G60200</v>
      </c>
      <c r="AU814" s="488" t="str">
        <f t="shared" si="84"/>
        <v>COUT-MALIBU MAXX</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2634</v>
      </c>
      <c r="D815" s="706" t="s">
        <v>2635</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G60201</v>
      </c>
      <c r="AK815" s="905" t="str">
        <f t="shared" si="81"/>
        <v>COUT - SONIC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G60201</v>
      </c>
      <c r="AU815" s="488" t="str">
        <f t="shared" si="84"/>
        <v>COUT - SONIC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2636</v>
      </c>
      <c r="D816" s="706" t="s">
        <v>2637</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G60204</v>
      </c>
      <c r="AK816" s="905" t="str">
        <f t="shared" si="81"/>
        <v>COUTANT-VERANO</v>
      </c>
      <c r="AL816" s="905">
        <f>IFERROR(INDEX(G816:R816,1,MATCH(Parametres!$B$3,G$1:R$1,0)-1)*IF(OR(F816="L",F816="S",F816="I"),-1,1),"")</f>
        <v>0</v>
      </c>
      <c r="AM816" s="905">
        <f t="shared" si="82"/>
        <v>0</v>
      </c>
      <c r="AN816" s="905">
        <f>INDEX(G816:R816,1,MATCH(Parametres!$B$3,G$1:R$1,0))*IF(OR(F816="L",F816="S",F816="I"),-1,1)</f>
        <v>0</v>
      </c>
      <c r="AO816" s="487" t="str">
        <f>+VLOOKUP($AJ816,Data_Validation!$A:$D,1,0)</f>
        <v>G60204</v>
      </c>
      <c r="AP816" s="487" t="str">
        <f>+VLOOKUP($AJ816,Data_Validation!$A:$D,3,0)</f>
        <v>Véhicules neufs</v>
      </c>
      <c r="AQ816" s="487" t="str">
        <f>+VLOOKUP($AJ816,Data_Validation!$A:$D,4,0)</f>
        <v>Autos détail</v>
      </c>
      <c r="AR816" s="487" t="s">
        <v>299</v>
      </c>
      <c r="AS816" s="487">
        <f>+VLOOKUP($AJ816,Data_Validation!$A:$E,5,0)</f>
        <v>0</v>
      </c>
      <c r="AT816" s="904" t="str">
        <f t="shared" si="83"/>
        <v>G60204</v>
      </c>
      <c r="AU816" s="488" t="str">
        <f t="shared" si="84"/>
        <v>COUTANT-VERANO</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2638</v>
      </c>
      <c r="D817" s="706" t="s">
        <v>2639</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G60300</v>
      </c>
      <c r="AK817" s="905" t="str">
        <f t="shared" si="81"/>
        <v>COUT-IMPALA</v>
      </c>
      <c r="AL817" s="905">
        <f>IFERROR(INDEX(G817:R817,1,MATCH(Parametres!$B$3,G$1:R$1,0)-1)*IF(OR(F817="L",F817="S",F817="I"),-1,1),"")</f>
        <v>0</v>
      </c>
      <c r="AM817" s="905">
        <f t="shared" si="82"/>
        <v>0</v>
      </c>
      <c r="AN817" s="905">
        <f>INDEX(G817:R817,1,MATCH(Parametres!$B$3,G$1:R$1,0))*IF(OR(F817="L",F817="S",F817="I"),-1,1)</f>
        <v>0</v>
      </c>
      <c r="AO817" s="487" t="str">
        <f>+VLOOKUP($AJ817,Data_Validation!$A:$D,1,0)</f>
        <v>G60300</v>
      </c>
      <c r="AP817" s="487" t="str">
        <f>+VLOOKUP($AJ817,Data_Validation!$A:$D,3,0)</f>
        <v>Véhicules neufs</v>
      </c>
      <c r="AQ817" s="487" t="str">
        <f>+VLOOKUP($AJ817,Data_Validation!$A:$D,4,0)</f>
        <v>Autos détail</v>
      </c>
      <c r="AR817" s="487" t="s">
        <v>299</v>
      </c>
      <c r="AS817" s="487">
        <f>+VLOOKUP($AJ817,Data_Validation!$A:$E,5,0)</f>
        <v>0</v>
      </c>
      <c r="AT817" s="904" t="str">
        <f t="shared" si="83"/>
        <v>G60300</v>
      </c>
      <c r="AU817" s="488" t="str">
        <f t="shared" si="84"/>
        <v>COUT-IMPALA</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customHeight="1">
      <c r="A818" s="706" t="s">
        <v>1148</v>
      </c>
      <c r="B818" s="706">
        <v>2026</v>
      </c>
      <c r="C818" s="706" t="s">
        <v>2640</v>
      </c>
      <c r="D818" s="706" t="s">
        <v>2641</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G60320</v>
      </c>
      <c r="AK818" s="905" t="str">
        <f t="shared" si="81"/>
        <v>COUT-IMPALA          -LOC</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G60320</v>
      </c>
      <c r="AU818" s="488" t="str">
        <f t="shared" si="84"/>
        <v>COUT-IMPALA          -LOC</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2642</v>
      </c>
      <c r="D819" s="706" t="s">
        <v>2643</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G60400</v>
      </c>
      <c r="AK819" s="905" t="str">
        <f t="shared" si="81"/>
        <v>COUT- SPARK</v>
      </c>
      <c r="AL819" s="905">
        <f>IFERROR(INDEX(G819:R819,1,MATCH(Parametres!$B$3,G$1:R$1,0)-1)*IF(OR(F819="L",F819="S",F819="I"),-1,1),"")</f>
        <v>0</v>
      </c>
      <c r="AM819" s="905">
        <f t="shared" si="82"/>
        <v>0</v>
      </c>
      <c r="AN819" s="905">
        <f>INDEX(G819:R819,1,MATCH(Parametres!$B$3,G$1:R$1,0))*IF(OR(F819="L",F819="S",F819="I"),-1,1)</f>
        <v>0</v>
      </c>
      <c r="AO819" s="487" t="str">
        <f>+VLOOKUP($AJ819,Data_Validation!$A:$D,1,0)</f>
        <v>G60400</v>
      </c>
      <c r="AP819" s="487" t="str">
        <f>+VLOOKUP($AJ819,Data_Validation!$A:$D,3,0)</f>
        <v>Véhicules neufs</v>
      </c>
      <c r="AQ819" s="487" t="str">
        <f>+VLOOKUP($AJ819,Data_Validation!$A:$D,4,0)</f>
        <v>Autos détail</v>
      </c>
      <c r="AR819" s="487" t="s">
        <v>299</v>
      </c>
      <c r="AS819" s="487">
        <f>+VLOOKUP($AJ819,Data_Validation!$A:$E,5,0)</f>
        <v>0</v>
      </c>
      <c r="AT819" s="904" t="str">
        <f t="shared" si="83"/>
        <v>G60400</v>
      </c>
      <c r="AU819" s="488" t="str">
        <f t="shared" si="84"/>
        <v>COUT- SPARK</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2644</v>
      </c>
      <c r="D820" s="706" t="s">
        <v>2645</v>
      </c>
      <c r="E820" s="706" t="s">
        <v>1143</v>
      </c>
      <c r="F820" s="706" t="s">
        <v>1152</v>
      </c>
      <c r="G820" s="706">
        <v>0</v>
      </c>
      <c r="H820" s="706">
        <v>0</v>
      </c>
      <c r="I820" s="706">
        <v>0</v>
      </c>
      <c r="J820" s="706">
        <v>98056.9</v>
      </c>
      <c r="K820" s="706">
        <v>197263.99</v>
      </c>
      <c r="L820" s="706">
        <v>339316.99</v>
      </c>
      <c r="M820" s="706">
        <v>437270.99</v>
      </c>
      <c r="N820" s="706">
        <v>437270.99</v>
      </c>
      <c r="O820" s="706">
        <v>437270.99</v>
      </c>
      <c r="P820" s="706">
        <v>0</v>
      </c>
      <c r="Q820" s="706">
        <v>0</v>
      </c>
      <c r="R820" s="706">
        <v>0</v>
      </c>
      <c r="S820" s="706">
        <v>54658.87</v>
      </c>
      <c r="T820" s="706">
        <v>54658.87</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G60500</v>
      </c>
      <c r="AK820" s="905" t="str">
        <f t="shared" si="81"/>
        <v>COUT-CORVETTE</v>
      </c>
      <c r="AL820" s="905">
        <f>IFERROR(INDEX(G820:R820,1,MATCH(Parametres!$B$3,G$1:R$1,0)-1)*IF(OR(F820="L",F820="S",F820="I"),-1,1),"")</f>
        <v>437270.99</v>
      </c>
      <c r="AM820" s="905">
        <f t="shared" si="82"/>
        <v>0</v>
      </c>
      <c r="AN820" s="905">
        <f>INDEX(G820:R820,1,MATCH(Parametres!$B$3,G$1:R$1,0))*IF(OR(F820="L",F820="S",F820="I"),-1,1)</f>
        <v>437270.99</v>
      </c>
      <c r="AO820" s="487" t="str">
        <f>+VLOOKUP($AJ820,Data_Validation!$A:$D,1,0)</f>
        <v>G60500</v>
      </c>
      <c r="AP820" s="487" t="str">
        <f>+VLOOKUP($AJ820,Data_Validation!$A:$D,3,0)</f>
        <v>Véhicules neufs</v>
      </c>
      <c r="AQ820" s="487" t="str">
        <f>+VLOOKUP($AJ820,Data_Validation!$A:$D,4,0)</f>
        <v>Autos détail</v>
      </c>
      <c r="AR820" s="487" t="s">
        <v>299</v>
      </c>
      <c r="AS820" s="487">
        <f>+VLOOKUP($AJ820,Data_Validation!$A:$E,5,0)</f>
        <v>0</v>
      </c>
      <c r="AT820" s="904" t="str">
        <f t="shared" si="83"/>
        <v>G60500</v>
      </c>
      <c r="AU820" s="488" t="str">
        <f t="shared" si="84"/>
        <v>COUT-CORVETTE</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customHeight="1">
      <c r="A821" s="706" t="s">
        <v>1148</v>
      </c>
      <c r="B821" s="706">
        <v>2026</v>
      </c>
      <c r="C821" s="706" t="s">
        <v>2646</v>
      </c>
      <c r="D821" s="706" t="s">
        <v>2647</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G60600</v>
      </c>
      <c r="AK821" s="905" t="str">
        <f t="shared" si="81"/>
        <v>COUT-AVEO</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G60600</v>
      </c>
      <c r="AU821" s="488" t="str">
        <f t="shared" si="84"/>
        <v>COUT-AVEO</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2648</v>
      </c>
      <c r="D822" s="706" t="s">
        <v>2649</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G60620</v>
      </c>
      <c r="AK822" s="905" t="str">
        <f t="shared" si="81"/>
        <v>COUT-AVEO            -LOC</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G60620</v>
      </c>
      <c r="AU822" s="488" t="str">
        <f t="shared" si="84"/>
        <v>COUT-AVEO            -LOC</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2650</v>
      </c>
      <c r="D823" s="706" t="s">
        <v>2651</v>
      </c>
      <c r="E823" s="706" t="s">
        <v>1143</v>
      </c>
      <c r="F823" s="706" t="s">
        <v>1152</v>
      </c>
      <c r="G823" s="706">
        <v>0</v>
      </c>
      <c r="H823" s="706">
        <v>0</v>
      </c>
      <c r="I823" s="706">
        <v>0</v>
      </c>
      <c r="J823" s="706">
        <v>0</v>
      </c>
      <c r="K823" s="706">
        <v>44805.04</v>
      </c>
      <c r="L823" s="706">
        <v>44805.04</v>
      </c>
      <c r="M823" s="706">
        <v>44805.04</v>
      </c>
      <c r="N823" s="706">
        <v>170312.29</v>
      </c>
      <c r="O823" s="706">
        <v>170312.29</v>
      </c>
      <c r="P823" s="706">
        <v>0</v>
      </c>
      <c r="Q823" s="706">
        <v>0</v>
      </c>
      <c r="R823" s="706">
        <v>0</v>
      </c>
      <c r="S823" s="706">
        <v>21289.040000000001</v>
      </c>
      <c r="T823" s="706">
        <v>21289.040000000001</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G60700</v>
      </c>
      <c r="AK823" s="905" t="str">
        <f t="shared" si="81"/>
        <v>COUT BOLT - EV</v>
      </c>
      <c r="AL823" s="905">
        <f>IFERROR(INDEX(G823:R823,1,MATCH(Parametres!$B$3,G$1:R$1,0)-1)*IF(OR(F823="L",F823="S",F823="I"),-1,1),"")</f>
        <v>44805.04</v>
      </c>
      <c r="AM823" s="1047">
        <f t="shared" si="82"/>
        <v>125507.25</v>
      </c>
      <c r="AN823" s="905">
        <f>INDEX(G823:R823,1,MATCH(Parametres!$B$3,G$1:R$1,0))*IF(OR(F823="L",F823="S",F823="I"),-1,1)</f>
        <v>170312.29</v>
      </c>
      <c r="AO823" s="487" t="str">
        <f>+VLOOKUP($AJ823,Data_Validation!$A:$D,1,0)</f>
        <v>G60700</v>
      </c>
      <c r="AP823" s="487" t="str">
        <f>+VLOOKUP($AJ823,Data_Validation!$A:$D,3,0)</f>
        <v>Véhicules neufs</v>
      </c>
      <c r="AQ823" s="487" t="str">
        <f>+VLOOKUP($AJ823,Data_Validation!$A:$D,4,0)</f>
        <v>Camions electriques</v>
      </c>
      <c r="AR823" s="487" t="s">
        <v>299</v>
      </c>
      <c r="AS823" s="487">
        <f>+VLOOKUP($AJ823,Data_Validation!$A:$E,5,0)</f>
        <v>0</v>
      </c>
      <c r="AT823" s="904" t="str">
        <f t="shared" si="83"/>
        <v>G60700</v>
      </c>
      <c r="AU823" s="488" t="str">
        <f t="shared" si="84"/>
        <v>COUT BOLT - EV</v>
      </c>
      <c r="AV823" s="899">
        <f>IFERROR(INDEX(V823:AG823,1,MATCH(Parametres!$B$3,V$1:AG$1,0)-1)*IF(OR(C823="L",C823="S",C823="I"),-1,1),"")</f>
        <v>0</v>
      </c>
      <c r="AW823" s="899">
        <f t="shared" si="85"/>
        <v>0</v>
      </c>
      <c r="AX823" s="899">
        <f>INDEX(V823:AG823,1,MATCH(Parametres!$B$3,V$1:AG$1,0))*IF(OR(C823="L",C823="S",C823="I"),-1,1)</f>
        <v>0</v>
      </c>
      <c r="AY823" s="487" t="s">
        <v>337</v>
      </c>
      <c r="AZ823" s="487">
        <f>+VLOOKUP($AJ823,Data_Validation!$A:$E,5,0)</f>
        <v>0</v>
      </c>
    </row>
    <row r="824" spans="1:52" ht="15" customHeight="1">
      <c r="A824" s="706" t="s">
        <v>1148</v>
      </c>
      <c r="B824" s="706">
        <v>2026</v>
      </c>
      <c r="C824" s="706" t="s">
        <v>2652</v>
      </c>
      <c r="D824" s="706" t="s">
        <v>2653</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G60720</v>
      </c>
      <c r="AK824" s="905" t="str">
        <f t="shared" si="81"/>
        <v>COUT-OPTRA           -LOC</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G60720</v>
      </c>
      <c r="AU824" s="488" t="str">
        <f t="shared" si="84"/>
        <v>COUT-OPTRA           -LOC</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2654</v>
      </c>
      <c r="D825" s="706" t="s">
        <v>2655</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G60800</v>
      </c>
      <c r="AK825" s="905" t="str">
        <f t="shared" si="81"/>
        <v>COUT-EPICA</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G60800</v>
      </c>
      <c r="AU825" s="488" t="str">
        <f t="shared" si="84"/>
        <v>COUT-EPICA</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2656</v>
      </c>
      <c r="D826" s="706" t="s">
        <v>2657</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G60820</v>
      </c>
      <c r="AK826" s="905" t="str">
        <f t="shared" si="81"/>
        <v>COUT-EPICA           -LOC</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G60820</v>
      </c>
      <c r="AU826" s="488" t="str">
        <f t="shared" si="84"/>
        <v>COUT-EPICA           -LOC</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customHeight="1">
      <c r="A827" s="706" t="s">
        <v>1148</v>
      </c>
      <c r="B827" s="706">
        <v>2026</v>
      </c>
      <c r="C827" s="706" t="s">
        <v>2658</v>
      </c>
      <c r="D827" s="706" t="s">
        <v>2659</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G60900</v>
      </c>
      <c r="AK827" s="905" t="str">
        <f t="shared" si="81"/>
        <v>COUT-COBALT</v>
      </c>
      <c r="AL827" s="905">
        <f>IFERROR(INDEX(G827:R827,1,MATCH(Parametres!$B$3,G$1:R$1,0)-1)*IF(OR(F827="L",F827="S",F827="I"),-1,1),"")</f>
        <v>0</v>
      </c>
      <c r="AM827" s="905">
        <f t="shared" si="82"/>
        <v>0</v>
      </c>
      <c r="AN827" s="905">
        <f>INDEX(G827:R827,1,MATCH(Parametres!$B$3,G$1:R$1,0))*IF(OR(F827="L",F827="S",F827="I"),-1,1)</f>
        <v>0</v>
      </c>
      <c r="AO827" s="487" t="str">
        <f>+VLOOKUP($AJ827,Data_Validation!$A:$D,1,0)</f>
        <v>G60900</v>
      </c>
      <c r="AP827" s="487" t="str">
        <f>+VLOOKUP($AJ827,Data_Validation!$A:$D,3,0)</f>
        <v>Véhicules neufs</v>
      </c>
      <c r="AQ827" s="487" t="str">
        <f>+VLOOKUP($AJ827,Data_Validation!$A:$D,4,0)</f>
        <v>Autos détail</v>
      </c>
      <c r="AR827" s="487" t="s">
        <v>299</v>
      </c>
      <c r="AS827" s="487">
        <f>+VLOOKUP($AJ827,Data_Validation!$A:$E,5,0)</f>
        <v>0</v>
      </c>
      <c r="AT827" s="904" t="str">
        <f t="shared" si="83"/>
        <v>G60900</v>
      </c>
      <c r="AU827" s="488" t="str">
        <f t="shared" si="84"/>
        <v>COUT-COBALT</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2660</v>
      </c>
      <c r="D828" s="706" t="s">
        <v>2661</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G60920</v>
      </c>
      <c r="AK828" s="905" t="str">
        <f t="shared" si="81"/>
        <v>COUT-COBALT          -LOC</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G60920</v>
      </c>
      <c r="AU828" s="488" t="str">
        <f t="shared" si="84"/>
        <v>COUT-COBALT          -LOC</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customHeight="1">
      <c r="A829" s="706" t="s">
        <v>1148</v>
      </c>
      <c r="B829" s="706">
        <v>2026</v>
      </c>
      <c r="C829" s="706" t="s">
        <v>2662</v>
      </c>
      <c r="D829" s="706" t="s">
        <v>2663</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G61000</v>
      </c>
      <c r="AK829" s="905" t="str">
        <f t="shared" si="81"/>
        <v>COUT - CAMARO</v>
      </c>
      <c r="AL829" s="905">
        <f>IFERROR(INDEX(G829:R829,1,MATCH(Parametres!$B$3,G$1:R$1,0)-1)*IF(OR(F829="L",F829="S",F829="I"),-1,1),"")</f>
        <v>0</v>
      </c>
      <c r="AM829" s="1047">
        <f t="shared" si="82"/>
        <v>0</v>
      </c>
      <c r="AN829" s="905">
        <f>INDEX(G829:R829,1,MATCH(Parametres!$B$3,G$1:R$1,0))*IF(OR(F829="L",F829="S",F829="I"),-1,1)</f>
        <v>0</v>
      </c>
      <c r="AO829" s="487" t="str">
        <f>+VLOOKUP($AJ829,Data_Validation!$A:$D,1,0)</f>
        <v>G61000</v>
      </c>
      <c r="AP829" s="487" t="str">
        <f>+VLOOKUP($AJ829,Data_Validation!$A:$D,3,0)</f>
        <v>Véhicules neufs</v>
      </c>
      <c r="AQ829" s="487" t="str">
        <f>+VLOOKUP($AJ829,Data_Validation!$A:$D,4,0)</f>
        <v>Autos détail</v>
      </c>
      <c r="AR829" s="487" t="s">
        <v>299</v>
      </c>
      <c r="AS829" s="487">
        <f>+VLOOKUP($AJ829,Data_Validation!$A:$E,5,0)</f>
        <v>0</v>
      </c>
      <c r="AT829" s="904" t="str">
        <f t="shared" si="83"/>
        <v>G61000</v>
      </c>
      <c r="AU829" s="488" t="str">
        <f t="shared" si="84"/>
        <v>COUT - CAMARO</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customHeight="1">
      <c r="A830" s="706" t="s">
        <v>1148</v>
      </c>
      <c r="B830" s="706">
        <v>2026</v>
      </c>
      <c r="C830" s="706" t="s">
        <v>2664</v>
      </c>
      <c r="D830" s="706" t="s">
        <v>2665</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G61100</v>
      </c>
      <c r="AK830" s="905" t="str">
        <f t="shared" si="81"/>
        <v>COUTANT CRUZE</v>
      </c>
      <c r="AL830" s="905">
        <f>IFERROR(INDEX(G830:R830,1,MATCH(Parametres!$B$3,G$1:R$1,0)-1)*IF(OR(F830="L",F830="S",F830="I"),-1,1),"")</f>
        <v>0</v>
      </c>
      <c r="AM830" s="905">
        <f t="shared" si="82"/>
        <v>0</v>
      </c>
      <c r="AN830" s="905">
        <f>INDEX(G830:R830,1,MATCH(Parametres!$B$3,G$1:R$1,0))*IF(OR(F830="L",F830="S",F830="I"),-1,1)</f>
        <v>0</v>
      </c>
      <c r="AO830" s="487" t="str">
        <f>+VLOOKUP($AJ830,Data_Validation!$A:$D,1,0)</f>
        <v>G61100</v>
      </c>
      <c r="AP830" s="487" t="str">
        <f>+VLOOKUP($AJ830,Data_Validation!$A:$D,3,0)</f>
        <v>Véhicules neufs</v>
      </c>
      <c r="AQ830" s="487" t="str">
        <f>+VLOOKUP($AJ830,Data_Validation!$A:$D,4,0)</f>
        <v>Autos détail</v>
      </c>
      <c r="AR830" s="487" t="s">
        <v>299</v>
      </c>
      <c r="AS830" s="487">
        <f>+VLOOKUP($AJ830,Data_Validation!$A:$E,5,0)</f>
        <v>0</v>
      </c>
      <c r="AT830" s="904" t="str">
        <f t="shared" si="83"/>
        <v>G61100</v>
      </c>
      <c r="AU830" s="488" t="str">
        <f t="shared" si="84"/>
        <v>COUTANT CRUZE</v>
      </c>
      <c r="AV830" s="899">
        <f>IFERROR(INDEX(V830:AG830,1,MATCH(Parametres!$B$3,V$1:AG$1,0)-1)*IF(OR(C830="L",C830="S",C830="I"),-1,1),"")</f>
        <v>0</v>
      </c>
      <c r="AW830" s="899">
        <f t="shared" si="85"/>
        <v>0</v>
      </c>
      <c r="AX830" s="899">
        <f>INDEX(V830:AG830,1,MATCH(Parametres!$B$3,V$1:AG$1,0))*IF(OR(C830="L",C830="S",C830="I"),-1,1)</f>
        <v>0</v>
      </c>
      <c r="AY830" s="487" t="s">
        <v>337</v>
      </c>
      <c r="AZ830" s="487">
        <f>+VLOOKUP($AJ830,Data_Validation!$A:$E,5,0)</f>
        <v>0</v>
      </c>
    </row>
    <row r="831" spans="1:52" ht="15" customHeight="1">
      <c r="A831" s="706" t="s">
        <v>1148</v>
      </c>
      <c r="B831" s="706">
        <v>2026</v>
      </c>
      <c r="C831" s="706" t="s">
        <v>2666</v>
      </c>
      <c r="D831" s="706" t="s">
        <v>2667</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G61600</v>
      </c>
      <c r="AK831" s="905" t="str">
        <f t="shared" si="81"/>
        <v>INDEMNITE MARKETING AUTOS</v>
      </c>
      <c r="AL831" s="905">
        <f>IFERROR(INDEX(G831:R831,1,MATCH(Parametres!$B$3,G$1:R$1,0)-1)*IF(OR(F831="L",F831="S",F831="I"),-1,1),"")</f>
        <v>0</v>
      </c>
      <c r="AM831" s="1047">
        <f t="shared" si="82"/>
        <v>0</v>
      </c>
      <c r="AN831" s="905">
        <f>INDEX(G831:R831,1,MATCH(Parametres!$B$3,G$1:R$1,0))*IF(OR(F831="L",F831="S",F831="I"),-1,1)</f>
        <v>0</v>
      </c>
      <c r="AO831" s="487" t="str">
        <f>+VLOOKUP($AJ831,Data_Validation!$A:$D,1,0)</f>
        <v>G61600</v>
      </c>
      <c r="AP831" s="487">
        <f>+VLOOKUP($AJ831,Data_Validation!$A:$D,3,0)</f>
        <v>0</v>
      </c>
      <c r="AQ831" s="487">
        <f>+VLOOKUP($AJ831,Data_Validation!$A:$D,4,0)</f>
        <v>0</v>
      </c>
      <c r="AR831" s="487" t="s">
        <v>299</v>
      </c>
      <c r="AS831" s="487">
        <f>+VLOOKUP($AJ831,Data_Validation!$A:$E,5,0)</f>
        <v>0</v>
      </c>
      <c r="AT831" s="904" t="str">
        <f t="shared" si="83"/>
        <v>G61600</v>
      </c>
      <c r="AU831" s="488" t="str">
        <f t="shared" si="84"/>
        <v>INDEMNITE MARKETING AUTOS</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2668</v>
      </c>
      <c r="D832" s="706" t="s">
        <v>2669</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G61700</v>
      </c>
      <c r="AK832" s="905" t="str">
        <f t="shared" si="81"/>
        <v>COUT-AUTRES CHEV AUTOS</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G61700</v>
      </c>
      <c r="AU832" s="488" t="str">
        <f t="shared" si="84"/>
        <v>COUT-AUTRES CHEV AUTOS</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2670</v>
      </c>
      <c r="D833" s="706" t="s">
        <v>2671</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G61720</v>
      </c>
      <c r="AK833" s="905" t="str">
        <f t="shared" si="81"/>
        <v>COUT-AUTRE CHEV.AUTOS-LOC</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G61720</v>
      </c>
      <c r="AU833" s="488" t="str">
        <f t="shared" si="84"/>
        <v>COUT-AUTRE CHEV.AUTOS-LOC</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2672</v>
      </c>
      <c r="D834" s="706" t="s">
        <v>2673</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G61799</v>
      </c>
      <c r="AK834" s="905" t="str">
        <f t="shared" si="81"/>
        <v>COUT-ECHANGE CONCESSION.</v>
      </c>
      <c r="AL834" s="905">
        <f>IFERROR(INDEX(G834:R834,1,MATCH(Parametres!$B$3,G$1:R$1,0)-1)*IF(OR(F834="L",F834="S",F834="I"),-1,1),"")</f>
        <v>0</v>
      </c>
      <c r="AM834" s="905">
        <f t="shared" si="82"/>
        <v>0</v>
      </c>
      <c r="AN834" s="905">
        <f>INDEX(G834:R834,1,MATCH(Parametres!$B$3,G$1:R$1,0))*IF(OR(F834="L",F834="S",F834="I"),-1,1)</f>
        <v>0</v>
      </c>
      <c r="AO834" s="487" t="str">
        <f>+VLOOKUP($AJ834,Data_Validation!$A:$D,1,0)</f>
        <v>G61799</v>
      </c>
      <c r="AP834" s="487">
        <f>+VLOOKUP($AJ834,Data_Validation!$A:$D,3,0)</f>
        <v>0</v>
      </c>
      <c r="AQ834" s="487">
        <f>+VLOOKUP($AJ834,Data_Validation!$A:$D,4,0)</f>
        <v>0</v>
      </c>
      <c r="AR834" s="487" t="s">
        <v>299</v>
      </c>
      <c r="AS834" s="487">
        <f>+VLOOKUP($AJ834,Data_Validation!$A:$E,5,0)</f>
        <v>0</v>
      </c>
      <c r="AT834" s="904" t="str">
        <f t="shared" si="83"/>
        <v>G61799</v>
      </c>
      <c r="AU834" s="488" t="str">
        <f t="shared" si="84"/>
        <v>COUT-ECHANGE CONCESSION.</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customHeight="1">
      <c r="A835" s="706" t="s">
        <v>1148</v>
      </c>
      <c r="B835" s="706">
        <v>2026</v>
      </c>
      <c r="C835" s="706" t="s">
        <v>2674</v>
      </c>
      <c r="D835" s="706" t="s">
        <v>2675</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G61800</v>
      </c>
      <c r="AK835" s="905" t="str">
        <f t="shared" si="81"/>
        <v>COUTANT AUTRE CHEVROLET</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G61800</v>
      </c>
      <c r="AU835" s="488" t="str">
        <f t="shared" si="84"/>
        <v>COUTANT AUTRE CHEVROLET</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2676</v>
      </c>
      <c r="D836" s="706" t="s">
        <v>2677</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G62000</v>
      </c>
      <c r="AK836" s="905" t="str">
        <f t="shared" si="81"/>
        <v>COUT-PARC VOITURES</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G62000</v>
      </c>
      <c r="AU836" s="488" t="str">
        <f t="shared" si="84"/>
        <v>COUT-PARC VOITURES</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2678</v>
      </c>
      <c r="D837" s="706" t="s">
        <v>2679</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G62100</v>
      </c>
      <c r="AK837" s="905" t="str">
        <f t="shared" si="81"/>
        <v>COUT-VOITURES INTERNE</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G62100</v>
      </c>
      <c r="AU837" s="488" t="str">
        <f t="shared" si="84"/>
        <v>COUT-VOITURES INTERNE</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2680</v>
      </c>
      <c r="D838" s="706" t="s">
        <v>2681</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G62300</v>
      </c>
      <c r="AK838" s="905" t="str">
        <f t="shared" si="81"/>
        <v>COUT-VENTURE-UPLANDER</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G62300</v>
      </c>
      <c r="AU838" s="488" t="str">
        <f t="shared" si="84"/>
        <v>COUT-VENTURE-UPLANDER</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2682</v>
      </c>
      <c r="D839" s="706" t="s">
        <v>2683</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G62312</v>
      </c>
      <c r="AK839" s="905" t="str">
        <f t="shared" si="81"/>
        <v>COUT-KODIAK/TOPKICK 4/5</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G62312</v>
      </c>
      <c r="AU839" s="488" t="str">
        <f t="shared" si="84"/>
        <v>COUT-KODIAK/TOPKICK 4/5</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2684</v>
      </c>
      <c r="D840" s="706" t="s">
        <v>2685</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G62320</v>
      </c>
      <c r="AK840" s="905" t="str">
        <f t="shared" si="81"/>
        <v>COUT-VENTURE-UPLAN   -LOC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G62320</v>
      </c>
      <c r="AU840" s="488" t="str">
        <f t="shared" si="84"/>
        <v>COUT-VENTURE-UPLAN   -LOC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customHeight="1">
      <c r="A841" s="706" t="s">
        <v>1148</v>
      </c>
      <c r="B841" s="706">
        <v>2026</v>
      </c>
      <c r="C841" s="706" t="s">
        <v>2686</v>
      </c>
      <c r="D841" s="706" t="s">
        <v>2687</v>
      </c>
      <c r="E841" s="706" t="s">
        <v>1143</v>
      </c>
      <c r="F841" s="706" t="s">
        <v>1152</v>
      </c>
      <c r="G841" s="706">
        <v>91372.42</v>
      </c>
      <c r="H841" s="706">
        <v>91372.42</v>
      </c>
      <c r="I841" s="706">
        <v>91372.42</v>
      </c>
      <c r="J841" s="706">
        <v>232512.62</v>
      </c>
      <c r="K841" s="706">
        <v>319528.5</v>
      </c>
      <c r="L841" s="706">
        <v>319528.5</v>
      </c>
      <c r="M841" s="706">
        <v>452253.34</v>
      </c>
      <c r="N841" s="706">
        <v>554460.32999999996</v>
      </c>
      <c r="O841" s="706">
        <v>554460.32999999996</v>
      </c>
      <c r="P841" s="706">
        <v>0</v>
      </c>
      <c r="Q841" s="706">
        <v>0</v>
      </c>
      <c r="R841" s="706">
        <v>0</v>
      </c>
      <c r="S841" s="706">
        <v>69307.539999999994</v>
      </c>
      <c r="T841" s="706">
        <v>69307.539999999994</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G62400</v>
      </c>
      <c r="AK841" s="905" t="str">
        <f t="shared" si="81"/>
        <v>COUT-TERRAIN</v>
      </c>
      <c r="AL841" s="905">
        <f>IFERROR(INDEX(G841:R841,1,MATCH(Parametres!$B$3,G$1:R$1,0)-1)*IF(OR(F841="L",F841="S",F841="I"),-1,1),"")</f>
        <v>452253.34</v>
      </c>
      <c r="AM841" s="905">
        <f t="shared" si="82"/>
        <v>102206.98999999993</v>
      </c>
      <c r="AN841" s="905">
        <f>INDEX(G841:R841,1,MATCH(Parametres!$B$3,G$1:R$1,0))*IF(OR(F841="L",F841="S",F841="I"),-1,1)</f>
        <v>554460.32999999996</v>
      </c>
      <c r="AO841" s="487" t="str">
        <f>+VLOOKUP($AJ841,Data_Validation!$A:$D,1,0)</f>
        <v>G62400</v>
      </c>
      <c r="AP841" s="487" t="str">
        <f>+VLOOKUP($AJ841,Data_Validation!$A:$D,3,0)</f>
        <v>Véhicules neufs</v>
      </c>
      <c r="AQ841" s="487" t="str">
        <f>+VLOOKUP($AJ841,Data_Validation!$A:$D,4,0)</f>
        <v>Camions détail</v>
      </c>
      <c r="AR841" s="487" t="s">
        <v>299</v>
      </c>
      <c r="AS841" s="487">
        <f>+VLOOKUP($AJ841,Data_Validation!$A:$E,5,0)</f>
        <v>0</v>
      </c>
      <c r="AT841" s="904" t="str">
        <f t="shared" si="83"/>
        <v>G62400</v>
      </c>
      <c r="AU841" s="488" t="str">
        <f t="shared" si="84"/>
        <v>COUT-TERRAIN</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2688</v>
      </c>
      <c r="D842" s="706" t="s">
        <v>2689</v>
      </c>
      <c r="E842" s="706" t="s">
        <v>1143</v>
      </c>
      <c r="F842" s="706" t="s">
        <v>1152</v>
      </c>
      <c r="G842" s="706">
        <v>0</v>
      </c>
      <c r="H842" s="706">
        <v>0</v>
      </c>
      <c r="I842" s="706">
        <v>0</v>
      </c>
      <c r="J842" s="706">
        <v>0</v>
      </c>
      <c r="K842" s="706">
        <v>398090.8</v>
      </c>
      <c r="L842" s="706">
        <v>649623.39</v>
      </c>
      <c r="M842" s="706">
        <v>1151542.54</v>
      </c>
      <c r="N842" s="706">
        <v>1739272.94</v>
      </c>
      <c r="O842" s="706">
        <v>2434332.2000000002</v>
      </c>
      <c r="P842" s="706">
        <v>0</v>
      </c>
      <c r="Q842" s="706">
        <v>0</v>
      </c>
      <c r="R842" s="706">
        <v>0</v>
      </c>
      <c r="S842" s="706">
        <v>217409.12</v>
      </c>
      <c r="T842" s="706">
        <v>217409.12</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G62401</v>
      </c>
      <c r="AK842" s="905" t="str">
        <f t="shared" si="81"/>
        <v>COUT BOLT EUV</v>
      </c>
      <c r="AL842" s="905">
        <f>IFERROR(INDEX(G842:R842,1,MATCH(Parametres!$B$3,G$1:R$1,0)-1)*IF(OR(F842="L",F842="S",F842="I"),-1,1),"")</f>
        <v>1151542.54</v>
      </c>
      <c r="AM842" s="905">
        <f t="shared" si="82"/>
        <v>587730.39999999991</v>
      </c>
      <c r="AN842" s="905">
        <f>INDEX(G842:R842,1,MATCH(Parametres!$B$3,G$1:R$1,0))*IF(OR(F842="L",F842="S",F842="I"),-1,1)</f>
        <v>1739272.94</v>
      </c>
      <c r="AO842" s="487" t="str">
        <f>+VLOOKUP($AJ842,Data_Validation!$A:$D,1,0)</f>
        <v>G62401</v>
      </c>
      <c r="AP842" s="487" t="str">
        <f>+VLOOKUP($AJ842,Data_Validation!$A:$D,3,0)</f>
        <v>Véhicules neufs</v>
      </c>
      <c r="AQ842" s="487" t="str">
        <f>+VLOOKUP($AJ842,Data_Validation!$A:$D,4,0)</f>
        <v>Camions electriques</v>
      </c>
      <c r="AR842" s="487" t="s">
        <v>299</v>
      </c>
      <c r="AS842" s="487">
        <f>+VLOOKUP($AJ842,Data_Validation!$A:$E,5,0)</f>
        <v>0</v>
      </c>
      <c r="AT842" s="904" t="str">
        <f t="shared" si="83"/>
        <v>G62401</v>
      </c>
      <c r="AU842" s="488" t="str">
        <f t="shared" si="84"/>
        <v>COUT BOLT EUV</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2690</v>
      </c>
      <c r="D843" s="706" t="s">
        <v>2691</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G62412</v>
      </c>
      <c r="AK843" s="905" t="str">
        <f t="shared" si="81"/>
        <v>COUT-TOPKICK 6/7/8 C</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G62412</v>
      </c>
      <c r="AU843" s="488" t="str">
        <f t="shared" si="84"/>
        <v>COUT-TOPKICK 6/7/8 C</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2692</v>
      </c>
      <c r="D844" s="706" t="s">
        <v>2693</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G62500</v>
      </c>
      <c r="AK844" s="905" t="str">
        <f t="shared" si="81"/>
        <v>COUT-G EXPRESS</v>
      </c>
      <c r="AL844" s="905">
        <f>IFERROR(INDEX(G844:R844,1,MATCH(Parametres!$B$3,G$1:R$1,0)-1)*IF(OR(F844="L",F844="S",F844="I"),-1,1),"")</f>
        <v>0</v>
      </c>
      <c r="AM844" s="905">
        <f t="shared" si="82"/>
        <v>0</v>
      </c>
      <c r="AN844" s="905">
        <f>INDEX(G844:R844,1,MATCH(Parametres!$B$3,G$1:R$1,0))*IF(OR(F844="L",F844="S",F844="I"),-1,1)</f>
        <v>0</v>
      </c>
      <c r="AO844" s="487" t="str">
        <f>+VLOOKUP($AJ844,Data_Validation!$A:$D,1,0)</f>
        <v>G62500</v>
      </c>
      <c r="AP844" s="487" t="str">
        <f>+VLOOKUP($AJ844,Data_Validation!$A:$D,3,0)</f>
        <v>Véhicules neufs</v>
      </c>
      <c r="AQ844" s="487" t="str">
        <f>+VLOOKUP($AJ844,Data_Validation!$A:$D,4,0)</f>
        <v>Camions détail</v>
      </c>
      <c r="AR844" s="487" t="s">
        <v>299</v>
      </c>
      <c r="AS844" s="487">
        <f>+VLOOKUP($AJ844,Data_Validation!$A:$E,5,0)</f>
        <v>0</v>
      </c>
      <c r="AT844" s="904" t="str">
        <f t="shared" si="83"/>
        <v>G62500</v>
      </c>
      <c r="AU844" s="488" t="str">
        <f t="shared" si="84"/>
        <v>COUT-G EXPRESS</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2694</v>
      </c>
      <c r="D845" s="706" t="s">
        <v>2695</v>
      </c>
      <c r="E845" s="706" t="s">
        <v>1143</v>
      </c>
      <c r="F845" s="706" t="s">
        <v>1152</v>
      </c>
      <c r="G845" s="706">
        <v>0</v>
      </c>
      <c r="H845" s="706">
        <v>0</v>
      </c>
      <c r="I845" s="706">
        <v>0</v>
      </c>
      <c r="J845" s="706">
        <v>0</v>
      </c>
      <c r="K845" s="706">
        <v>49868.69</v>
      </c>
      <c r="L845" s="706">
        <v>51068.69</v>
      </c>
      <c r="M845" s="706">
        <v>51068.69</v>
      </c>
      <c r="N845" s="706">
        <v>51068.69</v>
      </c>
      <c r="O845" s="706">
        <v>51068.69</v>
      </c>
      <c r="P845" s="706">
        <v>0</v>
      </c>
      <c r="Q845" s="706">
        <v>0</v>
      </c>
      <c r="R845" s="706">
        <v>0</v>
      </c>
      <c r="S845" s="706">
        <v>6383.59</v>
      </c>
      <c r="T845" s="706">
        <v>6383.59</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G62502</v>
      </c>
      <c r="AK845" s="905" t="str">
        <f t="shared" si="81"/>
        <v>COUTANT SAVANA</v>
      </c>
      <c r="AL845" s="905">
        <f>IFERROR(INDEX(G845:R845,1,MATCH(Parametres!$B$3,G$1:R$1,0)-1)*IF(OR(F845="L",F845="S",F845="I"),-1,1),"")</f>
        <v>51068.69</v>
      </c>
      <c r="AM845" s="905">
        <f t="shared" si="82"/>
        <v>0</v>
      </c>
      <c r="AN845" s="905">
        <f>INDEX(G845:R845,1,MATCH(Parametres!$B$3,G$1:R$1,0))*IF(OR(F845="L",F845="S",F845="I"),-1,1)</f>
        <v>51068.69</v>
      </c>
      <c r="AO845" s="487" t="str">
        <f>+VLOOKUP($AJ845,Data_Validation!$A:$D,1,0)</f>
        <v>G62502</v>
      </c>
      <c r="AP845" s="487" t="str">
        <f>+VLOOKUP($AJ845,Data_Validation!$A:$D,3,0)</f>
        <v>Véhicules neufs</v>
      </c>
      <c r="AQ845" s="487" t="str">
        <f>+VLOOKUP($AJ845,Data_Validation!$A:$D,4,0)</f>
        <v>Camions electriques</v>
      </c>
      <c r="AR845" s="487" t="s">
        <v>299</v>
      </c>
      <c r="AS845" s="487">
        <f>+VLOOKUP($AJ845,Data_Validation!$A:$E,5,0)</f>
        <v>0</v>
      </c>
      <c r="AT845" s="904" t="str">
        <f t="shared" si="83"/>
        <v>G62502</v>
      </c>
      <c r="AU845" s="488" t="str">
        <f t="shared" si="84"/>
        <v>COUTANT SAVANA</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2696</v>
      </c>
      <c r="D846" s="706" t="s">
        <v>2697</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G62512</v>
      </c>
      <c r="AK846" s="905" t="str">
        <f t="shared" si="81"/>
        <v>COUT-TOPKICK 6/7/8</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G62512</v>
      </c>
      <c r="AU846" s="488" t="str">
        <f t="shared" si="84"/>
        <v>COUT-TOPKICK 6/7/8</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2698</v>
      </c>
      <c r="D847" s="706" t="s">
        <v>2699</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G62520</v>
      </c>
      <c r="AK847" s="905" t="str">
        <f t="shared" si="81"/>
        <v>COUT-G EXPRESS       -LOC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G62520</v>
      </c>
      <c r="AU847" s="488" t="str">
        <f t="shared" si="84"/>
        <v>COUT-G EXPRESS       -LOC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customHeight="1">
      <c r="A848" s="706" t="s">
        <v>1148</v>
      </c>
      <c r="B848" s="706">
        <v>2026</v>
      </c>
      <c r="C848" s="706" t="s">
        <v>2700</v>
      </c>
      <c r="D848" s="706" t="s">
        <v>2701</v>
      </c>
      <c r="E848" s="706" t="s">
        <v>1143</v>
      </c>
      <c r="F848" s="706" t="s">
        <v>1152</v>
      </c>
      <c r="G848" s="706">
        <v>0</v>
      </c>
      <c r="H848" s="706">
        <v>126205.83</v>
      </c>
      <c r="I848" s="706">
        <v>126205.83</v>
      </c>
      <c r="J848" s="706">
        <v>180912.33</v>
      </c>
      <c r="K848" s="706">
        <v>234601.33</v>
      </c>
      <c r="L848" s="706">
        <v>290126.33</v>
      </c>
      <c r="M848" s="706">
        <v>400509.16</v>
      </c>
      <c r="N848" s="706">
        <v>517152.51</v>
      </c>
      <c r="O848" s="706">
        <v>517152.51</v>
      </c>
      <c r="P848" s="706">
        <v>0</v>
      </c>
      <c r="Q848" s="706">
        <v>0</v>
      </c>
      <c r="R848" s="706">
        <v>0</v>
      </c>
      <c r="S848" s="706">
        <v>64644.06</v>
      </c>
      <c r="T848" s="706">
        <v>64644.06</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G62600</v>
      </c>
      <c r="AK848" s="905" t="str">
        <f t="shared" si="81"/>
        <v>COUT-SPICKUP/COLORADO</v>
      </c>
      <c r="AL848" s="905">
        <f>IFERROR(INDEX(G848:R848,1,MATCH(Parametres!$B$3,G$1:R$1,0)-1)*IF(OR(F848="L",F848="S",F848="I"),-1,1),"")</f>
        <v>400509.16</v>
      </c>
      <c r="AM848" s="905">
        <f t="shared" si="82"/>
        <v>116643.35000000003</v>
      </c>
      <c r="AN848" s="905">
        <f>INDEX(G848:R848,1,MATCH(Parametres!$B$3,G$1:R$1,0))*IF(OR(F848="L",F848="S",F848="I"),-1,1)</f>
        <v>517152.51</v>
      </c>
      <c r="AO848" s="487" t="str">
        <f>+VLOOKUP($AJ848,Data_Validation!$A:$D,1,0)</f>
        <v>G62600</v>
      </c>
      <c r="AP848" s="487" t="str">
        <f>+VLOOKUP($AJ848,Data_Validation!$A:$D,3,0)</f>
        <v>Véhicules neufs</v>
      </c>
      <c r="AQ848" s="487" t="str">
        <f>+VLOOKUP($AJ848,Data_Validation!$A:$D,4,0)</f>
        <v>Camions détail</v>
      </c>
      <c r="AR848" s="487" t="s">
        <v>299</v>
      </c>
      <c r="AS848" s="487">
        <f>+VLOOKUP($AJ848,Data_Validation!$A:$E,5,0)</f>
        <v>0</v>
      </c>
      <c r="AT848" s="904" t="str">
        <f t="shared" si="83"/>
        <v>G62600</v>
      </c>
      <c r="AU848" s="488" t="str">
        <f t="shared" si="84"/>
        <v>COUT-SPICKUP/COLORADO</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2702</v>
      </c>
      <c r="D849" s="706" t="s">
        <v>2631</v>
      </c>
      <c r="E849" s="706" t="s">
        <v>1143</v>
      </c>
      <c r="F849" s="706" t="s">
        <v>1152</v>
      </c>
      <c r="G849" s="706">
        <v>64838.75</v>
      </c>
      <c r="H849" s="706">
        <v>64838.75</v>
      </c>
      <c r="I849" s="706">
        <v>64838.75</v>
      </c>
      <c r="J849" s="706">
        <v>64551.31</v>
      </c>
      <c r="K849" s="706">
        <v>64551.31</v>
      </c>
      <c r="L849" s="706">
        <v>64551.31</v>
      </c>
      <c r="M849" s="706">
        <v>127652.77</v>
      </c>
      <c r="N849" s="706">
        <v>181984.75</v>
      </c>
      <c r="O849" s="706">
        <v>301806.51</v>
      </c>
      <c r="P849" s="706">
        <v>0</v>
      </c>
      <c r="Q849" s="706">
        <v>0</v>
      </c>
      <c r="R849" s="706">
        <v>0</v>
      </c>
      <c r="S849" s="706">
        <v>22748.09</v>
      </c>
      <c r="T849" s="706">
        <v>22748.09</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G62602</v>
      </c>
      <c r="AK849" s="905" t="str">
        <f t="shared" si="81"/>
        <v>COUT - GMC CANYON</v>
      </c>
      <c r="AL849" s="905">
        <f>IFERROR(INDEX(G849:R849,1,MATCH(Parametres!$B$3,G$1:R$1,0)-1)*IF(OR(F849="L",F849="S",F849="I"),-1,1),"")</f>
        <v>127652.77</v>
      </c>
      <c r="AM849" s="1047">
        <f t="shared" si="82"/>
        <v>54331.979999999996</v>
      </c>
      <c r="AN849" s="905">
        <f>INDEX(G849:R849,1,MATCH(Parametres!$B$3,G$1:R$1,0))*IF(OR(F849="L",F849="S",F849="I"),-1,1)</f>
        <v>181984.75</v>
      </c>
      <c r="AO849" s="487" t="str">
        <f>+VLOOKUP($AJ849,Data_Validation!$A:$D,1,0)</f>
        <v>G62602</v>
      </c>
      <c r="AP849" s="487" t="str">
        <f>+VLOOKUP($AJ849,Data_Validation!$A:$D,3,0)</f>
        <v>Véhicules neufs</v>
      </c>
      <c r="AQ849" s="487" t="str">
        <f>+VLOOKUP($AJ849,Data_Validation!$A:$D,4,0)</f>
        <v>Camions détail</v>
      </c>
      <c r="AR849" s="487" t="s">
        <v>299</v>
      </c>
      <c r="AS849" s="487">
        <f>+VLOOKUP($AJ849,Data_Validation!$A:$E,5,0)</f>
        <v>0</v>
      </c>
      <c r="AT849" s="904" t="str">
        <f t="shared" si="83"/>
        <v>G62602</v>
      </c>
      <c r="AU849" s="488" t="str">
        <f t="shared" si="84"/>
        <v>COUT - GMC CANYON</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customHeight="1">
      <c r="A850" s="706" t="s">
        <v>1148</v>
      </c>
      <c r="B850" s="706">
        <v>2026</v>
      </c>
      <c r="C850" s="706" t="s">
        <v>2703</v>
      </c>
      <c r="D850" s="706" t="s">
        <v>2704</v>
      </c>
      <c r="E850" s="706" t="s">
        <v>1143</v>
      </c>
      <c r="F850" s="706" t="s">
        <v>1152</v>
      </c>
      <c r="G850" s="706">
        <v>49221.14</v>
      </c>
      <c r="H850" s="706">
        <v>99180.14</v>
      </c>
      <c r="I850" s="706">
        <v>99432.5</v>
      </c>
      <c r="J850" s="706">
        <v>252596.73</v>
      </c>
      <c r="K850" s="706">
        <v>306500.73</v>
      </c>
      <c r="L850" s="706">
        <v>306500.73</v>
      </c>
      <c r="M850" s="706">
        <v>306500.73</v>
      </c>
      <c r="N850" s="706">
        <v>361915.73</v>
      </c>
      <c r="O850" s="706">
        <v>361915.73</v>
      </c>
      <c r="P850" s="706">
        <v>0</v>
      </c>
      <c r="Q850" s="706">
        <v>0</v>
      </c>
      <c r="R850" s="706">
        <v>0</v>
      </c>
      <c r="S850" s="706">
        <v>45239.47</v>
      </c>
      <c r="T850" s="706">
        <v>45239.47</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G62612</v>
      </c>
      <c r="AK850" s="905" t="str">
        <f t="shared" si="81"/>
        <v>COUT-BUICK ENVISION</v>
      </c>
      <c r="AL850" s="905">
        <f>IFERROR(INDEX(G850:R850,1,MATCH(Parametres!$B$3,G$1:R$1,0)-1)*IF(OR(F850="L",F850="S",F850="I"),-1,1),"")</f>
        <v>306500.73</v>
      </c>
      <c r="AM850" s="905">
        <f t="shared" si="82"/>
        <v>55415</v>
      </c>
      <c r="AN850" s="905">
        <f>INDEX(G850:R850,1,MATCH(Parametres!$B$3,G$1:R$1,0))*IF(OR(F850="L",F850="S",F850="I"),-1,1)</f>
        <v>361915.73</v>
      </c>
      <c r="AO850" s="487" t="str">
        <f>+VLOOKUP($AJ850,Data_Validation!$A:$D,1,0)</f>
        <v>G62612</v>
      </c>
      <c r="AP850" s="487" t="str">
        <f>+VLOOKUP($AJ850,Data_Validation!$A:$D,3,0)</f>
        <v>Véhicules neufs</v>
      </c>
      <c r="AQ850" s="487" t="str">
        <f>+VLOOKUP($AJ850,Data_Validation!$A:$D,4,0)</f>
        <v>Camions détail</v>
      </c>
      <c r="AR850" s="487" t="s">
        <v>299</v>
      </c>
      <c r="AS850" s="487">
        <f>+VLOOKUP($AJ850,Data_Validation!$A:$E,5,0)</f>
        <v>0</v>
      </c>
      <c r="AT850" s="904" t="str">
        <f t="shared" si="83"/>
        <v>G62612</v>
      </c>
      <c r="AU850" s="488" t="str">
        <f t="shared" si="84"/>
        <v>COUT-BUICK ENVISION</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2705</v>
      </c>
      <c r="D851" s="706" t="s">
        <v>2706</v>
      </c>
      <c r="E851" s="706" t="s">
        <v>1143</v>
      </c>
      <c r="F851" s="706" t="s">
        <v>1152</v>
      </c>
      <c r="G851" s="706">
        <v>0</v>
      </c>
      <c r="H851" s="706">
        <v>0</v>
      </c>
      <c r="I851" s="706">
        <v>68540.09</v>
      </c>
      <c r="J851" s="706">
        <v>201546.09</v>
      </c>
      <c r="K851" s="706">
        <v>233592.09</v>
      </c>
      <c r="L851" s="706">
        <v>333834.21999999997</v>
      </c>
      <c r="M851" s="706">
        <v>368145.9</v>
      </c>
      <c r="N851" s="706">
        <v>368145.9</v>
      </c>
      <c r="O851" s="706">
        <v>400963.45</v>
      </c>
      <c r="P851" s="706">
        <v>0</v>
      </c>
      <c r="Q851" s="706">
        <v>0</v>
      </c>
      <c r="R851" s="706">
        <v>0</v>
      </c>
      <c r="S851" s="706">
        <v>46018.239999999998</v>
      </c>
      <c r="T851" s="706">
        <v>46018.239999999998</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G62613</v>
      </c>
      <c r="AK851" s="905" t="str">
        <f t="shared" si="81"/>
        <v>COUT-BUICK ENVISTA</v>
      </c>
      <c r="AL851" s="905">
        <f>IFERROR(INDEX(G851:R851,1,MATCH(Parametres!$B$3,G$1:R$1,0)-1)*IF(OR(F851="L",F851="S",F851="I"),-1,1),"")</f>
        <v>368145.9</v>
      </c>
      <c r="AM851" s="905">
        <f t="shared" si="82"/>
        <v>0</v>
      </c>
      <c r="AN851" s="905">
        <f>INDEX(G851:R851,1,MATCH(Parametres!$B$3,G$1:R$1,0))*IF(OR(F851="L",F851="S",F851="I"),-1,1)</f>
        <v>368145.9</v>
      </c>
      <c r="AO851" s="487" t="str">
        <f>+VLOOKUP($AJ851,Data_Validation!$A:$D,1,0)</f>
        <v>G62613</v>
      </c>
      <c r="AP851" s="487" t="str">
        <f>+VLOOKUP($AJ851,Data_Validation!$A:$D,3,0)</f>
        <v>Véhicules neufs</v>
      </c>
      <c r="AQ851" s="487" t="str">
        <f>+VLOOKUP($AJ851,Data_Validation!$A:$D,4,0)</f>
        <v>Camions détail</v>
      </c>
      <c r="AR851" s="487" t="s">
        <v>299</v>
      </c>
      <c r="AS851" s="487">
        <f>+VLOOKUP($AJ851,Data_Validation!$A:$E,5,0)</f>
        <v>0</v>
      </c>
      <c r="AT851" s="904" t="str">
        <f t="shared" si="83"/>
        <v>G62613</v>
      </c>
      <c r="AU851" s="488" t="str">
        <f t="shared" si="84"/>
        <v>COUT-BUICK ENVISTA</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2707</v>
      </c>
      <c r="D852" s="706" t="s">
        <v>2708</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G62620</v>
      </c>
      <c r="AK852" s="905" t="str">
        <f t="shared" si="81"/>
        <v>COUT-SPICKUP/COLORADO-LOC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G62620</v>
      </c>
      <c r="AU852" s="488" t="str">
        <f t="shared" si="84"/>
        <v>COUT-SPICKUP/COLORADO-LOC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customHeight="1">
      <c r="A853" s="706" t="s">
        <v>1148</v>
      </c>
      <c r="B853" s="706">
        <v>2026</v>
      </c>
      <c r="C853" s="706" t="s">
        <v>2709</v>
      </c>
      <c r="D853" s="706" t="s">
        <v>2710</v>
      </c>
      <c r="E853" s="706" t="s">
        <v>1143</v>
      </c>
      <c r="F853" s="706" t="s">
        <v>1152</v>
      </c>
      <c r="G853" s="706">
        <v>59099.95</v>
      </c>
      <c r="H853" s="706">
        <v>116082.85</v>
      </c>
      <c r="I853" s="706">
        <v>116082.85</v>
      </c>
      <c r="J853" s="706">
        <v>175743.94</v>
      </c>
      <c r="K853" s="706">
        <v>243964.63</v>
      </c>
      <c r="L853" s="706">
        <v>300223.63</v>
      </c>
      <c r="M853" s="706">
        <v>496266.72</v>
      </c>
      <c r="N853" s="706">
        <v>496266.72</v>
      </c>
      <c r="O853" s="706">
        <v>551787.56000000006</v>
      </c>
      <c r="P853" s="706">
        <v>0</v>
      </c>
      <c r="Q853" s="706">
        <v>0</v>
      </c>
      <c r="R853" s="706">
        <v>0</v>
      </c>
      <c r="S853" s="706">
        <v>62033.34</v>
      </c>
      <c r="T853" s="706">
        <v>62033.34</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G62700</v>
      </c>
      <c r="AK853" s="905" t="str">
        <f t="shared" si="81"/>
        <v>COUT-TRAVERSE</v>
      </c>
      <c r="AL853" s="905">
        <f>IFERROR(INDEX(G853:R853,1,MATCH(Parametres!$B$3,G$1:R$1,0)-1)*IF(OR(F853="L",F853="S",F853="I"),-1,1),"")</f>
        <v>496266.72</v>
      </c>
      <c r="AM853" s="1047">
        <f t="shared" si="82"/>
        <v>0</v>
      </c>
      <c r="AN853" s="905">
        <f>INDEX(G853:R853,1,MATCH(Parametres!$B$3,G$1:R$1,0))*IF(OR(F853="L",F853="S",F853="I"),-1,1)</f>
        <v>496266.72</v>
      </c>
      <c r="AO853" s="487" t="str">
        <f>+VLOOKUP($AJ853,Data_Validation!$A:$D,1,0)</f>
        <v>G62700</v>
      </c>
      <c r="AP853" s="487" t="str">
        <f>+VLOOKUP($AJ853,Data_Validation!$A:$D,3,0)</f>
        <v>Véhicules neufs</v>
      </c>
      <c r="AQ853" s="487" t="str">
        <f>+VLOOKUP($AJ853,Data_Validation!$A:$D,4,0)</f>
        <v>Camions détail</v>
      </c>
      <c r="AR853" s="487" t="s">
        <v>299</v>
      </c>
      <c r="AS853" s="487">
        <f>+VLOOKUP($AJ853,Data_Validation!$A:$E,5,0)</f>
        <v>0</v>
      </c>
      <c r="AT853" s="904" t="str">
        <f t="shared" si="83"/>
        <v>G62700</v>
      </c>
      <c r="AU853" s="488" t="str">
        <f t="shared" si="84"/>
        <v>COUT-TRAVERSE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2711</v>
      </c>
      <c r="D854" s="706" t="s">
        <v>2712</v>
      </c>
      <c r="E854" s="706" t="s">
        <v>1143</v>
      </c>
      <c r="F854" s="706" t="s">
        <v>1152</v>
      </c>
      <c r="G854" s="706">
        <v>0</v>
      </c>
      <c r="H854" s="706">
        <v>0</v>
      </c>
      <c r="I854" s="706">
        <v>0</v>
      </c>
      <c r="J854" s="706">
        <v>75348.5</v>
      </c>
      <c r="K854" s="706">
        <v>138372.42000000001</v>
      </c>
      <c r="L854" s="706">
        <v>138372.42000000001</v>
      </c>
      <c r="M854" s="706">
        <v>138372.42000000001</v>
      </c>
      <c r="N854" s="706">
        <v>138372.42000000001</v>
      </c>
      <c r="O854" s="706">
        <v>138372.42000000001</v>
      </c>
      <c r="P854" s="706">
        <v>0</v>
      </c>
      <c r="Q854" s="706">
        <v>0</v>
      </c>
      <c r="R854" s="706">
        <v>0</v>
      </c>
      <c r="S854" s="706">
        <v>17296.55</v>
      </c>
      <c r="T854" s="706">
        <v>17296.55</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G62800</v>
      </c>
      <c r="AK854" s="905" t="str">
        <f t="shared" si="81"/>
        <v>COÛTANT BUICK ENCLAVE</v>
      </c>
      <c r="AL854" s="905">
        <f>IFERROR(INDEX(G854:R854,1,MATCH(Parametres!$B$3,G$1:R$1,0)-1)*IF(OR(F854="L",F854="S",F854="I"),-1,1),"")</f>
        <v>138372.42000000001</v>
      </c>
      <c r="AM854" s="905">
        <f t="shared" si="82"/>
        <v>0</v>
      </c>
      <c r="AN854" s="905">
        <f>INDEX(G854:R854,1,MATCH(Parametres!$B$3,G$1:R$1,0))*IF(OR(F854="L",F854="S",F854="I"),-1,1)</f>
        <v>138372.42000000001</v>
      </c>
      <c r="AO854" s="487" t="str">
        <f>+VLOOKUP($AJ854,Data_Validation!$A:$D,1,0)</f>
        <v>G62800</v>
      </c>
      <c r="AP854" s="487" t="str">
        <f>+VLOOKUP($AJ854,Data_Validation!$A:$D,3,0)</f>
        <v>Véhicules neufs</v>
      </c>
      <c r="AQ854" s="487" t="str">
        <f>+VLOOKUP($AJ854,Data_Validation!$A:$D,4,0)</f>
        <v>Camions détail</v>
      </c>
      <c r="AR854" s="487" t="s">
        <v>299</v>
      </c>
      <c r="AS854" s="487">
        <f>+VLOOKUP($AJ854,Data_Validation!$A:$E,5,0)</f>
        <v>0</v>
      </c>
      <c r="AT854" s="904" t="str">
        <f t="shared" si="83"/>
        <v>G62800</v>
      </c>
      <c r="AU854" s="488" t="str">
        <f t="shared" si="84"/>
        <v>COÛTANT BUICK ENCLAVE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2713</v>
      </c>
      <c r="D855" s="706" t="s">
        <v>2714</v>
      </c>
      <c r="E855" s="706" t="s">
        <v>1143</v>
      </c>
      <c r="F855" s="706" t="s">
        <v>1152</v>
      </c>
      <c r="G855" s="706">
        <v>39100.9</v>
      </c>
      <c r="H855" s="706">
        <v>73216.850000000006</v>
      </c>
      <c r="I855" s="706">
        <v>73216.850000000006</v>
      </c>
      <c r="J855" s="706">
        <v>111303.69</v>
      </c>
      <c r="K855" s="706">
        <v>111303.69</v>
      </c>
      <c r="L855" s="706">
        <v>183089.15</v>
      </c>
      <c r="M855" s="706">
        <v>183089.15</v>
      </c>
      <c r="N855" s="706">
        <v>219797.95</v>
      </c>
      <c r="O855" s="706">
        <v>292239</v>
      </c>
      <c r="P855" s="706">
        <v>0</v>
      </c>
      <c r="Q855" s="706">
        <v>0</v>
      </c>
      <c r="R855" s="706">
        <v>0</v>
      </c>
      <c r="S855" s="706">
        <v>27474.74</v>
      </c>
      <c r="T855" s="706">
        <v>27474.74</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G62804</v>
      </c>
      <c r="AK855" s="905" t="str">
        <f t="shared" si="81"/>
        <v>COUT BUICK ENCORE</v>
      </c>
      <c r="AL855" s="905">
        <f>IFERROR(INDEX(G855:R855,1,MATCH(Parametres!$B$3,G$1:R$1,0)-1)*IF(OR(F855="L",F855="S",F855="I"),-1,1),"")</f>
        <v>183089.15</v>
      </c>
      <c r="AM855" s="905">
        <f t="shared" si="82"/>
        <v>36708.800000000017</v>
      </c>
      <c r="AN855" s="905">
        <f>INDEX(G855:R855,1,MATCH(Parametres!$B$3,G$1:R$1,0))*IF(OR(F855="L",F855="S",F855="I"),-1,1)</f>
        <v>219797.95</v>
      </c>
      <c r="AO855" s="487" t="str">
        <f>+VLOOKUP($AJ855,Data_Validation!$A:$D,1,0)</f>
        <v>G62804</v>
      </c>
      <c r="AP855" s="487" t="str">
        <f>+VLOOKUP($AJ855,Data_Validation!$A:$D,3,0)</f>
        <v>Véhicules neufs</v>
      </c>
      <c r="AQ855" s="487" t="str">
        <f>+VLOOKUP($AJ855,Data_Validation!$A:$D,4,0)</f>
        <v>Camions détail</v>
      </c>
      <c r="AR855" s="487" t="s">
        <v>299</v>
      </c>
      <c r="AS855" s="487">
        <f>+VLOOKUP($AJ855,Data_Validation!$A:$E,5,0)</f>
        <v>0</v>
      </c>
      <c r="AT855" s="904" t="str">
        <f t="shared" si="83"/>
        <v>G62804</v>
      </c>
      <c r="AU855" s="488" t="str">
        <f t="shared" si="84"/>
        <v>COUT BUICK ENCORE</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2715</v>
      </c>
      <c r="D856" s="706" t="s">
        <v>2716</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G62820</v>
      </c>
      <c r="AK856" s="905" t="str">
        <f t="shared" ref="AK856:AK919" si="87">D856</f>
        <v>COUT-TRAIL BALZER    -LOC</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G62820</v>
      </c>
      <c r="AU856" s="488" t="str">
        <f t="shared" ref="AU856:AU919" si="90">D856</f>
        <v>COUT-TRAIL BALZER    -LOC</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customHeight="1">
      <c r="A857" s="706" t="s">
        <v>1148</v>
      </c>
      <c r="B857" s="706">
        <v>2026</v>
      </c>
      <c r="C857" s="706" t="s">
        <v>2717</v>
      </c>
      <c r="D857" s="706" t="s">
        <v>2718</v>
      </c>
      <c r="E857" s="706" t="s">
        <v>1143</v>
      </c>
      <c r="F857" s="706" t="s">
        <v>1152</v>
      </c>
      <c r="G857" s="706">
        <v>163604.79999999999</v>
      </c>
      <c r="H857" s="706">
        <v>254067.85</v>
      </c>
      <c r="I857" s="706">
        <v>348128.49</v>
      </c>
      <c r="J857" s="706">
        <v>469050.88</v>
      </c>
      <c r="K857" s="706">
        <v>533516.16</v>
      </c>
      <c r="L857" s="706">
        <v>562547.81000000006</v>
      </c>
      <c r="M857" s="706">
        <v>715139.27</v>
      </c>
      <c r="N857" s="706">
        <v>799710.65</v>
      </c>
      <c r="O857" s="706">
        <v>864422.6</v>
      </c>
      <c r="P857" s="706">
        <v>0</v>
      </c>
      <c r="Q857" s="706">
        <v>0</v>
      </c>
      <c r="R857" s="706">
        <v>0</v>
      </c>
      <c r="S857" s="706">
        <v>99963.83</v>
      </c>
      <c r="T857" s="706">
        <v>99963.83</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G62850</v>
      </c>
      <c r="AK857" s="905" t="str">
        <f t="shared" si="87"/>
        <v>COUTANT CHEVROLET TRAX</v>
      </c>
      <c r="AL857" s="905">
        <f>IFERROR(INDEX(G857:R857,1,MATCH(Parametres!$B$3,G$1:R$1,0)-1)*IF(OR(F857="L",F857="S",F857="I"),-1,1),"")</f>
        <v>715139.27</v>
      </c>
      <c r="AM857" s="905">
        <f t="shared" si="88"/>
        <v>84571.38</v>
      </c>
      <c r="AN857" s="905">
        <f>INDEX(G857:R857,1,MATCH(Parametres!$B$3,G$1:R$1,0))*IF(OR(F857="L",F857="S",F857="I"),-1,1)</f>
        <v>799710.65</v>
      </c>
      <c r="AO857" s="487" t="str">
        <f>+VLOOKUP($AJ857,Data_Validation!$A:$D,1,0)</f>
        <v>G62850</v>
      </c>
      <c r="AP857" s="487" t="str">
        <f>+VLOOKUP($AJ857,Data_Validation!$A:$D,3,0)</f>
        <v>Véhicules neufs</v>
      </c>
      <c r="AQ857" s="487" t="str">
        <f>+VLOOKUP($AJ857,Data_Validation!$A:$D,4,0)</f>
        <v>Camions détail</v>
      </c>
      <c r="AR857" s="487" t="s">
        <v>299</v>
      </c>
      <c r="AS857" s="487">
        <f>+VLOOKUP($AJ857,Data_Validation!$A:$E,5,0)</f>
        <v>0</v>
      </c>
      <c r="AT857" s="904" t="str">
        <f t="shared" si="89"/>
        <v>G62850</v>
      </c>
      <c r="AU857" s="488" t="str">
        <f t="shared" si="90"/>
        <v>COUTANT CHEVROLET TRAX</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2719</v>
      </c>
      <c r="D858" s="706" t="s">
        <v>2720</v>
      </c>
      <c r="E858" s="706" t="s">
        <v>1143</v>
      </c>
      <c r="F858" s="706" t="s">
        <v>1152</v>
      </c>
      <c r="G858" s="706">
        <v>275883.74</v>
      </c>
      <c r="H858" s="706">
        <v>367937.75</v>
      </c>
      <c r="I858" s="706">
        <v>626758.68000000005</v>
      </c>
      <c r="J858" s="706">
        <v>626758.68000000005</v>
      </c>
      <c r="K858" s="706">
        <v>693368.68</v>
      </c>
      <c r="L858" s="706">
        <v>874729.5</v>
      </c>
      <c r="M858" s="706">
        <v>874729.5</v>
      </c>
      <c r="N858" s="706">
        <v>968535.95</v>
      </c>
      <c r="O858" s="706">
        <v>968535.95</v>
      </c>
      <c r="P858" s="706">
        <v>0</v>
      </c>
      <c r="Q858" s="706">
        <v>0</v>
      </c>
      <c r="R858" s="706">
        <v>0</v>
      </c>
      <c r="S858" s="706">
        <v>121066.99</v>
      </c>
      <c r="T858" s="706">
        <v>121066.99</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G62900</v>
      </c>
      <c r="AK858" s="905" t="str">
        <f t="shared" si="87"/>
        <v>COUT-TAHOE/SUBURBAN</v>
      </c>
      <c r="AL858" s="905">
        <f>IFERROR(INDEX(G858:R858,1,MATCH(Parametres!$B$3,G$1:R$1,0)-1)*IF(OR(F858="L",F858="S",F858="I"),-1,1),"")</f>
        <v>874729.5</v>
      </c>
      <c r="AM858" s="905">
        <f t="shared" si="88"/>
        <v>93806.449999999953</v>
      </c>
      <c r="AN858" s="905">
        <f>INDEX(G858:R858,1,MATCH(Parametres!$B$3,G$1:R$1,0))*IF(OR(F858="L",F858="S",F858="I"),-1,1)</f>
        <v>968535.95</v>
      </c>
      <c r="AO858" s="487" t="str">
        <f>+VLOOKUP($AJ858,Data_Validation!$A:$D,1,0)</f>
        <v>G62900</v>
      </c>
      <c r="AP858" s="487" t="str">
        <f>+VLOOKUP($AJ858,Data_Validation!$A:$D,3,0)</f>
        <v>Véhicules neufs</v>
      </c>
      <c r="AQ858" s="487" t="str">
        <f>+VLOOKUP($AJ858,Data_Validation!$A:$D,4,0)</f>
        <v>Camions détail</v>
      </c>
      <c r="AR858" s="487" t="s">
        <v>299</v>
      </c>
      <c r="AS858" s="487">
        <f>+VLOOKUP($AJ858,Data_Validation!$A:$E,5,0)</f>
        <v>0</v>
      </c>
      <c r="AT858" s="904" t="str">
        <f t="shared" si="89"/>
        <v>G62900</v>
      </c>
      <c r="AU858" s="488" t="str">
        <f t="shared" si="90"/>
        <v>COUT-TAHOE/SUBURBAN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2721</v>
      </c>
      <c r="D859" s="706" t="s">
        <v>2722</v>
      </c>
      <c r="E859" s="706" t="s">
        <v>1143</v>
      </c>
      <c r="F859" s="706" t="s">
        <v>1152</v>
      </c>
      <c r="G859" s="706">
        <v>278797.93</v>
      </c>
      <c r="H859" s="706">
        <v>563208.92000000004</v>
      </c>
      <c r="I859" s="706">
        <v>1033013.62</v>
      </c>
      <c r="J859" s="706">
        <v>1319349.4099999999</v>
      </c>
      <c r="K859" s="706">
        <v>1763629.82</v>
      </c>
      <c r="L859" s="706">
        <v>2289254.42</v>
      </c>
      <c r="M859" s="706">
        <v>2579710.81</v>
      </c>
      <c r="N859" s="706">
        <v>2714563.83</v>
      </c>
      <c r="O859" s="706">
        <v>2945425.94</v>
      </c>
      <c r="P859" s="706">
        <v>0</v>
      </c>
      <c r="Q859" s="706">
        <v>0</v>
      </c>
      <c r="R859" s="706">
        <v>0</v>
      </c>
      <c r="S859" s="706">
        <v>339320.48</v>
      </c>
      <c r="T859" s="706">
        <v>339320.48</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G63000</v>
      </c>
      <c r="AK859" s="905" t="str">
        <f t="shared" si="87"/>
        <v>COUT-CL 1500 SILVERADO</v>
      </c>
      <c r="AL859" s="905">
        <f>IFERROR(INDEX(G859:R859,1,MATCH(Parametres!$B$3,G$1:R$1,0)-1)*IF(OR(F859="L",F859="S",F859="I"),-1,1),"")</f>
        <v>2579710.81</v>
      </c>
      <c r="AM859" s="905">
        <f t="shared" si="88"/>
        <v>134853.02000000002</v>
      </c>
      <c r="AN859" s="905">
        <f>INDEX(G859:R859,1,MATCH(Parametres!$B$3,G$1:R$1,0))*IF(OR(F859="L",F859="S",F859="I"),-1,1)</f>
        <v>2714563.83</v>
      </c>
      <c r="AO859" s="487" t="str">
        <f>+VLOOKUP($AJ859,Data_Validation!$A:$D,1,0)</f>
        <v>G63000</v>
      </c>
      <c r="AP859" s="487" t="str">
        <f>+VLOOKUP($AJ859,Data_Validation!$A:$D,3,0)</f>
        <v>Véhicules neufs</v>
      </c>
      <c r="AQ859" s="487" t="str">
        <f>+VLOOKUP($AJ859,Data_Validation!$A:$D,4,0)</f>
        <v>Camions détail</v>
      </c>
      <c r="AR859" s="487" t="s">
        <v>299</v>
      </c>
      <c r="AS859" s="487">
        <f>+VLOOKUP($AJ859,Data_Validation!$A:$E,5,0)</f>
        <v>0</v>
      </c>
      <c r="AT859" s="904" t="str">
        <f t="shared" si="89"/>
        <v>G63000</v>
      </c>
      <c r="AU859" s="488" t="str">
        <f t="shared" si="90"/>
        <v>COUT-CL 1500 SILVERADO</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customHeight="1">
      <c r="A860" s="706" t="s">
        <v>1148</v>
      </c>
      <c r="B860" s="706">
        <v>2026</v>
      </c>
      <c r="C860" s="706" t="s">
        <v>2723</v>
      </c>
      <c r="D860" s="706" t="s">
        <v>2724</v>
      </c>
      <c r="E860" s="706" t="s">
        <v>1143</v>
      </c>
      <c r="F860" s="706" t="s">
        <v>1152</v>
      </c>
      <c r="G860" s="706">
        <v>0</v>
      </c>
      <c r="H860" s="706">
        <v>0</v>
      </c>
      <c r="I860" s="706">
        <v>0</v>
      </c>
      <c r="J860" s="706">
        <v>216195.74</v>
      </c>
      <c r="K860" s="706">
        <v>216195.74</v>
      </c>
      <c r="L860" s="706">
        <v>216195.74</v>
      </c>
      <c r="M860" s="706">
        <v>324367.78999999998</v>
      </c>
      <c r="N860" s="706">
        <v>324367.78999999998</v>
      </c>
      <c r="O860" s="706">
        <v>415400.39</v>
      </c>
      <c r="P860" s="706">
        <v>0</v>
      </c>
      <c r="Q860" s="706">
        <v>0</v>
      </c>
      <c r="R860" s="706">
        <v>0</v>
      </c>
      <c r="S860" s="706">
        <v>40545.97</v>
      </c>
      <c r="T860" s="706">
        <v>40545.97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G63001</v>
      </c>
      <c r="AK860" s="905" t="str">
        <f t="shared" si="87"/>
        <v>COUT - SILVERADO EV</v>
      </c>
      <c r="AL860" s="905">
        <f>IFERROR(INDEX(G860:R860,1,MATCH(Parametres!$B$3,G$1:R$1,0)-1)*IF(OR(F860="L",F860="S",F860="I"),-1,1),"")</f>
        <v>324367.78999999998</v>
      </c>
      <c r="AM860" s="905">
        <f t="shared" si="88"/>
        <v>0</v>
      </c>
      <c r="AN860" s="905">
        <f>INDEX(G860:R860,1,MATCH(Parametres!$B$3,G$1:R$1,0))*IF(OR(F860="L",F860="S",F860="I"),-1,1)</f>
        <v>324367.78999999998</v>
      </c>
      <c r="AO860" s="487" t="str">
        <f>+VLOOKUP($AJ860,Data_Validation!$A:$D,1,0)</f>
        <v>G63001</v>
      </c>
      <c r="AP860" s="487" t="str">
        <f>+VLOOKUP($AJ860,Data_Validation!$A:$D,3,0)</f>
        <v>Véhicules neufs</v>
      </c>
      <c r="AQ860" s="487" t="str">
        <f>+VLOOKUP($AJ860,Data_Validation!$A:$D,4,0)</f>
        <v>Camions electriques</v>
      </c>
      <c r="AR860" s="487" t="s">
        <v>299</v>
      </c>
      <c r="AS860" s="487">
        <f>+VLOOKUP($AJ860,Data_Validation!$A:$E,5,0)</f>
        <v>0</v>
      </c>
      <c r="AT860" s="904" t="str">
        <f t="shared" si="89"/>
        <v>G63001</v>
      </c>
      <c r="AU860" s="488" t="str">
        <f t="shared" si="90"/>
        <v>COUT - SILVERADO EV</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2725</v>
      </c>
      <c r="D861" s="706" t="s">
        <v>2726</v>
      </c>
      <c r="E861" s="706" t="s">
        <v>1143</v>
      </c>
      <c r="F861" s="706" t="s">
        <v>1152</v>
      </c>
      <c r="G861" s="706">
        <v>92749.89</v>
      </c>
      <c r="H861" s="706">
        <v>396129</v>
      </c>
      <c r="I861" s="706">
        <v>728145.5</v>
      </c>
      <c r="J861" s="706">
        <v>728145.5</v>
      </c>
      <c r="K861" s="706">
        <v>960653.88</v>
      </c>
      <c r="L861" s="706">
        <v>1371355.67</v>
      </c>
      <c r="M861" s="706">
        <v>1620159.3</v>
      </c>
      <c r="N861" s="706">
        <v>1711026.72</v>
      </c>
      <c r="O861" s="706">
        <v>1825292.73</v>
      </c>
      <c r="P861" s="706">
        <v>0</v>
      </c>
      <c r="Q861" s="706">
        <v>0</v>
      </c>
      <c r="R861" s="706">
        <v>0</v>
      </c>
      <c r="S861" s="706">
        <v>213878.34</v>
      </c>
      <c r="T861" s="706">
        <v>213878.34</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G63002</v>
      </c>
      <c r="AK861" s="905" t="str">
        <f t="shared" si="87"/>
        <v>COUT - YUKON</v>
      </c>
      <c r="AL861" s="905">
        <f>IFERROR(INDEX(G861:R861,1,MATCH(Parametres!$B$3,G$1:R$1,0)-1)*IF(OR(F861="L",F861="S",F861="I"),-1,1),"")</f>
        <v>1620159.3</v>
      </c>
      <c r="AM861" s="905">
        <f t="shared" si="88"/>
        <v>90867.419999999925</v>
      </c>
      <c r="AN861" s="905">
        <f>INDEX(G861:R861,1,MATCH(Parametres!$B$3,G$1:R$1,0))*IF(OR(F861="L",F861="S",F861="I"),-1,1)</f>
        <v>1711026.72</v>
      </c>
      <c r="AO861" s="487" t="str">
        <f>+VLOOKUP($AJ861,Data_Validation!$A:$D,1,0)</f>
        <v>G63002</v>
      </c>
      <c r="AP861" s="487" t="str">
        <f>+VLOOKUP($AJ861,Data_Validation!$A:$D,3,0)</f>
        <v>Véhicules neufs</v>
      </c>
      <c r="AQ861" s="487" t="str">
        <f>+VLOOKUP($AJ861,Data_Validation!$A:$D,4,0)</f>
        <v>Camions détail</v>
      </c>
      <c r="AR861" s="487" t="s">
        <v>299</v>
      </c>
      <c r="AS861" s="487">
        <f>+VLOOKUP($AJ861,Data_Validation!$A:$E,5,0)</f>
        <v>0</v>
      </c>
      <c r="AT861" s="904" t="str">
        <f t="shared" si="89"/>
        <v>G63002</v>
      </c>
      <c r="AU861" s="488" t="str">
        <f t="shared" si="90"/>
        <v>COUT - YUKON</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2727</v>
      </c>
      <c r="D862" s="706" t="s">
        <v>2728</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G63020</v>
      </c>
      <c r="AK862" s="905" t="str">
        <f t="shared" si="87"/>
        <v>COUT-CL 1500 SILVERAD-LOC</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G63020</v>
      </c>
      <c r="AU862" s="488" t="str">
        <f t="shared" si="90"/>
        <v>COUT-CL 1500 SILVERAD-LOC</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customHeight="1">
      <c r="A863" s="706" t="s">
        <v>1148</v>
      </c>
      <c r="B863" s="706">
        <v>2026</v>
      </c>
      <c r="C863" s="706" t="s">
        <v>2729</v>
      </c>
      <c r="D863" s="706" t="s">
        <v>2730</v>
      </c>
      <c r="E863" s="706" t="s">
        <v>1143</v>
      </c>
      <c r="F863" s="706" t="s">
        <v>1152</v>
      </c>
      <c r="G863" s="706">
        <v>95881.95</v>
      </c>
      <c r="H863" s="706">
        <v>284200.96999999997</v>
      </c>
      <c r="I863" s="706">
        <v>667588.17000000004</v>
      </c>
      <c r="J863" s="706">
        <v>667588.17000000004</v>
      </c>
      <c r="K863" s="706">
        <v>763930.31</v>
      </c>
      <c r="L863" s="706">
        <v>865397.4</v>
      </c>
      <c r="M863" s="706">
        <v>943864.51</v>
      </c>
      <c r="N863" s="706">
        <v>1138555.77</v>
      </c>
      <c r="O863" s="706">
        <v>1138555.77</v>
      </c>
      <c r="P863" s="706">
        <v>0</v>
      </c>
      <c r="Q863" s="706">
        <v>0</v>
      </c>
      <c r="R863" s="706">
        <v>0</v>
      </c>
      <c r="S863" s="706">
        <v>142319.47</v>
      </c>
      <c r="T863" s="706">
        <v>142319.47</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G63100</v>
      </c>
      <c r="AK863" s="905" t="str">
        <f t="shared" si="87"/>
        <v>COUT-CL 2500 SILVERADO</v>
      </c>
      <c r="AL863" s="905">
        <f>IFERROR(INDEX(G863:R863,1,MATCH(Parametres!$B$3,G$1:R$1,0)-1)*IF(OR(F863="L",F863="S",F863="I"),-1,1),"")</f>
        <v>943864.51</v>
      </c>
      <c r="AM863" s="905">
        <f t="shared" si="88"/>
        <v>194691.26</v>
      </c>
      <c r="AN863" s="905">
        <f>INDEX(G863:R863,1,MATCH(Parametres!$B$3,G$1:R$1,0))*IF(OR(F863="L",F863="S",F863="I"),-1,1)</f>
        <v>1138555.77</v>
      </c>
      <c r="AO863" s="487" t="str">
        <f>+VLOOKUP($AJ863,Data_Validation!$A:$D,1,0)</f>
        <v>G63100</v>
      </c>
      <c r="AP863" s="487" t="str">
        <f>+VLOOKUP($AJ863,Data_Validation!$A:$D,3,0)</f>
        <v>Véhicules neufs</v>
      </c>
      <c r="AQ863" s="487" t="str">
        <f>+VLOOKUP($AJ863,Data_Validation!$A:$D,4,0)</f>
        <v>Camions détail</v>
      </c>
      <c r="AR863" s="487" t="s">
        <v>299</v>
      </c>
      <c r="AS863" s="487">
        <f>+VLOOKUP($AJ863,Data_Validation!$A:$E,5,0)</f>
        <v>0</v>
      </c>
      <c r="AT863" s="904" t="str">
        <f t="shared" si="89"/>
        <v>G63100</v>
      </c>
      <c r="AU863" s="488" t="str">
        <f t="shared" si="90"/>
        <v>COUT-CL 2500 SILVERADO</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customHeight="1">
      <c r="A864" s="706" t="s">
        <v>1148</v>
      </c>
      <c r="B864" s="706">
        <v>2026</v>
      </c>
      <c r="C864" s="706" t="s">
        <v>2731</v>
      </c>
      <c r="D864" s="706" t="s">
        <v>2732</v>
      </c>
      <c r="E864" s="706" t="s">
        <v>1143</v>
      </c>
      <c r="F864" s="706" t="s">
        <v>1152</v>
      </c>
      <c r="G864" s="706">
        <v>147986.73000000001</v>
      </c>
      <c r="H864" s="706">
        <v>532197.18999999994</v>
      </c>
      <c r="I864" s="706">
        <v>842661.14</v>
      </c>
      <c r="J864" s="706">
        <v>1593081.49</v>
      </c>
      <c r="K864" s="706">
        <v>1961574.24</v>
      </c>
      <c r="L864" s="706">
        <v>2121431.2999999998</v>
      </c>
      <c r="M864" s="706">
        <v>2644271.8199999998</v>
      </c>
      <c r="N864" s="706">
        <v>3222635.8</v>
      </c>
      <c r="O864" s="706">
        <v>3523735.16</v>
      </c>
      <c r="P864" s="706">
        <v>0</v>
      </c>
      <c r="Q864" s="706">
        <v>0</v>
      </c>
      <c r="R864" s="706">
        <v>0</v>
      </c>
      <c r="S864" s="706">
        <v>402829.48</v>
      </c>
      <c r="T864" s="706">
        <v>402829.48</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G63102</v>
      </c>
      <c r="AK864" s="905" t="str">
        <f t="shared" si="87"/>
        <v>COUTANT CL 1500 SIERRA</v>
      </c>
      <c r="AL864" s="905">
        <f>IFERROR(INDEX(G864:R864,1,MATCH(Parametres!$B$3,G$1:R$1,0)-1)*IF(OR(F864="L",F864="S",F864="I"),-1,1),"")</f>
        <v>2644271.8199999998</v>
      </c>
      <c r="AM864" s="905">
        <f t="shared" si="88"/>
        <v>578363.98</v>
      </c>
      <c r="AN864" s="905">
        <f>INDEX(G864:R864,1,MATCH(Parametres!$B$3,G$1:R$1,0))*IF(OR(F864="L",F864="S",F864="I"),-1,1)</f>
        <v>3222635.8</v>
      </c>
      <c r="AO864" s="487" t="str">
        <f>+VLOOKUP($AJ864,Data_Validation!$A:$D,1,0)</f>
        <v>G63102</v>
      </c>
      <c r="AP864" s="487" t="str">
        <f>+VLOOKUP($AJ864,Data_Validation!$A:$D,3,0)</f>
        <v>Véhicules neufs</v>
      </c>
      <c r="AQ864" s="487" t="str">
        <f>+VLOOKUP($AJ864,Data_Validation!$A:$D,4,0)</f>
        <v>Camions détail</v>
      </c>
      <c r="AR864" s="487" t="s">
        <v>299</v>
      </c>
      <c r="AS864" s="487">
        <f>+VLOOKUP($AJ864,Data_Validation!$A:$E,5,0)</f>
        <v>0</v>
      </c>
      <c r="AT864" s="904" t="str">
        <f t="shared" si="89"/>
        <v>G63102</v>
      </c>
      <c r="AU864" s="488" t="str">
        <f t="shared" si="90"/>
        <v>COUTANT CL 1500 SIERRA</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2733</v>
      </c>
      <c r="D865" s="706" t="s">
        <v>2734</v>
      </c>
      <c r="E865" s="706" t="s">
        <v>1143</v>
      </c>
      <c r="F865" s="706" t="s">
        <v>1152</v>
      </c>
      <c r="G865" s="706">
        <v>108075.05</v>
      </c>
      <c r="H865" s="706">
        <v>211150.1</v>
      </c>
      <c r="I865" s="706">
        <v>211150.1</v>
      </c>
      <c r="J865" s="706">
        <v>320050.96999999997</v>
      </c>
      <c r="K865" s="706">
        <v>320050.96999999997</v>
      </c>
      <c r="L865" s="706">
        <v>413048.11</v>
      </c>
      <c r="M865" s="706">
        <v>413048.11</v>
      </c>
      <c r="N865" s="706">
        <v>413048.11</v>
      </c>
      <c r="O865" s="706">
        <v>413048.11</v>
      </c>
      <c r="P865" s="706">
        <v>0</v>
      </c>
      <c r="Q865" s="706">
        <v>0</v>
      </c>
      <c r="R865" s="706">
        <v>0</v>
      </c>
      <c r="S865" s="706">
        <v>51631.01</v>
      </c>
      <c r="T865" s="706">
        <v>51631.01</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G63103</v>
      </c>
      <c r="AK865" s="905" t="str">
        <f t="shared" si="87"/>
        <v>COUT - SIERRA EV</v>
      </c>
      <c r="AL865" s="905">
        <f>IFERROR(INDEX(G865:R865,1,MATCH(Parametres!$B$3,G$1:R$1,0)-1)*IF(OR(F865="L",F865="S",F865="I"),-1,1),"")</f>
        <v>413048.11</v>
      </c>
      <c r="AM865" s="905">
        <f t="shared" si="88"/>
        <v>0</v>
      </c>
      <c r="AN865" s="905">
        <f>INDEX(G865:R865,1,MATCH(Parametres!$B$3,G$1:R$1,0))*IF(OR(F865="L",F865="S",F865="I"),-1,1)</f>
        <v>413048.11</v>
      </c>
      <c r="AO865" s="487" t="str">
        <f>+VLOOKUP($AJ865,Data_Validation!$A:$D,1,0)</f>
        <v>G63103</v>
      </c>
      <c r="AP865" s="487" t="str">
        <f>+VLOOKUP($AJ865,Data_Validation!$A:$D,3,0)</f>
        <v>Véhicules neufs</v>
      </c>
      <c r="AQ865" s="487" t="str">
        <f>+VLOOKUP($AJ865,Data_Validation!$A:$D,4,0)</f>
        <v>Camions electriques</v>
      </c>
      <c r="AR865" s="487" t="s">
        <v>299</v>
      </c>
      <c r="AS865" s="487">
        <f>+VLOOKUP($AJ865,Data_Validation!$A:$E,5,0)</f>
        <v>0</v>
      </c>
      <c r="AT865" s="904" t="str">
        <f t="shared" si="89"/>
        <v>G63103</v>
      </c>
      <c r="AU865" s="488" t="str">
        <f t="shared" si="90"/>
        <v>COUT - SIERRA EV</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2735</v>
      </c>
      <c r="D866" s="706" t="s">
        <v>2736</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G63120</v>
      </c>
      <c r="AK866" s="905" t="str">
        <f t="shared" si="87"/>
        <v>COUT-CL 2500 SILVERAD-LOC</v>
      </c>
      <c r="AL866" s="905">
        <f>IFERROR(INDEX(G866:R866,1,MATCH(Parametres!$B$3,G$1:R$1,0)-1)*IF(OR(F866="L",F866="S",F866="I"),-1,1),"")</f>
        <v>0</v>
      </c>
      <c r="AM866" s="905">
        <f t="shared" si="88"/>
        <v>0</v>
      </c>
      <c r="AN866" s="905">
        <f>INDEX(G866:R866,1,MATCH(Parametres!$B$3,G$1:R$1,0))*IF(OR(F866="L",F866="S",F866="I"),-1,1)</f>
        <v>0</v>
      </c>
      <c r="AO866" s="487" t="e">
        <f>+VLOOKUP($AJ866,Data_Validation!$A:$D,1,0)</f>
        <v>#N/A</v>
      </c>
      <c r="AP866" s="487" t="e">
        <f>+VLOOKUP($AJ866,Data_Validation!$A:$D,3,0)</f>
        <v>#N/A</v>
      </c>
      <c r="AQ866" s="487" t="e">
        <f>+VLOOKUP($AJ866,Data_Validation!$A:$D,4,0)</f>
        <v>#N/A</v>
      </c>
      <c r="AR866" s="487" t="s">
        <v>299</v>
      </c>
      <c r="AS866" s="487" t="e">
        <f>+VLOOKUP($AJ866,Data_Validation!$A:$E,5,0)</f>
        <v>#N/A</v>
      </c>
      <c r="AT866" s="904" t="str">
        <f t="shared" si="89"/>
        <v>G63120</v>
      </c>
      <c r="AU866" s="488" t="str">
        <f t="shared" si="90"/>
        <v>COUT-CL 2500 SILVERAD-LOC</v>
      </c>
      <c r="AV866" s="899">
        <f>IFERROR(INDEX(V866:AG866,1,MATCH(Parametres!$B$3,V$1:AG$1,0)-1)*IF(OR(C866="L",C866="S",C866="I"),-1,1),"")</f>
        <v>0</v>
      </c>
      <c r="AW866" s="899">
        <f t="shared" si="91"/>
        <v>0</v>
      </c>
      <c r="AX866" s="899">
        <f>INDEX(V866:AG866,1,MATCH(Parametres!$B$3,V$1:AG$1,0))*IF(OR(C866="L",C866="S",C866="I"),-1,1)</f>
        <v>0</v>
      </c>
      <c r="AY866" s="487" t="s">
        <v>337</v>
      </c>
      <c r="AZ866" s="487" t="e">
        <f>+VLOOKUP($AJ866,Data_Validation!$A:$E,5,0)</f>
        <v>#N/A</v>
      </c>
    </row>
    <row r="867" spans="1:52" ht="15" customHeight="1">
      <c r="A867" s="706" t="s">
        <v>1148</v>
      </c>
      <c r="B867" s="706">
        <v>2026</v>
      </c>
      <c r="C867" s="706" t="s">
        <v>2737</v>
      </c>
      <c r="D867" s="706" t="s">
        <v>2738</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G63200</v>
      </c>
      <c r="AK867" s="905" t="str">
        <f t="shared" si="87"/>
        <v>COUT-CL 3500 SILVERADO</v>
      </c>
      <c r="AL867" s="905">
        <f>IFERROR(INDEX(G867:R867,1,MATCH(Parametres!$B$3,G$1:R$1,0)-1)*IF(OR(F867="L",F867="S",F867="I"),-1,1),"")</f>
        <v>0</v>
      </c>
      <c r="AM867" s="905">
        <f t="shared" si="88"/>
        <v>0</v>
      </c>
      <c r="AN867" s="905">
        <f>INDEX(G867:R867,1,MATCH(Parametres!$B$3,G$1:R$1,0))*IF(OR(F867="L",F867="S",F867="I"),-1,1)</f>
        <v>0</v>
      </c>
      <c r="AO867" s="487" t="str">
        <f>+VLOOKUP($AJ867,Data_Validation!$A:$D,1,0)</f>
        <v>G63200</v>
      </c>
      <c r="AP867" s="487" t="str">
        <f>+VLOOKUP($AJ867,Data_Validation!$A:$D,3,0)</f>
        <v>Véhicules neufs</v>
      </c>
      <c r="AQ867" s="487" t="str">
        <f>+VLOOKUP($AJ867,Data_Validation!$A:$D,4,0)</f>
        <v>Camions détail</v>
      </c>
      <c r="AR867" s="487" t="s">
        <v>299</v>
      </c>
      <c r="AS867" s="487">
        <f>+VLOOKUP($AJ867,Data_Validation!$A:$E,5,0)</f>
        <v>0</v>
      </c>
      <c r="AT867" s="904" t="str">
        <f t="shared" si="89"/>
        <v>G63200</v>
      </c>
      <c r="AU867" s="488" t="str">
        <f t="shared" si="90"/>
        <v>COUT-CL 3500 SILVERADO</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2739</v>
      </c>
      <c r="D868" s="706" t="s">
        <v>2740</v>
      </c>
      <c r="E868" s="706" t="s">
        <v>1143</v>
      </c>
      <c r="F868" s="706" t="s">
        <v>1152</v>
      </c>
      <c r="G868" s="706">
        <v>319231.27</v>
      </c>
      <c r="H868" s="706">
        <v>319231.27</v>
      </c>
      <c r="I868" s="706">
        <v>523709.44</v>
      </c>
      <c r="J868" s="706">
        <v>944789.7</v>
      </c>
      <c r="K868" s="706">
        <v>1339823.54</v>
      </c>
      <c r="L868" s="706">
        <v>1458323.17</v>
      </c>
      <c r="M868" s="706">
        <v>1679736.99</v>
      </c>
      <c r="N868" s="706">
        <v>1783762.04</v>
      </c>
      <c r="O868" s="706">
        <v>1783762.04</v>
      </c>
      <c r="P868" s="706">
        <v>0</v>
      </c>
      <c r="Q868" s="706">
        <v>0</v>
      </c>
      <c r="R868" s="706">
        <v>0</v>
      </c>
      <c r="S868" s="706">
        <v>222970.26</v>
      </c>
      <c r="T868" s="706">
        <v>222970.26</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G63202</v>
      </c>
      <c r="AK868" s="905" t="str">
        <f t="shared" si="87"/>
        <v>COUT- CL 2500 SIERRA</v>
      </c>
      <c r="AL868" s="905">
        <f>IFERROR(INDEX(G868:R868,1,MATCH(Parametres!$B$3,G$1:R$1,0)-1)*IF(OR(F868="L",F868="S",F868="I"),-1,1),"")</f>
        <v>1679736.99</v>
      </c>
      <c r="AM868" s="905">
        <f t="shared" si="88"/>
        <v>104025.05000000005</v>
      </c>
      <c r="AN868" s="905">
        <f>INDEX(G868:R868,1,MATCH(Parametres!$B$3,G$1:R$1,0))*IF(OR(F868="L",F868="S",F868="I"),-1,1)</f>
        <v>1783762.04</v>
      </c>
      <c r="AO868" s="487" t="str">
        <f>+VLOOKUP($AJ868,Data_Validation!$A:$D,1,0)</f>
        <v>G63202</v>
      </c>
      <c r="AP868" s="487" t="str">
        <f>+VLOOKUP($AJ868,Data_Validation!$A:$D,3,0)</f>
        <v>Véhicules neufs</v>
      </c>
      <c r="AQ868" s="487" t="str">
        <f>+VLOOKUP($AJ868,Data_Validation!$A:$D,4,0)</f>
        <v>Camions détail</v>
      </c>
      <c r="AR868" s="487" t="s">
        <v>299</v>
      </c>
      <c r="AS868" s="487">
        <f>+VLOOKUP($AJ868,Data_Validation!$A:$E,5,0)</f>
        <v>0</v>
      </c>
      <c r="AT868" s="904" t="str">
        <f t="shared" si="89"/>
        <v>G63202</v>
      </c>
      <c r="AU868" s="488" t="str">
        <f t="shared" si="90"/>
        <v>COUT- CL 2500 SIERRA</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2741</v>
      </c>
      <c r="D869" s="706" t="s">
        <v>2742</v>
      </c>
      <c r="E869" s="706" t="s">
        <v>1143</v>
      </c>
      <c r="F869" s="706" t="s">
        <v>1152</v>
      </c>
      <c r="G869" s="706">
        <v>215186.38</v>
      </c>
      <c r="H869" s="706">
        <v>215186.38</v>
      </c>
      <c r="I869" s="706">
        <v>323067.49</v>
      </c>
      <c r="J869" s="706">
        <v>323067.49</v>
      </c>
      <c r="K869" s="706">
        <v>323067.49</v>
      </c>
      <c r="L869" s="706">
        <v>323067.49</v>
      </c>
      <c r="M869" s="706">
        <v>323067.49</v>
      </c>
      <c r="N869" s="706">
        <v>323067.49</v>
      </c>
      <c r="O869" s="706">
        <v>323067.49</v>
      </c>
      <c r="P869" s="706">
        <v>0</v>
      </c>
      <c r="Q869" s="706">
        <v>0</v>
      </c>
      <c r="R869" s="706">
        <v>0</v>
      </c>
      <c r="S869" s="706">
        <v>40383.440000000002</v>
      </c>
      <c r="T869" s="706">
        <v>40383.440000000002</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G63203</v>
      </c>
      <c r="AK869" s="905" t="str">
        <f t="shared" si="87"/>
        <v>COUTANT - SIERRA 3500</v>
      </c>
      <c r="AL869" s="905">
        <f>IFERROR(INDEX(G869:R869,1,MATCH(Parametres!$B$3,G$1:R$1,0)-1)*IF(OR(F869="L",F869="S",F869="I"),-1,1),"")</f>
        <v>323067.49</v>
      </c>
      <c r="AM869" s="905">
        <f t="shared" si="88"/>
        <v>0</v>
      </c>
      <c r="AN869" s="905">
        <f>INDEX(G869:R869,1,MATCH(Parametres!$B$3,G$1:R$1,0))*IF(OR(F869="L",F869="S",F869="I"),-1,1)</f>
        <v>323067.49</v>
      </c>
      <c r="AO869" s="487" t="str">
        <f>+VLOOKUP($AJ869,Data_Validation!$A:$D,1,0)</f>
        <v>G63203</v>
      </c>
      <c r="AP869" s="487" t="str">
        <f>+VLOOKUP($AJ869,Data_Validation!$A:$D,3,0)</f>
        <v>Véhicules neufs</v>
      </c>
      <c r="AQ869" s="487" t="str">
        <f>+VLOOKUP($AJ869,Data_Validation!$A:$D,4,0)</f>
        <v>Camions détail</v>
      </c>
      <c r="AR869" s="487" t="s">
        <v>299</v>
      </c>
      <c r="AS869" s="487">
        <f>+VLOOKUP($AJ869,Data_Validation!$A:$E,5,0)</f>
        <v>0</v>
      </c>
      <c r="AT869" s="904" t="str">
        <f t="shared" si="89"/>
        <v>G63203</v>
      </c>
      <c r="AU869" s="488" t="str">
        <f t="shared" si="90"/>
        <v>COUTANT - SIERRA 3500</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2743</v>
      </c>
      <c r="D870" s="706" t="s">
        <v>2744</v>
      </c>
      <c r="E870" s="706" t="s">
        <v>1143</v>
      </c>
      <c r="F870" s="706" t="s">
        <v>1152</v>
      </c>
      <c r="G870" s="706">
        <v>0</v>
      </c>
      <c r="H870" s="706">
        <v>0</v>
      </c>
      <c r="I870" s="706">
        <v>0</v>
      </c>
      <c r="J870" s="706">
        <v>0</v>
      </c>
      <c r="K870" s="706">
        <v>0</v>
      </c>
      <c r="L870" s="706">
        <v>36856</v>
      </c>
      <c r="M870" s="706">
        <v>36856</v>
      </c>
      <c r="N870" s="706">
        <v>36856</v>
      </c>
      <c r="O870" s="706">
        <v>36856</v>
      </c>
      <c r="P870" s="706">
        <v>0</v>
      </c>
      <c r="Q870" s="706">
        <v>0</v>
      </c>
      <c r="R870" s="706">
        <v>0</v>
      </c>
      <c r="S870" s="706">
        <v>4607</v>
      </c>
      <c r="T870" s="706">
        <v>4607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G63300</v>
      </c>
      <c r="AK870" s="905" t="str">
        <f t="shared" si="87"/>
        <v>COUT-BLAZER</v>
      </c>
      <c r="AL870" s="905">
        <f>IFERROR(INDEX(G870:R870,1,MATCH(Parametres!$B$3,G$1:R$1,0)-1)*IF(OR(F870="L",F870="S",F870="I"),-1,1),"")</f>
        <v>36856</v>
      </c>
      <c r="AM870" s="905">
        <f t="shared" si="88"/>
        <v>0</v>
      </c>
      <c r="AN870" s="905">
        <f>INDEX(G870:R870,1,MATCH(Parametres!$B$3,G$1:R$1,0))*IF(OR(F870="L",F870="S",F870="I"),-1,1)</f>
        <v>36856</v>
      </c>
      <c r="AO870" s="487" t="str">
        <f>+VLOOKUP($AJ870,Data_Validation!$A:$D,1,0)</f>
        <v>G63300</v>
      </c>
      <c r="AP870" s="487" t="str">
        <f>+VLOOKUP($AJ870,Data_Validation!$A:$D,3,0)</f>
        <v>Véhicules neufs</v>
      </c>
      <c r="AQ870" s="487" t="str">
        <f>+VLOOKUP($AJ870,Data_Validation!$A:$D,4,0)</f>
        <v>Camions détail</v>
      </c>
      <c r="AR870" s="487" t="s">
        <v>299</v>
      </c>
      <c r="AS870" s="487">
        <f>+VLOOKUP($AJ870,Data_Validation!$A:$E,5,0)</f>
        <v>0</v>
      </c>
      <c r="AT870" s="904" t="str">
        <f t="shared" si="89"/>
        <v>G63300</v>
      </c>
      <c r="AU870" s="488" t="str">
        <f t="shared" si="90"/>
        <v>COUT-BLAZER</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2745</v>
      </c>
      <c r="D871" s="706" t="s">
        <v>2746</v>
      </c>
      <c r="E871" s="706" t="s">
        <v>1143</v>
      </c>
      <c r="F871" s="706" t="s">
        <v>1152</v>
      </c>
      <c r="G871" s="706">
        <v>0</v>
      </c>
      <c r="H871" s="706">
        <v>0</v>
      </c>
      <c r="I871" s="706">
        <v>179333.38</v>
      </c>
      <c r="J871" s="706">
        <v>334500.34000000003</v>
      </c>
      <c r="K871" s="706">
        <v>449487.89</v>
      </c>
      <c r="L871" s="706">
        <v>449487.89</v>
      </c>
      <c r="M871" s="706">
        <v>449487.89</v>
      </c>
      <c r="N871" s="706">
        <v>449487.89</v>
      </c>
      <c r="O871" s="706">
        <v>509126.03</v>
      </c>
      <c r="P871" s="706">
        <v>0</v>
      </c>
      <c r="Q871" s="706">
        <v>0</v>
      </c>
      <c r="R871" s="706">
        <v>0</v>
      </c>
      <c r="S871" s="706">
        <v>56185.99</v>
      </c>
      <c r="T871" s="706">
        <v>56185.99</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G63301</v>
      </c>
      <c r="AK871" s="905" t="str">
        <f t="shared" si="87"/>
        <v>COUT-BLAZER EV</v>
      </c>
      <c r="AL871" s="905">
        <f>IFERROR(INDEX(G871:R871,1,MATCH(Parametres!$B$3,G$1:R$1,0)-1)*IF(OR(F871="L",F871="S",F871="I"),-1,1),"")</f>
        <v>449487.89</v>
      </c>
      <c r="AM871" s="905">
        <f t="shared" si="88"/>
        <v>0</v>
      </c>
      <c r="AN871" s="905">
        <f>INDEX(G871:R871,1,MATCH(Parametres!$B$3,G$1:R$1,0))*IF(OR(F871="L",F871="S",F871="I"),-1,1)</f>
        <v>449487.89</v>
      </c>
      <c r="AO871" s="487" t="str">
        <f>+VLOOKUP($AJ871,Data_Validation!$A:$D,1,0)</f>
        <v>G63301</v>
      </c>
      <c r="AP871" s="487" t="str">
        <f>+VLOOKUP($AJ871,Data_Validation!$A:$D,3,0)</f>
        <v>Véhicules neufs</v>
      </c>
      <c r="AQ871" s="487" t="str">
        <f>+VLOOKUP($AJ871,Data_Validation!$A:$D,4,0)</f>
        <v>Camions electriques</v>
      </c>
      <c r="AR871" s="487" t="s">
        <v>299</v>
      </c>
      <c r="AS871" s="487">
        <f>+VLOOKUP($AJ871,Data_Validation!$A:$E,5,0)</f>
        <v>0</v>
      </c>
      <c r="AT871" s="904" t="str">
        <f t="shared" si="89"/>
        <v>G63301</v>
      </c>
      <c r="AU871" s="488" t="str">
        <f t="shared" si="90"/>
        <v>COUT-BLAZER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2747</v>
      </c>
      <c r="D872" s="706" t="s">
        <v>2748</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G63320</v>
      </c>
      <c r="AK872" s="905" t="str">
        <f t="shared" si="87"/>
        <v>COUT-CL 3500 SILVERAD-LOC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G63320</v>
      </c>
      <c r="AU872" s="488" t="str">
        <f t="shared" si="90"/>
        <v>COUT-CL 3500 SILVERAD-LOC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customHeight="1">
      <c r="A873" s="706" t="s">
        <v>1148</v>
      </c>
      <c r="B873" s="706">
        <v>2026</v>
      </c>
      <c r="C873" s="706" t="s">
        <v>2749</v>
      </c>
      <c r="D873" s="706" t="s">
        <v>2750</v>
      </c>
      <c r="E873" s="706" t="s">
        <v>1143</v>
      </c>
      <c r="F873" s="706" t="s">
        <v>1152</v>
      </c>
      <c r="G873" s="706">
        <v>82360.75</v>
      </c>
      <c r="H873" s="706">
        <v>169932.97</v>
      </c>
      <c r="I873" s="706">
        <v>216193.02</v>
      </c>
      <c r="J873" s="706">
        <v>256081.92000000001</v>
      </c>
      <c r="K873" s="706">
        <v>302252.92</v>
      </c>
      <c r="L873" s="706">
        <v>345066.99</v>
      </c>
      <c r="M873" s="706">
        <v>381754.99</v>
      </c>
      <c r="N873" s="706">
        <v>381754.99</v>
      </c>
      <c r="O873" s="706">
        <v>381754.99</v>
      </c>
      <c r="P873" s="706">
        <v>0</v>
      </c>
      <c r="Q873" s="706">
        <v>0</v>
      </c>
      <c r="R873" s="706">
        <v>0</v>
      </c>
      <c r="S873" s="706">
        <v>47719.37</v>
      </c>
      <c r="T873" s="706">
        <v>47719.37</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G63400</v>
      </c>
      <c r="AK873" s="905" t="str">
        <f t="shared" si="87"/>
        <v>COUTANT EQUINOX</v>
      </c>
      <c r="AL873" s="905">
        <f>IFERROR(INDEX(G873:R873,1,MATCH(Parametres!$B$3,G$1:R$1,0)-1)*IF(OR(F873="L",F873="S",F873="I"),-1,1),"")</f>
        <v>381754.99</v>
      </c>
      <c r="AM873" s="905">
        <f t="shared" si="88"/>
        <v>0</v>
      </c>
      <c r="AN873" s="905">
        <f>INDEX(G873:R873,1,MATCH(Parametres!$B$3,G$1:R$1,0))*IF(OR(F873="L",F873="S",F873="I"),-1,1)</f>
        <v>381754.99</v>
      </c>
      <c r="AO873" s="487" t="str">
        <f>+VLOOKUP($AJ873,Data_Validation!$A:$D,1,0)</f>
        <v>G63400</v>
      </c>
      <c r="AP873" s="487" t="str">
        <f>+VLOOKUP($AJ873,Data_Validation!$A:$D,3,0)</f>
        <v>Véhicules neufs</v>
      </c>
      <c r="AQ873" s="487" t="str">
        <f>+VLOOKUP($AJ873,Data_Validation!$A:$D,4,0)</f>
        <v>Camions détail</v>
      </c>
      <c r="AR873" s="487" t="s">
        <v>299</v>
      </c>
      <c r="AS873" s="487">
        <f>+VLOOKUP($AJ873,Data_Validation!$A:$E,5,0)</f>
        <v>0</v>
      </c>
      <c r="AT873" s="904" t="str">
        <f t="shared" si="89"/>
        <v>G63400</v>
      </c>
      <c r="AU873" s="488" t="str">
        <f t="shared" si="90"/>
        <v>COUTANT EQUINOX</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2751</v>
      </c>
      <c r="D874" s="706" t="s">
        <v>2752</v>
      </c>
      <c r="E874" s="706" t="s">
        <v>1143</v>
      </c>
      <c r="F874" s="706" t="s">
        <v>1152</v>
      </c>
      <c r="G874" s="706">
        <v>0</v>
      </c>
      <c r="H874" s="706">
        <v>109230.59</v>
      </c>
      <c r="I874" s="706">
        <v>343158.24</v>
      </c>
      <c r="J874" s="706">
        <v>1393624.66</v>
      </c>
      <c r="K874" s="706">
        <v>1540456.79</v>
      </c>
      <c r="L874" s="706">
        <v>1589977.28</v>
      </c>
      <c r="M874" s="706">
        <v>1906175.12</v>
      </c>
      <c r="N874" s="706">
        <v>2376988.5499999998</v>
      </c>
      <c r="O874" s="706">
        <v>2711805.35</v>
      </c>
      <c r="P874" s="706">
        <v>0</v>
      </c>
      <c r="Q874" s="706">
        <v>0</v>
      </c>
      <c r="R874" s="706">
        <v>0</v>
      </c>
      <c r="S874" s="706">
        <v>297123.57</v>
      </c>
      <c r="T874" s="706">
        <v>297123.57</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G63401</v>
      </c>
      <c r="AK874" s="905" t="str">
        <f t="shared" si="87"/>
        <v>COUT - EQUINOX EV</v>
      </c>
      <c r="AL874" s="905">
        <f>IFERROR(INDEX(G874:R874,1,MATCH(Parametres!$B$3,G$1:R$1,0)-1)*IF(OR(F874="L",F874="S",F874="I"),-1,1),"")</f>
        <v>1906175.12</v>
      </c>
      <c r="AM874" s="905">
        <f t="shared" si="88"/>
        <v>470813.4299999997</v>
      </c>
      <c r="AN874" s="905">
        <f>INDEX(G874:R874,1,MATCH(Parametres!$B$3,G$1:R$1,0))*IF(OR(F874="L",F874="S",F874="I"),-1,1)</f>
        <v>2376988.5499999998</v>
      </c>
      <c r="AO874" s="487" t="str">
        <f>+VLOOKUP($AJ874,Data_Validation!$A:$D,1,0)</f>
        <v>G63401</v>
      </c>
      <c r="AP874" s="487" t="str">
        <f>+VLOOKUP($AJ874,Data_Validation!$A:$D,3,0)</f>
        <v>Véhicules neufs</v>
      </c>
      <c r="AQ874" s="487" t="str">
        <f>+VLOOKUP($AJ874,Data_Validation!$A:$D,4,0)</f>
        <v>Camions electriques</v>
      </c>
      <c r="AR874" s="487" t="s">
        <v>299</v>
      </c>
      <c r="AS874" s="487">
        <f>+VLOOKUP($AJ874,Data_Validation!$A:$E,5,0)</f>
        <v>0</v>
      </c>
      <c r="AT874" s="904" t="str">
        <f t="shared" si="89"/>
        <v>G63401</v>
      </c>
      <c r="AU874" s="488" t="str">
        <f t="shared" si="90"/>
        <v>COUT - EQUINOX EV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2753</v>
      </c>
      <c r="D875" s="706" t="s">
        <v>2754</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G63420</v>
      </c>
      <c r="AK875" s="905" t="str">
        <f t="shared" si="87"/>
        <v>COUT-TRACKER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G63420</v>
      </c>
      <c r="AU875" s="488" t="str">
        <f t="shared" si="90"/>
        <v>COUT-TRACKER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2755</v>
      </c>
      <c r="D876" s="706" t="s">
        <v>2756</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G63500</v>
      </c>
      <c r="AK876" s="905" t="str">
        <f t="shared" si="87"/>
        <v>COUT CHEV CITY</v>
      </c>
      <c r="AL876" s="905">
        <f>IFERROR(INDEX(G876:R876,1,MATCH(Parametres!$B$3,G$1:R$1,0)-1)*IF(OR(F876="L",F876="S",F876="I"),-1,1),"")</f>
        <v>0</v>
      </c>
      <c r="AM876" s="905">
        <f t="shared" si="88"/>
        <v>0</v>
      </c>
      <c r="AN876" s="905">
        <f>INDEX(G876:R876,1,MATCH(Parametres!$B$3,G$1:R$1,0))*IF(OR(F876="L",F876="S",F876="I"),-1,1)</f>
        <v>0</v>
      </c>
      <c r="AO876" s="487" t="str">
        <f>+VLOOKUP($AJ876,Data_Validation!$A:$D,1,0)</f>
        <v>G63500</v>
      </c>
      <c r="AP876" s="487" t="str">
        <f>+VLOOKUP($AJ876,Data_Validation!$A:$D,3,0)</f>
        <v>Véhicules neufs</v>
      </c>
      <c r="AQ876" s="487" t="str">
        <f>+VLOOKUP($AJ876,Data_Validation!$A:$D,4,0)</f>
        <v>Camions détail</v>
      </c>
      <c r="AR876" s="487" t="s">
        <v>299</v>
      </c>
      <c r="AS876" s="487">
        <f>+VLOOKUP($AJ876,Data_Validation!$A:$E,5,0)</f>
        <v>0</v>
      </c>
      <c r="AT876" s="904" t="str">
        <f t="shared" si="89"/>
        <v>G63500</v>
      </c>
      <c r="AU876" s="488" t="str">
        <f t="shared" si="90"/>
        <v>COUT CHEV CITY</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2757</v>
      </c>
      <c r="D877" s="706" t="s">
        <v>2758</v>
      </c>
      <c r="E877" s="706" t="s">
        <v>1143</v>
      </c>
      <c r="F877" s="706" t="s">
        <v>1152</v>
      </c>
      <c r="G877" s="706">
        <v>0</v>
      </c>
      <c r="H877" s="706">
        <v>0</v>
      </c>
      <c r="I877" s="706">
        <v>0</v>
      </c>
      <c r="J877" s="706">
        <v>0</v>
      </c>
      <c r="K877" s="706">
        <v>0</v>
      </c>
      <c r="L877" s="706">
        <v>0</v>
      </c>
      <c r="M877" s="706">
        <v>126926.91</v>
      </c>
      <c r="N877" s="706">
        <v>126926.91</v>
      </c>
      <c r="O877" s="706">
        <v>126926.91</v>
      </c>
      <c r="P877" s="706">
        <v>0</v>
      </c>
      <c r="Q877" s="706">
        <v>0</v>
      </c>
      <c r="R877" s="706">
        <v>0</v>
      </c>
      <c r="S877" s="706">
        <v>15865.86</v>
      </c>
      <c r="T877" s="706">
        <v>15865.86</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G63501</v>
      </c>
      <c r="AK877" s="905" t="str">
        <f t="shared" si="87"/>
        <v>COUT - HUMMER EV SUV</v>
      </c>
      <c r="AL877" s="905">
        <f>IFERROR(INDEX(G877:R877,1,MATCH(Parametres!$B$3,G$1:R$1,0)-1)*IF(OR(F877="L",F877="S",F877="I"),-1,1),"")</f>
        <v>126926.91</v>
      </c>
      <c r="AM877" s="905">
        <f t="shared" si="88"/>
        <v>0</v>
      </c>
      <c r="AN877" s="905">
        <f>INDEX(G877:R877,1,MATCH(Parametres!$B$3,G$1:R$1,0))*IF(OR(F877="L",F877="S",F877="I"),-1,1)</f>
        <v>126926.91</v>
      </c>
      <c r="AO877" s="487" t="str">
        <f>+VLOOKUP($AJ877,Data_Validation!$A:$D,1,0)</f>
        <v>G63501</v>
      </c>
      <c r="AP877" s="487" t="str">
        <f>+VLOOKUP($AJ877,Data_Validation!$A:$D,3,0)</f>
        <v>Véhicules neufs</v>
      </c>
      <c r="AQ877" s="487" t="str">
        <f>+VLOOKUP($AJ877,Data_Validation!$A:$D,4,0)</f>
        <v>Camions electriques</v>
      </c>
      <c r="AR877" s="487" t="s">
        <v>299</v>
      </c>
      <c r="AS877" s="487">
        <f>+VLOOKUP($AJ877,Data_Validation!$A:$E,5,0)</f>
        <v>0</v>
      </c>
      <c r="AT877" s="904" t="str">
        <f t="shared" si="89"/>
        <v>G63501</v>
      </c>
      <c r="AU877" s="488" t="str">
        <f t="shared" si="90"/>
        <v>COUT - HUMMER EV SUV</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2759</v>
      </c>
      <c r="D878" s="706" t="s">
        <v>2760</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G63520</v>
      </c>
      <c r="AK878" s="905" t="str">
        <f t="shared" si="87"/>
        <v>COUT-SSR             -LOC</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G63520</v>
      </c>
      <c r="AU878" s="488" t="str">
        <f t="shared" si="90"/>
        <v>COUT-SSR             -LOC</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2761</v>
      </c>
      <c r="D879" s="706" t="s">
        <v>2762</v>
      </c>
      <c r="E879" s="706" t="s">
        <v>1143</v>
      </c>
      <c r="F879" s="706" t="s">
        <v>1152</v>
      </c>
      <c r="G879" s="706">
        <v>39482.629999999997</v>
      </c>
      <c r="H879" s="706">
        <v>72151.679999999993</v>
      </c>
      <c r="I879" s="706">
        <v>72151.679999999993</v>
      </c>
      <c r="J879" s="706">
        <v>72151.679999999993</v>
      </c>
      <c r="K879" s="706">
        <v>109007.67999999999</v>
      </c>
      <c r="L879" s="706">
        <v>109007.67999999999</v>
      </c>
      <c r="M879" s="706">
        <v>109007.67999999999</v>
      </c>
      <c r="N879" s="706">
        <v>143709.98000000001</v>
      </c>
      <c r="O879" s="706">
        <v>183917.06</v>
      </c>
      <c r="P879" s="706">
        <v>0</v>
      </c>
      <c r="Q879" s="706">
        <v>0</v>
      </c>
      <c r="R879" s="706">
        <v>0</v>
      </c>
      <c r="S879" s="706">
        <v>17963.75</v>
      </c>
      <c r="T879" s="706">
        <v>17963.75</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G63600</v>
      </c>
      <c r="AK879" s="905" t="str">
        <f t="shared" si="87"/>
        <v>COUT-TRAIL BLAZER</v>
      </c>
      <c r="AL879" s="905">
        <f>IFERROR(INDEX(G879:R879,1,MATCH(Parametres!$B$3,G$1:R$1,0)-1)*IF(OR(F879="L",F879="S",F879="I"),-1,1),"")</f>
        <v>109007.67999999999</v>
      </c>
      <c r="AM879" s="905">
        <f t="shared" si="88"/>
        <v>34702.300000000017</v>
      </c>
      <c r="AN879" s="905">
        <f>INDEX(G879:R879,1,MATCH(Parametres!$B$3,G$1:R$1,0))*IF(OR(F879="L",F879="S",F879="I"),-1,1)</f>
        <v>143709.98000000001</v>
      </c>
      <c r="AO879" s="487" t="str">
        <f>+VLOOKUP($AJ879,Data_Validation!$A:$D,1,0)</f>
        <v>G63600</v>
      </c>
      <c r="AP879" s="487" t="str">
        <f>+VLOOKUP($AJ879,Data_Validation!$A:$D,3,0)</f>
        <v>Véhicules neufs</v>
      </c>
      <c r="AQ879" s="487" t="str">
        <f>+VLOOKUP($AJ879,Data_Validation!$A:$D,4,0)</f>
        <v>Camions détail</v>
      </c>
      <c r="AR879" s="487" t="s">
        <v>299</v>
      </c>
      <c r="AS879" s="487">
        <f>+VLOOKUP($AJ879,Data_Validation!$A:$E,5,0)</f>
        <v>0</v>
      </c>
      <c r="AT879" s="904" t="str">
        <f t="shared" si="89"/>
        <v>G63600</v>
      </c>
      <c r="AU879" s="488" t="str">
        <f t="shared" si="90"/>
        <v>COUT-TRAIL BLAZER</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2763</v>
      </c>
      <c r="D880" s="706" t="s">
        <v>2764</v>
      </c>
      <c r="E880" s="706" t="s">
        <v>1143</v>
      </c>
      <c r="F880" s="706" t="s">
        <v>1152</v>
      </c>
      <c r="G880" s="706">
        <v>0</v>
      </c>
      <c r="H880" s="706">
        <v>0</v>
      </c>
      <c r="I880" s="706">
        <v>63923</v>
      </c>
      <c r="J880" s="706">
        <v>128882.14</v>
      </c>
      <c r="K880" s="706">
        <v>193939.26</v>
      </c>
      <c r="L880" s="706">
        <v>193939.26</v>
      </c>
      <c r="M880" s="706">
        <v>193939.26</v>
      </c>
      <c r="N880" s="706">
        <v>193939.26</v>
      </c>
      <c r="O880" s="706">
        <v>265512.26</v>
      </c>
      <c r="P880" s="706">
        <v>0</v>
      </c>
      <c r="Q880" s="706">
        <v>0</v>
      </c>
      <c r="R880" s="706">
        <v>0</v>
      </c>
      <c r="S880" s="706">
        <v>24242.41</v>
      </c>
      <c r="T880" s="706">
        <v>24242.41</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G63602</v>
      </c>
      <c r="AK880" s="905" t="str">
        <f t="shared" si="87"/>
        <v>COÛT- GMC  ACADIA</v>
      </c>
      <c r="AL880" s="905">
        <f>IFERROR(INDEX(G880:R880,1,MATCH(Parametres!$B$3,G$1:R$1,0)-1)*IF(OR(F880="L",F880="S",F880="I"),-1,1),"")</f>
        <v>193939.26</v>
      </c>
      <c r="AM880" s="1047">
        <f t="shared" si="88"/>
        <v>0</v>
      </c>
      <c r="AN880" s="905">
        <f>INDEX(G880:R880,1,MATCH(Parametres!$B$3,G$1:R$1,0))*IF(OR(F880="L",F880="S",F880="I"),-1,1)</f>
        <v>193939.26</v>
      </c>
      <c r="AO880" s="487" t="str">
        <f>+VLOOKUP($AJ880,Data_Validation!$A:$D,1,0)</f>
        <v>G63602</v>
      </c>
      <c r="AP880" s="487" t="str">
        <f>+VLOOKUP($AJ880,Data_Validation!$A:$D,3,0)</f>
        <v>Véhicules neufs</v>
      </c>
      <c r="AQ880" s="487" t="str">
        <f>+VLOOKUP($AJ880,Data_Validation!$A:$D,4,0)</f>
        <v>Camions détail</v>
      </c>
      <c r="AR880" s="487" t="s">
        <v>299</v>
      </c>
      <c r="AS880" s="487">
        <f>+VLOOKUP($AJ880,Data_Validation!$A:$E,5,0)</f>
        <v>0</v>
      </c>
      <c r="AT880" s="904" t="str">
        <f t="shared" si="89"/>
        <v>G63602</v>
      </c>
      <c r="AU880" s="488" t="str">
        <f t="shared" si="90"/>
        <v>COÛT- GMC  ACADIA</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2765</v>
      </c>
      <c r="D881" s="706" t="s">
        <v>2766</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G63800</v>
      </c>
      <c r="AK881" s="905" t="str">
        <f t="shared" si="87"/>
        <v>COUT-CHEV CAMION AUTRE</v>
      </c>
      <c r="AL881" s="905">
        <f>IFERROR(INDEX(G881:R881,1,MATCH(Parametres!$B$3,G$1:R$1,0)-1)*IF(OR(F881="L",F881="S",F881="I"),-1,1),"")</f>
        <v>0</v>
      </c>
      <c r="AM881" s="1047">
        <f t="shared" si="88"/>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89"/>
        <v>G63800</v>
      </c>
      <c r="AU881" s="488" t="str">
        <f t="shared" si="90"/>
        <v>COUT-CHEV CAMION AUTRE</v>
      </c>
      <c r="AV881" s="899">
        <f>IFERROR(INDEX(V881:AG881,1,MATCH(Parametres!$B$3,V$1:AG$1,0)-1)*IF(OR(C881="L",C881="S",C881="I"),-1,1),"")</f>
        <v>0</v>
      </c>
      <c r="AW881" s="899">
        <f t="shared" si="91"/>
        <v>0</v>
      </c>
      <c r="AX881" s="899">
        <f>INDEX(V881:AG881,1,MATCH(Parametres!$B$3,V$1:AG$1,0))*IF(OR(C881="L",C881="S",C881="I"),-1,1)</f>
        <v>0</v>
      </c>
      <c r="AY881" s="487" t="s">
        <v>337</v>
      </c>
      <c r="AZ881" s="487" t="e">
        <f>+VLOOKUP($AJ881,Data_Validation!$A:$E,5,0)</f>
        <v>#N/A</v>
      </c>
    </row>
    <row r="882" spans="1:52" ht="15" customHeight="1">
      <c r="A882" s="706" t="s">
        <v>1148</v>
      </c>
      <c r="B882" s="706">
        <v>2026</v>
      </c>
      <c r="C882" s="706" t="s">
        <v>2767</v>
      </c>
      <c r="D882" s="706" t="s">
        <v>2768</v>
      </c>
      <c r="E882" s="706" t="s">
        <v>1143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G63820</v>
      </c>
      <c r="AK882" s="905" t="str">
        <f t="shared" si="87"/>
        <v>COUT-CHEV CAMION AUTR-LOC</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G63820</v>
      </c>
      <c r="AU882" s="488" t="str">
        <f t="shared" si="90"/>
        <v>COUT-CHEV CAMION AUTR-LOC</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customHeight="1">
      <c r="A883" s="706" t="s">
        <v>1148</v>
      </c>
      <c r="B883" s="706">
        <v>2026</v>
      </c>
      <c r="C883" s="706" t="s">
        <v>2769</v>
      </c>
      <c r="D883" s="706" t="s">
        <v>2770</v>
      </c>
      <c r="E883" s="706" t="s">
        <v>1143</v>
      </c>
      <c r="F883" s="706" t="s">
        <v>1152</v>
      </c>
      <c r="G883" s="706">
        <v>7273301.1699999999</v>
      </c>
      <c r="H883" s="706">
        <v>16037449.73</v>
      </c>
      <c r="I883" s="706">
        <v>23829594.66</v>
      </c>
      <c r="J883" s="706">
        <v>34920405.240000002</v>
      </c>
      <c r="K883" s="706">
        <v>46295704.060000002</v>
      </c>
      <c r="L883" s="706">
        <v>55008871.770000003</v>
      </c>
      <c r="M883" s="706">
        <v>59070315.450000003</v>
      </c>
      <c r="N883" s="706">
        <v>61573545.5</v>
      </c>
      <c r="O883" s="706">
        <v>63676435.25</v>
      </c>
      <c r="P883" s="706">
        <v>0</v>
      </c>
      <c r="Q883" s="706">
        <v>0</v>
      </c>
      <c r="R883" s="706">
        <v>0</v>
      </c>
      <c r="S883" s="706">
        <v>7696693.1900000004</v>
      </c>
      <c r="T883" s="706">
        <v>7696693.1900000004</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G64000</v>
      </c>
      <c r="AK883" s="905" t="str">
        <f t="shared" si="87"/>
        <v>COÛTANT PARC CAMIONS</v>
      </c>
      <c r="AL883" s="905">
        <f>IFERROR(INDEX(G883:R883,1,MATCH(Parametres!$B$3,G$1:R$1,0)-1)*IF(OR(F883="L",F883="S",F883="I"),-1,1),"")</f>
        <v>59070315.450000003</v>
      </c>
      <c r="AM883" s="905">
        <f t="shared" si="88"/>
        <v>2503230.049999997</v>
      </c>
      <c r="AN883" s="905">
        <f>INDEX(G883:R883,1,MATCH(Parametres!$B$3,G$1:R$1,0))*IF(OR(F883="L",F883="S",F883="I"),-1,1)</f>
        <v>61573545.5</v>
      </c>
      <c r="AO883" s="487" t="str">
        <f>+VLOOKUP($AJ883,Data_Validation!$A:$D,1,0)</f>
        <v>G64000</v>
      </c>
      <c r="AP883" s="487" t="str">
        <f>+VLOOKUP($AJ883,Data_Validation!$A:$D,3,0)</f>
        <v>Véhicules neufs</v>
      </c>
      <c r="AQ883" s="487" t="str">
        <f>+VLOOKUP($AJ883,Data_Validation!$A:$D,4,0)</f>
        <v>Flottes</v>
      </c>
      <c r="AR883" s="487" t="s">
        <v>299</v>
      </c>
      <c r="AS883" s="487">
        <f>+VLOOKUP($AJ883,Data_Validation!$A:$E,5,0)</f>
        <v>0</v>
      </c>
      <c r="AT883" s="904" t="str">
        <f t="shared" si="89"/>
        <v>G64000</v>
      </c>
      <c r="AU883" s="488" t="str">
        <f t="shared" si="90"/>
        <v>COÛTANT PARC CAMIONS</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2771</v>
      </c>
      <c r="D884" s="706" t="s">
        <v>2772</v>
      </c>
      <c r="E884" s="706" t="s">
        <v>1143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G64100</v>
      </c>
      <c r="AK884" s="905" t="str">
        <f t="shared" si="87"/>
        <v>COUT-CAMIONS INTERNE</v>
      </c>
      <c r="AL884" s="905">
        <f>IFERROR(INDEX(G884:R884,1,MATCH(Parametres!$B$3,G$1:R$1,0)-1)*IF(OR(F884="L",F884="S",F884="I"),-1,1),"")</f>
        <v>0</v>
      </c>
      <c r="AM884" s="905">
        <f t="shared" si="88"/>
        <v>0</v>
      </c>
      <c r="AN884" s="905">
        <f>INDEX(G884:R884,1,MATCH(Parametres!$B$3,G$1:R$1,0))*IF(OR(F884="L",F884="S",F884="I"),-1,1)</f>
        <v>0</v>
      </c>
      <c r="AO884" s="487" t="str">
        <f>+VLOOKUP($AJ884,Data_Validation!$A:$D,1,0)</f>
        <v>G64100</v>
      </c>
      <c r="AP884" s="487" t="str">
        <f>+VLOOKUP($AJ884,Data_Validation!$A:$D,3,0)</f>
        <v>Véhicules neufs</v>
      </c>
      <c r="AQ884" s="487" t="str">
        <f>+VLOOKUP($AJ884,Data_Validation!$A:$D,4,0)</f>
        <v>Flottes</v>
      </c>
      <c r="AR884" s="487" t="s">
        <v>299</v>
      </c>
      <c r="AS884" s="487">
        <f>+VLOOKUP($AJ884,Data_Validation!$A:$E,5,0)</f>
        <v>0</v>
      </c>
      <c r="AT884" s="904" t="str">
        <f t="shared" si="89"/>
        <v>G64100</v>
      </c>
      <c r="AU884" s="488" t="str">
        <f t="shared" si="90"/>
        <v>COUT-CAMIONS INTERNE</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3380</v>
      </c>
      <c r="D885" s="706" t="s">
        <v>3381</v>
      </c>
      <c r="E885" s="706" t="s">
        <v>333</v>
      </c>
      <c r="F885" s="706" t="s">
        <v>1152</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G64140</v>
      </c>
      <c r="AK885" s="905" t="str">
        <f t="shared" si="87"/>
        <v>COUT - M.O LOURD -SAAQ</v>
      </c>
      <c r="AL885" s="905">
        <f>IFERROR(INDEX(G885:R885,1,MATCH(Parametres!$B$3,G$1:R$1,0)-1)*IF(OR(F885="L",F885="S",F885="I"),-1,1),"")</f>
        <v>0</v>
      </c>
      <c r="AM885" s="905">
        <f t="shared" si="88"/>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89"/>
        <v>G64140</v>
      </c>
      <c r="AU885" s="488" t="str">
        <f t="shared" si="90"/>
        <v>COUT - M.O LOURD -SAAQ</v>
      </c>
      <c r="AV885" s="899">
        <f>IFERROR(INDEX(V885:AG885,1,MATCH(Parametres!$B$3,V$1:AG$1,0)-1)*IF(OR(C885="L",C885="S",C885="I"),-1,1),"")</f>
        <v>0</v>
      </c>
      <c r="AW885" s="899">
        <f t="shared" si="91"/>
        <v>0</v>
      </c>
      <c r="AX885" s="899">
        <f>INDEX(V885:AG885,1,MATCH(Parametres!$B$3,V$1:AG$1,0))*IF(OR(C885="L",C885="S",C885="I"),-1,1)</f>
        <v>0</v>
      </c>
      <c r="AY885" s="487" t="s">
        <v>337</v>
      </c>
      <c r="AZ885" s="487" t="e">
        <f>+VLOOKUP($AJ885,Data_Validation!$A:$E,5,0)</f>
        <v>#N/A</v>
      </c>
    </row>
    <row r="886" spans="1:52" ht="15" customHeight="1">
      <c r="A886" s="706" t="s">
        <v>1148</v>
      </c>
      <c r="B886" s="706">
        <v>2026</v>
      </c>
      <c r="C886" s="706" t="s">
        <v>2773</v>
      </c>
      <c r="D886" s="706" t="s">
        <v>2774</v>
      </c>
      <c r="E886" s="706" t="s">
        <v>333</v>
      </c>
      <c r="F886" s="706" t="s">
        <v>1152</v>
      </c>
      <c r="G886" s="706">
        <v>34529.760000000002</v>
      </c>
      <c r="H886" s="706">
        <v>53306.91</v>
      </c>
      <c r="I886" s="706">
        <v>79327.56</v>
      </c>
      <c r="J886" s="706">
        <v>136672.56</v>
      </c>
      <c r="K886" s="706">
        <v>162823.12</v>
      </c>
      <c r="L886" s="706">
        <v>190841.3</v>
      </c>
      <c r="M886" s="706">
        <v>225746.73</v>
      </c>
      <c r="N886" s="706">
        <v>253685.05</v>
      </c>
      <c r="O886" s="706">
        <v>283008.34000000003</v>
      </c>
      <c r="P886" s="706">
        <v>0</v>
      </c>
      <c r="Q886" s="706">
        <v>0</v>
      </c>
      <c r="R886" s="706">
        <v>0</v>
      </c>
      <c r="S886" s="706">
        <v>31710.63</v>
      </c>
      <c r="T886" s="706">
        <v>31710.63</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G64300</v>
      </c>
      <c r="AK886" s="905" t="str">
        <f t="shared" si="87"/>
        <v>COUT-PLAN PROTECTION</v>
      </c>
      <c r="AL886" s="905">
        <f>IFERROR(INDEX(G886:R886,1,MATCH(Parametres!$B$3,G$1:R$1,0)-1)*IF(OR(F886="L",F886="S",F886="I"),-1,1),"")</f>
        <v>225746.73</v>
      </c>
      <c r="AM886" s="905">
        <f t="shared" si="88"/>
        <v>27938.319999999978</v>
      </c>
      <c r="AN886" s="905">
        <f>INDEX(G886:R886,1,MATCH(Parametres!$B$3,G$1:R$1,0))*IF(OR(F886="L",F886="S",F886="I"),-1,1)</f>
        <v>253685.05</v>
      </c>
      <c r="AO886" s="487" t="str">
        <f>+VLOOKUP($AJ886,Data_Validation!$A:$D,1,0)</f>
        <v>G64300</v>
      </c>
      <c r="AP886" s="487" t="str">
        <f>+VLOOKUP($AJ886,Data_Validation!$A:$D,3,0)</f>
        <v>Véhicules neufs</v>
      </c>
      <c r="AQ886" s="487" t="str">
        <f>+VLOOKUP($AJ886,Data_Validation!$A:$D,4,0)</f>
        <v>Rev. Protections</v>
      </c>
      <c r="AR886" s="487" t="s">
        <v>299</v>
      </c>
      <c r="AS886" s="487">
        <f>+VLOOKUP($AJ886,Data_Validation!$A:$E,5,0)</f>
        <v>0</v>
      </c>
      <c r="AT886" s="904" t="str">
        <f t="shared" si="89"/>
        <v>G64300</v>
      </c>
      <c r="AU886" s="488" t="str">
        <f t="shared" si="90"/>
        <v>COUT-PLAN PROTECTION</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2775</v>
      </c>
      <c r="D887" s="706" t="s">
        <v>2776</v>
      </c>
      <c r="E887" s="706" t="s">
        <v>333</v>
      </c>
      <c r="F887" s="706" t="s">
        <v>1152</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G64400</v>
      </c>
      <c r="AK887" s="905" t="str">
        <f t="shared" si="87"/>
        <v>COÛTANT PROTECTION PLUS</v>
      </c>
      <c r="AL887" s="905">
        <f>IFERROR(INDEX(G887:R887,1,MATCH(Parametres!$B$3,G$1:R$1,0)-1)*IF(OR(F887="L",F887="S",F887="I"),-1,1),"")</f>
        <v>0</v>
      </c>
      <c r="AM887" s="905">
        <f t="shared" si="88"/>
        <v>0</v>
      </c>
      <c r="AN887" s="905">
        <f>INDEX(G887:R887,1,MATCH(Parametres!$B$3,G$1:R$1,0))*IF(OR(F887="L",F887="S",F887="I"),-1,1)</f>
        <v>0</v>
      </c>
      <c r="AO887" s="487" t="str">
        <f>+VLOOKUP($AJ887,Data_Validation!$A:$D,1,0)</f>
        <v>G64400</v>
      </c>
      <c r="AP887" s="487" t="str">
        <f>+VLOOKUP($AJ887,Data_Validation!$A:$D,3,0)</f>
        <v>Véhicules neufs</v>
      </c>
      <c r="AQ887" s="487" t="str">
        <f>+VLOOKUP($AJ887,Data_Validation!$A:$D,4,0)</f>
        <v>Rev. Protections</v>
      </c>
      <c r="AR887" s="487" t="s">
        <v>299</v>
      </c>
      <c r="AS887" s="487">
        <f>+VLOOKUP($AJ887,Data_Validation!$A:$E,5,0)</f>
        <v>0</v>
      </c>
      <c r="AT887" s="904" t="str">
        <f t="shared" si="89"/>
        <v>G64400</v>
      </c>
      <c r="AU887" s="488" t="str">
        <f t="shared" si="90"/>
        <v>COÛTANT PROTECTION PLUS</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2777</v>
      </c>
      <c r="D888" s="706" t="s">
        <v>3382</v>
      </c>
      <c r="E888" s="706" t="s">
        <v>333</v>
      </c>
      <c r="F888" s="706" t="s">
        <v>1152</v>
      </c>
      <c r="G888" s="706">
        <v>600.12</v>
      </c>
      <c r="H888" s="706">
        <v>1014.6</v>
      </c>
      <c r="I888" s="706">
        <v>1618.72</v>
      </c>
      <c r="J888" s="706">
        <v>3268.99</v>
      </c>
      <c r="K888" s="706">
        <v>6581.72</v>
      </c>
      <c r="L888" s="706">
        <v>8073.78</v>
      </c>
      <c r="M888" s="706">
        <v>12615.9</v>
      </c>
      <c r="N888" s="706">
        <v>13343.59</v>
      </c>
      <c r="O888" s="706">
        <v>14093.59</v>
      </c>
      <c r="P888" s="706">
        <v>0</v>
      </c>
      <c r="Q888" s="706">
        <v>0</v>
      </c>
      <c r="R888" s="706">
        <v>0</v>
      </c>
      <c r="S888" s="706">
        <v>1667.95</v>
      </c>
      <c r="T888" s="706">
        <v>1667.95</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G64501</v>
      </c>
      <c r="AK888" s="905" t="str">
        <f t="shared" si="87"/>
        <v>COUT-ANTIROUILLE - NF</v>
      </c>
      <c r="AL888" s="905">
        <f>IFERROR(INDEX(G888:R888,1,MATCH(Parametres!$B$3,G$1:R$1,0)-1)*IF(OR(F888="L",F888="S",F888="I"),-1,1),"")</f>
        <v>12615.9</v>
      </c>
      <c r="AM888" s="905">
        <f t="shared" si="88"/>
        <v>727.69000000000051</v>
      </c>
      <c r="AN888" s="905">
        <f>INDEX(G888:R888,1,MATCH(Parametres!$B$3,G$1:R$1,0))*IF(OR(F888="L",F888="S",F888="I"),-1,1)</f>
        <v>13343.59</v>
      </c>
      <c r="AO888" s="487" t="str">
        <f>+VLOOKUP($AJ888,Data_Validation!$A:$D,1,0)</f>
        <v>G64501</v>
      </c>
      <c r="AP888" s="487" t="str">
        <f>+VLOOKUP($AJ888,Data_Validation!$A:$D,3,0)</f>
        <v>Véhicules neufs</v>
      </c>
      <c r="AQ888" s="487" t="str">
        <f>+VLOOKUP($AJ888,Data_Validation!$A:$D,4,0)</f>
        <v>Rev. Autres</v>
      </c>
      <c r="AR888" s="487" t="s">
        <v>299</v>
      </c>
      <c r="AS888" s="487">
        <f>+VLOOKUP($AJ888,Data_Validation!$A:$E,5,0)</f>
        <v>0</v>
      </c>
      <c r="AT888" s="904" t="str">
        <f t="shared" si="89"/>
        <v>G64501</v>
      </c>
      <c r="AU888" s="488" t="str">
        <f t="shared" si="90"/>
        <v>COUT-ANTIROUILLE - 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2779</v>
      </c>
      <c r="D889" s="706" t="s">
        <v>2387</v>
      </c>
      <c r="E889" s="706" t="s">
        <v>333</v>
      </c>
      <c r="F889" s="706" t="s">
        <v>1152</v>
      </c>
      <c r="G889" s="706">
        <v>231.14</v>
      </c>
      <c r="H889" s="706">
        <v>940.47</v>
      </c>
      <c r="I889" s="706">
        <v>778.47</v>
      </c>
      <c r="J889" s="706">
        <v>1525.75</v>
      </c>
      <c r="K889" s="706">
        <v>2854.78</v>
      </c>
      <c r="L889" s="706">
        <v>4784.18</v>
      </c>
      <c r="M889" s="706">
        <v>7563.45</v>
      </c>
      <c r="N889" s="706">
        <v>11758.45</v>
      </c>
      <c r="O889" s="706">
        <v>12063.45</v>
      </c>
      <c r="P889" s="706">
        <v>0</v>
      </c>
      <c r="Q889" s="706">
        <v>0</v>
      </c>
      <c r="R889" s="706">
        <v>0</v>
      </c>
      <c r="S889" s="706">
        <v>1469.81</v>
      </c>
      <c r="T889" s="706">
        <v>1469.81</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G64503</v>
      </c>
      <c r="AK889" s="905" t="str">
        <f t="shared" si="87"/>
        <v>V.TEINTÉE-PEINTURE-TISSUS</v>
      </c>
      <c r="AL889" s="905">
        <f>IFERROR(INDEX(G889:R889,1,MATCH(Parametres!$B$3,G$1:R$1,0)-1)*IF(OR(F889="L",F889="S",F889="I"),-1,1),"")</f>
        <v>7563.45</v>
      </c>
      <c r="AM889" s="905">
        <f t="shared" si="88"/>
        <v>4195.0000000000009</v>
      </c>
      <c r="AN889" s="905">
        <f>INDEX(G889:R889,1,MATCH(Parametres!$B$3,G$1:R$1,0))*IF(OR(F889="L",F889="S",F889="I"),-1,1)</f>
        <v>11758.45</v>
      </c>
      <c r="AO889" s="487" t="str">
        <f>+VLOOKUP($AJ889,Data_Validation!$A:$D,1,0)</f>
        <v>G64503</v>
      </c>
      <c r="AP889" s="487" t="str">
        <f>+VLOOKUP($AJ889,Data_Validation!$A:$D,3,0)</f>
        <v>Véhicules neufs</v>
      </c>
      <c r="AQ889" s="487" t="str">
        <f>+VLOOKUP($AJ889,Data_Validation!$A:$D,4,0)</f>
        <v>Rev. Autres</v>
      </c>
      <c r="AR889" s="487" t="s">
        <v>299</v>
      </c>
      <c r="AS889" s="487">
        <f>+VLOOKUP($AJ889,Data_Validation!$A:$E,5,0)</f>
        <v>0</v>
      </c>
      <c r="AT889" s="904" t="str">
        <f t="shared" si="89"/>
        <v>G64503</v>
      </c>
      <c r="AU889" s="488" t="str">
        <f t="shared" si="90"/>
        <v>V.TEINTÉE-PEINTURE-TISSUS</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2780</v>
      </c>
      <c r="D890" s="706" t="s">
        <v>2781</v>
      </c>
      <c r="E890" s="706" t="s">
        <v>333</v>
      </c>
      <c r="F890" s="706" t="s">
        <v>1152</v>
      </c>
      <c r="G890" s="706">
        <v>0</v>
      </c>
      <c r="H890" s="706">
        <v>2838.5</v>
      </c>
      <c r="I890" s="706">
        <v>4779.7700000000004</v>
      </c>
      <c r="J890" s="706">
        <v>6961.67</v>
      </c>
      <c r="K890" s="706">
        <v>6961.67</v>
      </c>
      <c r="L890" s="706">
        <v>6961.67</v>
      </c>
      <c r="M890" s="706">
        <v>9299.67</v>
      </c>
      <c r="N890" s="706">
        <v>9299.67</v>
      </c>
      <c r="O890" s="706">
        <v>9299.67</v>
      </c>
      <c r="P890" s="706">
        <v>0</v>
      </c>
      <c r="Q890" s="706">
        <v>0</v>
      </c>
      <c r="R890" s="706">
        <v>0</v>
      </c>
      <c r="S890" s="706">
        <v>1162.46</v>
      </c>
      <c r="T890" s="706">
        <v>1162.46</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G64504</v>
      </c>
      <c r="AK890" s="905" t="str">
        <f t="shared" si="87"/>
        <v>COUT-VALEUR REMPLACEMENT</v>
      </c>
      <c r="AL890" s="905">
        <f>IFERROR(INDEX(G890:R890,1,MATCH(Parametres!$B$3,G$1:R$1,0)-1)*IF(OR(F890="L",F890="S",F890="I"),-1,1),"")</f>
        <v>9299.67</v>
      </c>
      <c r="AM890" s="905">
        <f t="shared" si="88"/>
        <v>0</v>
      </c>
      <c r="AN890" s="905">
        <f>INDEX(G890:R890,1,MATCH(Parametres!$B$3,G$1:R$1,0))*IF(OR(F890="L",F890="S",F890="I"),-1,1)</f>
        <v>9299.67</v>
      </c>
      <c r="AO890" s="487" t="str">
        <f>+VLOOKUP($AJ890,Data_Validation!$A:$D,1,0)</f>
        <v>G64504</v>
      </c>
      <c r="AP890" s="487" t="str">
        <f>+VLOOKUP($AJ890,Data_Validation!$A:$D,3,0)</f>
        <v>Véhicules neufs</v>
      </c>
      <c r="AQ890" s="487" t="str">
        <f>+VLOOKUP($AJ890,Data_Validation!$A:$D,4,0)</f>
        <v>Rev. Protections</v>
      </c>
      <c r="AR890" s="487" t="s">
        <v>299</v>
      </c>
      <c r="AS890" s="487">
        <f>+VLOOKUP($AJ890,Data_Validation!$A:$E,5,0)</f>
        <v>0</v>
      </c>
      <c r="AT890" s="904" t="str">
        <f t="shared" si="89"/>
        <v>G64504</v>
      </c>
      <c r="AU890" s="488" t="str">
        <f t="shared" si="90"/>
        <v>COUT-VALEUR REMPLACEMENT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2782</v>
      </c>
      <c r="D891" s="706" t="s">
        <v>3383</v>
      </c>
      <c r="E891" s="706" t="s">
        <v>333</v>
      </c>
      <c r="F891" s="706" t="s">
        <v>1152</v>
      </c>
      <c r="G891" s="706">
        <v>2360.92</v>
      </c>
      <c r="H891" s="706">
        <v>4670.92</v>
      </c>
      <c r="I891" s="706">
        <v>6700.24</v>
      </c>
      <c r="J891" s="706">
        <v>9714.4</v>
      </c>
      <c r="K891" s="706">
        <v>13158.88</v>
      </c>
      <c r="L891" s="706">
        <v>14463.4</v>
      </c>
      <c r="M891" s="706">
        <v>18053.560000000001</v>
      </c>
      <c r="N891" s="706">
        <v>20991.68</v>
      </c>
      <c r="O891" s="706">
        <v>20991.68</v>
      </c>
      <c r="P891" s="706">
        <v>0</v>
      </c>
      <c r="Q891" s="706">
        <v>0</v>
      </c>
      <c r="R891" s="706">
        <v>0</v>
      </c>
      <c r="S891" s="706">
        <v>2623.96</v>
      </c>
      <c r="T891" s="706">
        <v>2623.96</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G64505</v>
      </c>
      <c r="AK891" s="905" t="str">
        <f t="shared" si="87"/>
        <v>COUT-ANTIVOL ET TAG-NF</v>
      </c>
      <c r="AL891" s="905">
        <f>IFERROR(INDEX(G891:R891,1,MATCH(Parametres!$B$3,G$1:R$1,0)-1)*IF(OR(F891="L",F891="S",F891="I"),-1,1),"")</f>
        <v>18053.560000000001</v>
      </c>
      <c r="AM891" s="905">
        <f t="shared" si="88"/>
        <v>2938.119999999999</v>
      </c>
      <c r="AN891" s="905">
        <f>INDEX(G891:R891,1,MATCH(Parametres!$B$3,G$1:R$1,0))*IF(OR(F891="L",F891="S",F891="I"),-1,1)</f>
        <v>20991.68</v>
      </c>
      <c r="AO891" s="487" t="str">
        <f>+VLOOKUP($AJ891,Data_Validation!$A:$D,1,0)</f>
        <v>G64505</v>
      </c>
      <c r="AP891" s="487" t="str">
        <f>+VLOOKUP($AJ891,Data_Validation!$A:$D,3,0)</f>
        <v>Véhicules neufs</v>
      </c>
      <c r="AQ891" s="487" t="str">
        <f>+VLOOKUP($AJ891,Data_Validation!$A:$D,4,0)</f>
        <v>Rev. Autres</v>
      </c>
      <c r="AR891" s="487" t="s">
        <v>299</v>
      </c>
      <c r="AS891" s="487">
        <f>+VLOOKUP($AJ891,Data_Validation!$A:$E,5,0)</f>
        <v>0</v>
      </c>
      <c r="AT891" s="904" t="str">
        <f t="shared" si="89"/>
        <v>G64505</v>
      </c>
      <c r="AU891" s="488" t="str">
        <f t="shared" si="90"/>
        <v>COUT-ANTIVOL ET TAG-NF</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2784</v>
      </c>
      <c r="D892" s="706" t="s">
        <v>2785</v>
      </c>
      <c r="E892" s="706" t="s">
        <v>1143</v>
      </c>
      <c r="F892" s="706" t="s">
        <v>1152</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G64600</v>
      </c>
      <c r="AK892" s="905" t="str">
        <f t="shared" si="87"/>
        <v>COUT-AUTO OCC.DET.OPTIMUM</v>
      </c>
      <c r="AL892" s="905">
        <f>IFERROR(INDEX(G892:R892,1,MATCH(Parametres!$B$3,G$1:R$1,0)-1)*IF(OR(F892="L",F892="S",F892="I"),-1,1),"")</f>
        <v>0</v>
      </c>
      <c r="AM892" s="905">
        <f t="shared" si="88"/>
        <v>0</v>
      </c>
      <c r="AN892" s="905">
        <f>INDEX(G892:R892,1,MATCH(Parametres!$B$3,G$1:R$1,0))*IF(OR(F892="L",F892="S",F892="I"),-1,1)</f>
        <v>0</v>
      </c>
      <c r="AO892" s="487" t="str">
        <f>+VLOOKUP($AJ892,Data_Validation!$A:$D,1,0)</f>
        <v>G64600</v>
      </c>
      <c r="AP892" s="487" t="str">
        <f>+VLOOKUP($AJ892,Data_Validation!$A:$D,3,0)</f>
        <v>Véhicules usagés</v>
      </c>
      <c r="AQ892" s="487" t="str">
        <f>+VLOOKUP($AJ892,Data_Validation!$A:$D,4,0)</f>
        <v>Certifié</v>
      </c>
      <c r="AR892" s="487" t="s">
        <v>299</v>
      </c>
      <c r="AS892" s="487">
        <f>+VLOOKUP($AJ892,Data_Validation!$A:$E,5,0)</f>
        <v>0</v>
      </c>
      <c r="AT892" s="904" t="str">
        <f t="shared" si="89"/>
        <v>G64600</v>
      </c>
      <c r="AU892" s="488" t="str">
        <f t="shared" si="90"/>
        <v>COUT-AUTO OCC.DET.OPTIMUM</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2786</v>
      </c>
      <c r="D893" s="706" t="s">
        <v>3384</v>
      </c>
      <c r="E893" s="706" t="s">
        <v>1143</v>
      </c>
      <c r="F893" s="706" t="s">
        <v>1152</v>
      </c>
      <c r="G893" s="706">
        <v>85546.39</v>
      </c>
      <c r="H893" s="706">
        <v>148258.85999999999</v>
      </c>
      <c r="I893" s="706">
        <v>190675.95</v>
      </c>
      <c r="J893" s="706">
        <v>285157.03000000003</v>
      </c>
      <c r="K893" s="706">
        <v>386436.24</v>
      </c>
      <c r="L893" s="706">
        <v>462445.61</v>
      </c>
      <c r="M893" s="706">
        <v>607565.01</v>
      </c>
      <c r="N893" s="706">
        <v>621723.5</v>
      </c>
      <c r="O893" s="706">
        <v>666604.72</v>
      </c>
      <c r="P893" s="706">
        <v>0</v>
      </c>
      <c r="Q893" s="706">
        <v>0</v>
      </c>
      <c r="R893" s="706">
        <v>0</v>
      </c>
      <c r="S893" s="706">
        <v>77715.44</v>
      </c>
      <c r="T893" s="706">
        <v>77715.44</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G64601</v>
      </c>
      <c r="AK893" s="905" t="str">
        <f t="shared" si="87"/>
        <v>COUT-AUTO OCC.GM N-CERT</v>
      </c>
      <c r="AL893" s="905">
        <f>IFERROR(INDEX(G893:R893,1,MATCH(Parametres!$B$3,G$1:R$1,0)-1)*IF(OR(F893="L",F893="S",F893="I"),-1,1),"")</f>
        <v>607565.01</v>
      </c>
      <c r="AM893" s="905">
        <f t="shared" si="88"/>
        <v>14158.489999999991</v>
      </c>
      <c r="AN893" s="905">
        <f>INDEX(G893:R893,1,MATCH(Parametres!$B$3,G$1:R$1,0))*IF(OR(F893="L",F893="S",F893="I"),-1,1)</f>
        <v>621723.5</v>
      </c>
      <c r="AO893" s="487" t="str">
        <f>+VLOOKUP($AJ893,Data_Validation!$A:$D,1,0)</f>
        <v>G64601</v>
      </c>
      <c r="AP893" s="487" t="str">
        <f>+VLOOKUP($AJ893,Data_Validation!$A:$D,3,0)</f>
        <v>Véhicules usagés</v>
      </c>
      <c r="AQ893" s="487" t="str">
        <f>+VLOOKUP($AJ893,Data_Validation!$A:$D,4,0)</f>
        <v>Non Certifié</v>
      </c>
      <c r="AR893" s="487" t="s">
        <v>299</v>
      </c>
      <c r="AS893" s="487">
        <f>+VLOOKUP($AJ893,Data_Validation!$A:$E,5,0)</f>
        <v>0</v>
      </c>
      <c r="AT893" s="904" t="str">
        <f t="shared" si="89"/>
        <v>G64601</v>
      </c>
      <c r="AU893" s="488" t="str">
        <f t="shared" si="90"/>
        <v>COUT-AUTO OCC.GM N-CERT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3385</v>
      </c>
      <c r="D894" s="706" t="s">
        <v>3386</v>
      </c>
      <c r="E894" s="706" t="s">
        <v>1143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G64602</v>
      </c>
      <c r="AK894" s="905" t="str">
        <f t="shared" si="87"/>
        <v>COUT-AUTO AUTRE MARQ</v>
      </c>
      <c r="AL894" s="905">
        <f>IFERROR(INDEX(G894:R894,1,MATCH(Parametres!$B$3,G$1:R$1,0)-1)*IF(OR(F894="L",F894="S",F894="I"),-1,1),"")</f>
        <v>0</v>
      </c>
      <c r="AM894" s="905">
        <f t="shared" si="88"/>
        <v>0</v>
      </c>
      <c r="AN894" s="905">
        <f>INDEX(G894:R894,1,MATCH(Parametres!$B$3,G$1:R$1,0))*IF(OR(F894="L",F894="S",F894="I"),-1,1)</f>
        <v>0</v>
      </c>
      <c r="AO894" s="487" t="str">
        <f>+VLOOKUP($AJ894,Data_Validation!$A:$D,1,0)</f>
        <v>G64602</v>
      </c>
      <c r="AP894" s="487" t="str">
        <f>+VLOOKUP($AJ894,Data_Validation!$A:$D,3,0)</f>
        <v>Véhicules usagés</v>
      </c>
      <c r="AQ894" s="487" t="str">
        <f>+VLOOKUP($AJ894,Data_Validation!$A:$D,4,0)</f>
        <v>Autres Marques</v>
      </c>
      <c r="AR894" s="487" t="s">
        <v>299</v>
      </c>
      <c r="AS894" s="487">
        <f>+VLOOKUP($AJ894,Data_Validation!$A:$E,5,0)</f>
        <v>0</v>
      </c>
      <c r="AT894" s="904" t="str">
        <f t="shared" si="89"/>
        <v>G64602</v>
      </c>
      <c r="AU894" s="488" t="str">
        <f t="shared" si="90"/>
        <v>COUT-AUTO AUTRE MARQ</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3146</v>
      </c>
      <c r="D895" s="706" t="s">
        <v>3147</v>
      </c>
      <c r="E895" s="706" t="s">
        <v>1143</v>
      </c>
      <c r="F895" s="706" t="s">
        <v>1152</v>
      </c>
      <c r="G895" s="706">
        <v>0</v>
      </c>
      <c r="H895" s="706">
        <v>0</v>
      </c>
      <c r="I895" s="706">
        <v>0</v>
      </c>
      <c r="J895" s="706">
        <v>0</v>
      </c>
      <c r="K895" s="706">
        <v>0</v>
      </c>
      <c r="L895" s="706">
        <v>7217.34</v>
      </c>
      <c r="M895" s="706">
        <v>7217.34</v>
      </c>
      <c r="N895" s="706">
        <v>7217.34</v>
      </c>
      <c r="O895" s="706">
        <v>7217.34</v>
      </c>
      <c r="P895" s="706">
        <v>0</v>
      </c>
      <c r="Q895" s="706">
        <v>0</v>
      </c>
      <c r="R895" s="706">
        <v>0</v>
      </c>
      <c r="S895" s="706">
        <v>902.17</v>
      </c>
      <c r="T895" s="706">
        <v>902.17</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G64603</v>
      </c>
      <c r="AK895" s="905" t="str">
        <f t="shared" si="87"/>
        <v>COUT-RACHAT BAIL AUTO</v>
      </c>
      <c r="AL895" s="905">
        <f>IFERROR(INDEX(G895:R895,1,MATCH(Parametres!$B$3,G$1:R$1,0)-1)*IF(OR(F895="L",F895="S",F895="I"),-1,1),"")</f>
        <v>7217.34</v>
      </c>
      <c r="AM895" s="1047">
        <f t="shared" si="88"/>
        <v>0</v>
      </c>
      <c r="AN895" s="905">
        <f>INDEX(G895:R895,1,MATCH(Parametres!$B$3,G$1:R$1,0))*IF(OR(F895="L",F895="S",F895="I"),-1,1)</f>
        <v>7217.34</v>
      </c>
      <c r="AO895" s="487" t="str">
        <f>+VLOOKUP($AJ895,Data_Validation!$A:$D,1,0)</f>
        <v>G64603</v>
      </c>
      <c r="AP895" s="487">
        <f>+VLOOKUP($AJ895,Data_Validation!$A:$D,3,0)</f>
        <v>0</v>
      </c>
      <c r="AQ895" s="487">
        <f>+VLOOKUP($AJ895,Data_Validation!$A:$D,4,0)</f>
        <v>0</v>
      </c>
      <c r="AR895" s="487" t="s">
        <v>299</v>
      </c>
      <c r="AS895" s="487">
        <f>+VLOOKUP($AJ895,Data_Validation!$A:$E,5,0)</f>
        <v>0</v>
      </c>
      <c r="AT895" s="904" t="str">
        <f t="shared" si="89"/>
        <v>G64603</v>
      </c>
      <c r="AU895" s="488" t="str">
        <f t="shared" si="90"/>
        <v>COUT-RACHAT BAIL AUTO</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2788</v>
      </c>
      <c r="D896" s="706" t="s">
        <v>2789</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G64620</v>
      </c>
      <c r="AK896" s="905" t="str">
        <f t="shared" si="87"/>
        <v>COUT-LOC.AUTO USAGE OPT.</v>
      </c>
      <c r="AL896" s="905">
        <f>IFERROR(INDEX(G896:R896,1,MATCH(Parametres!$B$3,G$1:R$1,0)-1)*IF(OR(F896="L",F896="S",F896="I"),-1,1),"")</f>
        <v>0</v>
      </c>
      <c r="AM896" s="905">
        <f t="shared" si="88"/>
        <v>0</v>
      </c>
      <c r="AN896" s="905">
        <f>INDEX(G896:R896,1,MATCH(Parametres!$B$3,G$1:R$1,0))*IF(OR(F896="L",F896="S",F896="I"),-1,1)</f>
        <v>0</v>
      </c>
      <c r="AO896" s="487" t="str">
        <f>+VLOOKUP($AJ896,Data_Validation!$A:$D,1,0)</f>
        <v>G64620</v>
      </c>
      <c r="AP896" s="487" t="str">
        <f>+VLOOKUP($AJ896,Data_Validation!$A:$D,3,0)</f>
        <v>Véhicules usagés</v>
      </c>
      <c r="AQ896" s="487" t="str">
        <f>+VLOOKUP($AJ896,Data_Validation!$A:$D,4,0)</f>
        <v>Certifié</v>
      </c>
      <c r="AR896" s="487" t="s">
        <v>299</v>
      </c>
      <c r="AS896" s="487">
        <f>+VLOOKUP($AJ896,Data_Validation!$A:$E,5,0)</f>
        <v>0</v>
      </c>
      <c r="AT896" s="904" t="str">
        <f t="shared" si="89"/>
        <v>G64620</v>
      </c>
      <c r="AU896" s="488" t="str">
        <f t="shared" si="90"/>
        <v>COUT-LOC.AUTO USAGE 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2790</v>
      </c>
      <c r="D897" s="706" t="s">
        <v>2791</v>
      </c>
      <c r="E897" s="706" t="s">
        <v>333</v>
      </c>
      <c r="F897" s="706" t="s">
        <v>1152</v>
      </c>
      <c r="G897" s="706">
        <v>0</v>
      </c>
      <c r="H897" s="706">
        <v>0</v>
      </c>
      <c r="I897" s="706">
        <v>0</v>
      </c>
      <c r="J897" s="706">
        <v>0</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G64700</v>
      </c>
      <c r="AK897" s="905" t="str">
        <f t="shared" si="87"/>
        <v>REMISE NEUF VOIT.DET.OPT</v>
      </c>
      <c r="AL897" s="905">
        <f>IFERROR(INDEX(G897:R897,1,MATCH(Parametres!$B$3,G$1:R$1,0)-1)*IF(OR(F897="L",F897="S",F897="I"),-1,1),"")</f>
        <v>0</v>
      </c>
      <c r="AM897" s="905">
        <f t="shared" si="88"/>
        <v>0</v>
      </c>
      <c r="AN897" s="905">
        <f>INDEX(G897:R897,1,MATCH(Parametres!$B$3,G$1:R$1,0))*IF(OR(F897="L",F897="S",F897="I"),-1,1)</f>
        <v>0</v>
      </c>
      <c r="AO897" s="487" t="str">
        <f>+VLOOKUP($AJ897,Data_Validation!$A:$D,1,0)</f>
        <v>G64700</v>
      </c>
      <c r="AP897" s="487">
        <f>+VLOOKUP($AJ897,Data_Validation!$A:$D,3,0)</f>
        <v>0</v>
      </c>
      <c r="AQ897" s="487">
        <f>+VLOOKUP($AJ897,Data_Validation!$A:$D,4,0)</f>
        <v>0</v>
      </c>
      <c r="AR897" s="487" t="s">
        <v>299</v>
      </c>
      <c r="AS897" s="487">
        <f>+VLOOKUP($AJ897,Data_Validation!$A:$E,5,0)</f>
        <v>0</v>
      </c>
      <c r="AT897" s="904" t="str">
        <f t="shared" si="89"/>
        <v>G64700</v>
      </c>
      <c r="AU897" s="488" t="str">
        <f t="shared" si="90"/>
        <v>REMISE NEUF VOIT.DET.OPT</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2792</v>
      </c>
      <c r="D898" s="706" t="s">
        <v>2793</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G64701</v>
      </c>
      <c r="AK898" s="905" t="str">
        <f t="shared" si="87"/>
        <v>REMISE NEUF VOIT.DET.AUTR</v>
      </c>
      <c r="AL898" s="905">
        <f>IFERROR(INDEX(G898:R898,1,MATCH(Parametres!$B$3,G$1:R$1,0)-1)*IF(OR(F898="L",F898="S",F898="I"),-1,1),"")</f>
        <v>0</v>
      </c>
      <c r="AM898" s="905">
        <f t="shared" si="88"/>
        <v>0</v>
      </c>
      <c r="AN898" s="905">
        <f>INDEX(G898:R898,1,MATCH(Parametres!$B$3,G$1:R$1,0))*IF(OR(F898="L",F898="S",F898="I"),-1,1)</f>
        <v>0</v>
      </c>
      <c r="AO898" s="487" t="str">
        <f>+VLOOKUP($AJ898,Data_Validation!$A:$D,1,0)</f>
        <v>G64701</v>
      </c>
      <c r="AP898" s="487">
        <f>+VLOOKUP($AJ898,Data_Validation!$A:$D,3,0)</f>
        <v>0</v>
      </c>
      <c r="AQ898" s="487">
        <f>+VLOOKUP($AJ898,Data_Validation!$A:$D,4,0)</f>
        <v>0</v>
      </c>
      <c r="AR898" s="487" t="s">
        <v>299</v>
      </c>
      <c r="AS898" s="487">
        <f>+VLOOKUP($AJ898,Data_Validation!$A:$E,5,0)</f>
        <v>0</v>
      </c>
      <c r="AT898" s="904" t="str">
        <f t="shared" si="89"/>
        <v>G64701</v>
      </c>
      <c r="AU898" s="488" t="str">
        <f t="shared" si="90"/>
        <v>REMISE NEUF VOIT.DET.AUTR</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2794</v>
      </c>
      <c r="D899" s="706" t="s">
        <v>2795</v>
      </c>
      <c r="E899" s="706" t="s">
        <v>333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G64720</v>
      </c>
      <c r="AK899" s="905" t="str">
        <f t="shared" si="87"/>
        <v>REM.NEUF LOC.AUTO DET.OPT</v>
      </c>
      <c r="AL899" s="905">
        <f>IFERROR(INDEX(G899:R899,1,MATCH(Parametres!$B$3,G$1:R$1,0)-1)*IF(OR(F899="L",F899="S",F899="I"),-1,1),"")</f>
        <v>0</v>
      </c>
      <c r="AM899" s="905">
        <f t="shared" si="88"/>
        <v>0</v>
      </c>
      <c r="AN899" s="905">
        <f>INDEX(G899:R899,1,MATCH(Parametres!$B$3,G$1:R$1,0))*IF(OR(F899="L",F899="S",F899="I"),-1,1)</f>
        <v>0</v>
      </c>
      <c r="AO899" s="487" t="str">
        <f>+VLOOKUP($AJ899,Data_Validation!$A:$D,1,0)</f>
        <v>G64720</v>
      </c>
      <c r="AP899" s="487">
        <f>+VLOOKUP($AJ899,Data_Validation!$A:$D,3,0)</f>
        <v>0</v>
      </c>
      <c r="AQ899" s="487">
        <f>+VLOOKUP($AJ899,Data_Validation!$A:$D,4,0)</f>
        <v>0</v>
      </c>
      <c r="AR899" s="487" t="s">
        <v>299</v>
      </c>
      <c r="AS899" s="487">
        <f>+VLOOKUP($AJ899,Data_Validation!$A:$E,5,0)</f>
        <v>0</v>
      </c>
      <c r="AT899" s="904" t="str">
        <f t="shared" si="89"/>
        <v>G64720</v>
      </c>
      <c r="AU899" s="488" t="str">
        <f t="shared" si="90"/>
        <v>REM.NEUF LOC.AUTO DET.OPT</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2796</v>
      </c>
      <c r="D900" s="706" t="s">
        <v>2797</v>
      </c>
      <c r="E900" s="706" t="s">
        <v>1143</v>
      </c>
      <c r="F900" s="706" t="s">
        <v>1152</v>
      </c>
      <c r="G900" s="706">
        <v>8607.98</v>
      </c>
      <c r="H900" s="706">
        <v>117294.94</v>
      </c>
      <c r="I900" s="706">
        <v>305950.17</v>
      </c>
      <c r="J900" s="706">
        <v>398583.17</v>
      </c>
      <c r="K900" s="706">
        <v>349464.12</v>
      </c>
      <c r="L900" s="706">
        <v>442024.39</v>
      </c>
      <c r="M900" s="706">
        <v>479154.39</v>
      </c>
      <c r="N900" s="706">
        <v>575496.04</v>
      </c>
      <c r="O900" s="706">
        <v>581347.04</v>
      </c>
      <c r="P900" s="706">
        <v>0</v>
      </c>
      <c r="Q900" s="706">
        <v>0</v>
      </c>
      <c r="R900" s="706">
        <v>0</v>
      </c>
      <c r="S900" s="706">
        <v>71937.009999999995</v>
      </c>
      <c r="T900" s="706">
        <v>71937.009999999995</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G64800</v>
      </c>
      <c r="AK900" s="905" t="str">
        <f t="shared" si="87"/>
        <v>COUT-AUTOS USAGES EN GROS</v>
      </c>
      <c r="AL900" s="905">
        <f>IFERROR(INDEX(G900:R900,1,MATCH(Parametres!$B$3,G$1:R$1,0)-1)*IF(OR(F900="L",F900="S",F900="I"),-1,1),"")</f>
        <v>479154.39</v>
      </c>
      <c r="AM900" s="905">
        <f t="shared" si="88"/>
        <v>96341.650000000023</v>
      </c>
      <c r="AN900" s="905">
        <f>INDEX(G900:R900,1,MATCH(Parametres!$B$3,G$1:R$1,0))*IF(OR(F900="L",F900="S",F900="I"),-1,1)</f>
        <v>575496.04</v>
      </c>
      <c r="AO900" s="487" t="str">
        <f>+VLOOKUP($AJ900,Data_Validation!$A:$D,1,0)</f>
        <v>G64800</v>
      </c>
      <c r="AP900" s="487" t="str">
        <f>+VLOOKUP($AJ900,Data_Validation!$A:$D,3,0)</f>
        <v>Véhicules usagés</v>
      </c>
      <c r="AQ900" s="487" t="str">
        <f>+VLOOKUP($AJ900,Data_Validation!$A:$D,4,0)</f>
        <v>Ventes au Gros</v>
      </c>
      <c r="AR900" s="487" t="s">
        <v>299</v>
      </c>
      <c r="AS900" s="487">
        <f>+VLOOKUP($AJ900,Data_Validation!$A:$E,5,0)</f>
        <v>0</v>
      </c>
      <c r="AT900" s="904" t="str">
        <f t="shared" si="89"/>
        <v>G64800</v>
      </c>
      <c r="AU900" s="488" t="str">
        <f t="shared" si="90"/>
        <v>COUT-AUTOS USAGES EN GROS</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2798</v>
      </c>
      <c r="D901" s="706" t="s">
        <v>2799</v>
      </c>
      <c r="E901" s="706" t="s">
        <v>333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G64900</v>
      </c>
      <c r="AK901" s="905" t="str">
        <f t="shared" si="87"/>
        <v>RECTIFICATION STOCK AUTO</v>
      </c>
      <c r="AL901" s="905">
        <f>IFERROR(INDEX(G901:R901,1,MATCH(Parametres!$B$3,G$1:R$1,0)-1)*IF(OR(F901="L",F901="S",F901="I"),-1,1),"")</f>
        <v>0</v>
      </c>
      <c r="AM901" s="905">
        <f t="shared" si="88"/>
        <v>0</v>
      </c>
      <c r="AN901" s="905">
        <f>INDEX(G901:R901,1,MATCH(Parametres!$B$3,G$1:R$1,0))*IF(OR(F901="L",F901="S",F901="I"),-1,1)</f>
        <v>0</v>
      </c>
      <c r="AO901" s="487" t="str">
        <f>+VLOOKUP($AJ901,Data_Validation!$A:$D,1,0)</f>
        <v>G64900</v>
      </c>
      <c r="AP901" s="487">
        <f>+VLOOKUP($AJ901,Data_Validation!$A:$D,3,0)</f>
        <v>0</v>
      </c>
      <c r="AQ901" s="487">
        <f>+VLOOKUP($AJ901,Data_Validation!$A:$D,4,0)</f>
        <v>0</v>
      </c>
      <c r="AR901" s="487" t="s">
        <v>299</v>
      </c>
      <c r="AS901" s="487">
        <f>+VLOOKUP($AJ901,Data_Validation!$A:$E,5,0)</f>
        <v>0</v>
      </c>
      <c r="AT901" s="904" t="str">
        <f t="shared" si="89"/>
        <v>G64900</v>
      </c>
      <c r="AU901" s="488" t="str">
        <f t="shared" si="90"/>
        <v>RECTIFICATION STOCK AUTO</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2800</v>
      </c>
      <c r="D902" s="706" t="s">
        <v>3387</v>
      </c>
      <c r="E902" s="706" t="s">
        <v>1143</v>
      </c>
      <c r="F902" s="706" t="s">
        <v>1152</v>
      </c>
      <c r="G902" s="706">
        <v>41059.599999999999</v>
      </c>
      <c r="H902" s="706">
        <v>349469.58</v>
      </c>
      <c r="I902" s="706">
        <v>1233604.7</v>
      </c>
      <c r="J902" s="706">
        <v>2065159.12</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G65000</v>
      </c>
      <c r="AK902" s="905" t="str">
        <f t="shared" si="87"/>
        <v>COUT-OCC.CAMION DET CERTI</v>
      </c>
      <c r="AL902" s="905">
        <f>IFERROR(INDEX(G902:R902,1,MATCH(Parametres!$B$3,G$1:R$1,0)-1)*IF(OR(F902="L",F902="S",F902="I"),-1,1),"")</f>
        <v>0</v>
      </c>
      <c r="AM902" s="905">
        <f t="shared" si="88"/>
        <v>0</v>
      </c>
      <c r="AN902" s="905">
        <f>INDEX(G902:R902,1,MATCH(Parametres!$B$3,G$1:R$1,0))*IF(OR(F902="L",F902="S",F902="I"),-1,1)</f>
        <v>0</v>
      </c>
      <c r="AO902" s="487" t="str">
        <f>+VLOOKUP($AJ902,Data_Validation!$A:$D,1,0)</f>
        <v>G65000</v>
      </c>
      <c r="AP902" s="487" t="str">
        <f>+VLOOKUP($AJ902,Data_Validation!$A:$D,3,0)</f>
        <v>Véhicules usagés</v>
      </c>
      <c r="AQ902" s="487" t="str">
        <f>+VLOOKUP($AJ902,Data_Validation!$A:$D,4,0)</f>
        <v>Ventes au Gros</v>
      </c>
      <c r="AR902" s="487" t="s">
        <v>299</v>
      </c>
      <c r="AS902" s="487" t="str">
        <f>+VLOOKUP($AJ902,Data_Validation!$A:$E,5,0)</f>
        <v>Oui</v>
      </c>
      <c r="AT902" s="904" t="str">
        <f t="shared" si="89"/>
        <v>G65000</v>
      </c>
      <c r="AU902" s="488" t="str">
        <f t="shared" si="90"/>
        <v>COUT-OCC.CAMION DET CERTI</v>
      </c>
      <c r="AV902" s="899">
        <f>IFERROR(INDEX(V902:AG902,1,MATCH(Parametres!$B$3,V$1:AG$1,0)-1)*IF(OR(C902="L",C902="S",C902="I"),-1,1),"")</f>
        <v>0</v>
      </c>
      <c r="AW902" s="899">
        <f t="shared" si="91"/>
        <v>0</v>
      </c>
      <c r="AX902" s="899">
        <f>INDEX(V902:AG902,1,MATCH(Parametres!$B$3,V$1:AG$1,0))*IF(OR(C902="L",C902="S",C902="I"),-1,1)</f>
        <v>0</v>
      </c>
      <c r="AY902" s="487" t="s">
        <v>337</v>
      </c>
      <c r="AZ902" s="487" t="str">
        <f>+VLOOKUP($AJ902,Data_Validation!$A:$E,5,0)</f>
        <v>Oui</v>
      </c>
    </row>
    <row r="903" spans="1:52" ht="15" customHeight="1">
      <c r="A903" s="706" t="s">
        <v>1148</v>
      </c>
      <c r="B903" s="706">
        <v>2026</v>
      </c>
      <c r="C903" s="706" t="s">
        <v>2802</v>
      </c>
      <c r="D903" s="706" t="s">
        <v>3388</v>
      </c>
      <c r="E903" s="706" t="s">
        <v>1143</v>
      </c>
      <c r="F903" s="706" t="s">
        <v>1152</v>
      </c>
      <c r="G903" s="706">
        <v>437492.78</v>
      </c>
      <c r="H903" s="706">
        <v>686180.56</v>
      </c>
      <c r="I903" s="706">
        <v>1224288.25</v>
      </c>
      <c r="J903" s="706">
        <v>2082692.23</v>
      </c>
      <c r="K903" s="706">
        <v>2979869.09</v>
      </c>
      <c r="L903" s="706">
        <v>3600566.98</v>
      </c>
      <c r="M903" s="706">
        <v>4301841.68</v>
      </c>
      <c r="N903" s="706">
        <v>5077999.76</v>
      </c>
      <c r="O903" s="706">
        <v>5359097.7300000004</v>
      </c>
      <c r="P903" s="706">
        <v>0</v>
      </c>
      <c r="Q903" s="706">
        <v>0</v>
      </c>
      <c r="R903" s="706">
        <v>0</v>
      </c>
      <c r="S903" s="706">
        <v>634749.97</v>
      </c>
      <c r="T903" s="706">
        <v>634749.97</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G65001</v>
      </c>
      <c r="AK903" s="905" t="str">
        <f t="shared" si="87"/>
        <v>COUT-CAMION OCC.GM N-CERT</v>
      </c>
      <c r="AL903" s="905">
        <f>IFERROR(INDEX(G903:R903,1,MATCH(Parametres!$B$3,G$1:R$1,0)-1)*IF(OR(F903="L",F903="S",F903="I"),-1,1),"")</f>
        <v>4301841.68</v>
      </c>
      <c r="AM903" s="905">
        <f t="shared" si="88"/>
        <v>776158.08000000007</v>
      </c>
      <c r="AN903" s="905">
        <f>INDEX(G903:R903,1,MATCH(Parametres!$B$3,G$1:R$1,0))*IF(OR(F903="L",F903="S",F903="I"),-1,1)</f>
        <v>5077999.76</v>
      </c>
      <c r="AO903" s="487" t="str">
        <f>+VLOOKUP($AJ903,Data_Validation!$A:$D,1,0)</f>
        <v>G65001</v>
      </c>
      <c r="AP903" s="487" t="str">
        <f>+VLOOKUP($AJ903,Data_Validation!$A:$D,3,0)</f>
        <v>Véhicules usagés</v>
      </c>
      <c r="AQ903" s="487" t="str">
        <f>+VLOOKUP($AJ903,Data_Validation!$A:$D,4,0)</f>
        <v>Non Certifié</v>
      </c>
      <c r="AR903" s="487" t="s">
        <v>299</v>
      </c>
      <c r="AS903" s="487">
        <f>+VLOOKUP($AJ903,Data_Validation!$A:$E,5,0)</f>
        <v>0</v>
      </c>
      <c r="AT903" s="904" t="str">
        <f t="shared" si="89"/>
        <v>G65001</v>
      </c>
      <c r="AU903" s="488" t="str">
        <f t="shared" si="90"/>
        <v>COUT-CAMION OCC.GM N-CERT</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3389</v>
      </c>
      <c r="D904" s="706" t="s">
        <v>3390</v>
      </c>
      <c r="E904" s="706" t="s">
        <v>1143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G65002</v>
      </c>
      <c r="AK904" s="905" t="str">
        <f t="shared" si="87"/>
        <v>COUT- CAMION AUTRE MARQ</v>
      </c>
      <c r="AL904" s="905">
        <f>IFERROR(INDEX(G904:R904,1,MATCH(Parametres!$B$3,G$1:R$1,0)-1)*IF(OR(F904="L",F904="S",F904="I"),-1,1),"")</f>
        <v>0</v>
      </c>
      <c r="AM904" s="905">
        <f t="shared" si="88"/>
        <v>0</v>
      </c>
      <c r="AN904" s="905">
        <f>INDEX(G904:R904,1,MATCH(Parametres!$B$3,G$1:R$1,0))*IF(OR(F904="L",F904="S",F904="I"),-1,1)</f>
        <v>0</v>
      </c>
      <c r="AO904" s="487" t="str">
        <f>+VLOOKUP($AJ904,Data_Validation!$A:$D,1,0)</f>
        <v>G65002</v>
      </c>
      <c r="AP904" s="487" t="str">
        <f>+VLOOKUP($AJ904,Data_Validation!$A:$D,3,0)</f>
        <v>Véhicules usagés</v>
      </c>
      <c r="AQ904" s="487" t="str">
        <f>+VLOOKUP($AJ904,Data_Validation!$A:$D,4,0)</f>
        <v>Autres Marques</v>
      </c>
      <c r="AR904" s="487" t="s">
        <v>299</v>
      </c>
      <c r="AS904" s="487">
        <f>+VLOOKUP($AJ904,Data_Validation!$A:$E,5,0)</f>
        <v>0</v>
      </c>
      <c r="AT904" s="904" t="str">
        <f t="shared" si="89"/>
        <v>G65002</v>
      </c>
      <c r="AU904" s="488" t="str">
        <f t="shared" si="90"/>
        <v>COUT- CAMION AUTRE MARQ</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3391</v>
      </c>
      <c r="D905" s="706" t="s">
        <v>3392</v>
      </c>
      <c r="E905" s="706" t="s">
        <v>1143</v>
      </c>
      <c r="F905" s="706" t="s">
        <v>1152</v>
      </c>
      <c r="G905" s="706">
        <v>0</v>
      </c>
      <c r="H905" s="706">
        <v>0</v>
      </c>
      <c r="I905" s="706">
        <v>0</v>
      </c>
      <c r="J905" s="706">
        <v>0</v>
      </c>
      <c r="K905" s="706">
        <v>0</v>
      </c>
      <c r="L905" s="706">
        <v>0</v>
      </c>
      <c r="M905" s="706">
        <v>163049.32</v>
      </c>
      <c r="N905" s="706">
        <v>336173.43</v>
      </c>
      <c r="O905" s="706">
        <v>336173.43</v>
      </c>
      <c r="P905" s="706">
        <v>0</v>
      </c>
      <c r="Q905" s="706">
        <v>0</v>
      </c>
      <c r="R905" s="706">
        <v>0</v>
      </c>
      <c r="S905" s="706">
        <v>42021.68</v>
      </c>
      <c r="T905" s="706">
        <v>42021.68</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G65003</v>
      </c>
      <c r="AK905" s="905" t="str">
        <f t="shared" si="87"/>
        <v>COUT-RACHAT BAIL CAMION</v>
      </c>
      <c r="AL905" s="905">
        <f>IFERROR(INDEX(G905:R905,1,MATCH(Parametres!$B$3,G$1:R$1,0)-1)*IF(OR(F905="L",F905="S",F905="I"),-1,1),"")</f>
        <v>163049.32</v>
      </c>
      <c r="AM905" s="1047">
        <f t="shared" si="88"/>
        <v>173124.11</v>
      </c>
      <c r="AN905" s="905">
        <f>INDEX(G905:R905,1,MATCH(Parametres!$B$3,G$1:R$1,0))*IF(OR(F905="L",F905="S",F905="I"),-1,1)</f>
        <v>336173.43</v>
      </c>
      <c r="AO905" s="487" t="str">
        <f>+VLOOKUP($AJ905,Data_Validation!$A:$D,1,0)</f>
        <v>G65003</v>
      </c>
      <c r="AP905" s="487" t="str">
        <f>+VLOOKUP($AJ905,Data_Validation!$A:$D,3,0)</f>
        <v>Véhicules usagés</v>
      </c>
      <c r="AQ905" s="487" t="str">
        <f>+VLOOKUP($AJ905,Data_Validation!$A:$D,4,0)</f>
        <v>Rachat bail</v>
      </c>
      <c r="AR905" s="487" t="s">
        <v>299</v>
      </c>
      <c r="AS905" s="487">
        <f>+VLOOKUP($AJ905,Data_Validation!$A:$E,5,0)</f>
        <v>0</v>
      </c>
      <c r="AT905" s="904" t="str">
        <f t="shared" si="89"/>
        <v>G65003</v>
      </c>
      <c r="AU905" s="488" t="str">
        <f t="shared" si="90"/>
        <v>COUT-RACHAT BAIL CAMION</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2804</v>
      </c>
      <c r="D906" s="706" t="s">
        <v>2805</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G65020</v>
      </c>
      <c r="AK906" s="905" t="str">
        <f t="shared" si="87"/>
        <v>COUT-LOC.CAM.USAGE OPT.</v>
      </c>
      <c r="AL906" s="905">
        <f>IFERROR(INDEX(G906:R906,1,MATCH(Parametres!$B$3,G$1:R$1,0)-1)*IF(OR(F906="L",F906="S",F906="I"),-1,1),"")</f>
        <v>0</v>
      </c>
      <c r="AM906" s="1047">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G65020</v>
      </c>
      <c r="AU906" s="488" t="str">
        <f t="shared" si="90"/>
        <v>COUT-LOC.CAM.USAGE OPT.</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customHeight="1">
      <c r="A907" s="706" t="s">
        <v>1148</v>
      </c>
      <c r="B907" s="706">
        <v>2026</v>
      </c>
      <c r="C907" s="706" t="s">
        <v>2806</v>
      </c>
      <c r="D907" s="706" t="s">
        <v>2807</v>
      </c>
      <c r="E907" s="706" t="s">
        <v>333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G65100</v>
      </c>
      <c r="AK907" s="905" t="str">
        <f t="shared" si="87"/>
        <v>REMISE NEUF CAM.DET.OPT.</v>
      </c>
      <c r="AL907" s="905">
        <f>IFERROR(INDEX(G907:R907,1,MATCH(Parametres!$B$3,G$1:R$1,0)-1)*IF(OR(F907="L",F907="S",F907="I"),-1,1),"")</f>
        <v>0</v>
      </c>
      <c r="AM907" s="1047">
        <f t="shared" si="88"/>
        <v>0</v>
      </c>
      <c r="AN907" s="905">
        <f>INDEX(G907:R907,1,MATCH(Parametres!$B$3,G$1:R$1,0))*IF(OR(F907="L",F907="S",F907="I"),-1,1)</f>
        <v>0</v>
      </c>
      <c r="AO907" s="487" t="str">
        <f>+VLOOKUP($AJ907,Data_Validation!$A:$D,1,0)</f>
        <v>G65100</v>
      </c>
      <c r="AP907" s="487">
        <f>+VLOOKUP($AJ907,Data_Validation!$A:$D,3,0)</f>
        <v>0</v>
      </c>
      <c r="AQ907" s="487">
        <f>+VLOOKUP($AJ907,Data_Validation!$A:$D,4,0)</f>
        <v>0</v>
      </c>
      <c r="AR907" s="487" t="s">
        <v>299</v>
      </c>
      <c r="AS907" s="487">
        <f>+VLOOKUP($AJ907,Data_Validation!$A:$E,5,0)</f>
        <v>0</v>
      </c>
      <c r="AT907" s="904" t="str">
        <f t="shared" si="89"/>
        <v>G65100</v>
      </c>
      <c r="AU907" s="488" t="str">
        <f t="shared" si="90"/>
        <v>REMISE NEUF CAM.DET.OPT.</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2808</v>
      </c>
      <c r="D908" s="706" t="s">
        <v>2809</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G65101</v>
      </c>
      <c r="AK908" s="905" t="str">
        <f t="shared" si="87"/>
        <v>REMISE NEUF CAM.DET.AUTRE</v>
      </c>
      <c r="AL908" s="905">
        <f>IFERROR(INDEX(G908:R908,1,MATCH(Parametres!$B$3,G$1:R$1,0)-1)*IF(OR(F908="L",F908="S",F908="I"),-1,1),"")</f>
        <v>0</v>
      </c>
      <c r="AM908" s="905">
        <f t="shared" si="88"/>
        <v>0</v>
      </c>
      <c r="AN908" s="905">
        <f>INDEX(G908:R908,1,MATCH(Parametres!$B$3,G$1:R$1,0))*IF(OR(F908="L",F908="S",F908="I"),-1,1)</f>
        <v>0</v>
      </c>
      <c r="AO908" s="487" t="str">
        <f>+VLOOKUP($AJ908,Data_Validation!$A:$D,1,0)</f>
        <v>G65101</v>
      </c>
      <c r="AP908" s="487">
        <f>+VLOOKUP($AJ908,Data_Validation!$A:$D,3,0)</f>
        <v>0</v>
      </c>
      <c r="AQ908" s="487">
        <f>+VLOOKUP($AJ908,Data_Validation!$A:$D,4,0)</f>
        <v>0</v>
      </c>
      <c r="AR908" s="487" t="s">
        <v>299</v>
      </c>
      <c r="AS908" s="487">
        <f>+VLOOKUP($AJ908,Data_Validation!$A:$E,5,0)</f>
        <v>0</v>
      </c>
      <c r="AT908" s="904" t="str">
        <f t="shared" si="89"/>
        <v>G65101</v>
      </c>
      <c r="AU908" s="488" t="str">
        <f t="shared" si="90"/>
        <v>REMISE NEUF CAM.DET.AUTRE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2810</v>
      </c>
      <c r="D909" s="706" t="s">
        <v>2811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G65120</v>
      </c>
      <c r="AK909" s="905" t="str">
        <f t="shared" si="87"/>
        <v>REM.NEUF LOC.CAM.DET.OPT.</v>
      </c>
      <c r="AL909" s="905">
        <f>IFERROR(INDEX(G909:R909,1,MATCH(Parametres!$B$3,G$1:R$1,0)-1)*IF(OR(F909="L",F909="S",F909="I"),-1,1),"")</f>
        <v>0</v>
      </c>
      <c r="AM909" s="1047">
        <f t="shared" si="88"/>
        <v>0</v>
      </c>
      <c r="AN909" s="905">
        <f>INDEX(G909:R909,1,MATCH(Parametres!$B$3,G$1:R$1,0))*IF(OR(F909="L",F909="S",F909="I"),-1,1)</f>
        <v>0</v>
      </c>
      <c r="AO909" s="487" t="str">
        <f>+VLOOKUP($AJ909,Data_Validation!$A:$D,1,0)</f>
        <v>G65120</v>
      </c>
      <c r="AP909" s="487">
        <f>+VLOOKUP($AJ909,Data_Validation!$A:$D,3,0)</f>
        <v>0</v>
      </c>
      <c r="AQ909" s="487">
        <f>+VLOOKUP($AJ909,Data_Validation!$A:$D,4,0)</f>
        <v>0</v>
      </c>
      <c r="AR909" s="487" t="s">
        <v>299</v>
      </c>
      <c r="AS909" s="487">
        <f>+VLOOKUP($AJ909,Data_Validation!$A:$E,5,0)</f>
        <v>0</v>
      </c>
      <c r="AT909" s="904" t="str">
        <f t="shared" si="89"/>
        <v>G65120</v>
      </c>
      <c r="AU909" s="488" t="str">
        <f t="shared" si="90"/>
        <v>REM.NEUF LOC.CAM.DET.OPT.</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2812</v>
      </c>
      <c r="D910" s="706" t="s">
        <v>2813</v>
      </c>
      <c r="E910" s="706" t="s">
        <v>1143</v>
      </c>
      <c r="F910" s="706" t="s">
        <v>1152</v>
      </c>
      <c r="G910" s="706">
        <v>2051010.87</v>
      </c>
      <c r="H910" s="706">
        <v>3639591.88</v>
      </c>
      <c r="I910" s="706">
        <v>6799634.4299999997</v>
      </c>
      <c r="J910" s="706">
        <v>9640410.0500000007</v>
      </c>
      <c r="K910" s="706">
        <v>4652358.87</v>
      </c>
      <c r="L910" s="706">
        <v>5323087.83</v>
      </c>
      <c r="M910" s="706">
        <v>5849809.9699999997</v>
      </c>
      <c r="N910" s="706">
        <v>6790500.3099999996</v>
      </c>
      <c r="O910" s="706">
        <v>7154581.5</v>
      </c>
      <c r="P910" s="706">
        <v>0</v>
      </c>
      <c r="Q910" s="706">
        <v>0</v>
      </c>
      <c r="R910" s="706">
        <v>0</v>
      </c>
      <c r="S910" s="706">
        <v>848812.54</v>
      </c>
      <c r="T910" s="706">
        <v>848812.54</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G65200</v>
      </c>
      <c r="AK910" s="905" t="str">
        <f t="shared" si="87"/>
        <v>COUT-CAM. OCCASION GROS</v>
      </c>
      <c r="AL910" s="905">
        <f>IFERROR(INDEX(G910:R910,1,MATCH(Parametres!$B$3,G$1:R$1,0)-1)*IF(OR(F910="L",F910="S",F910="I"),-1,1),"")</f>
        <v>5849809.9699999997</v>
      </c>
      <c r="AM910" s="905">
        <f t="shared" si="88"/>
        <v>940690.33999999985</v>
      </c>
      <c r="AN910" s="905">
        <f>INDEX(G910:R910,1,MATCH(Parametres!$B$3,G$1:R$1,0))*IF(OR(F910="L",F910="S",F910="I"),-1,1)</f>
        <v>6790500.3099999996</v>
      </c>
      <c r="AO910" s="487" t="str">
        <f>+VLOOKUP($AJ910,Data_Validation!$A:$D,1,0)</f>
        <v>G65200</v>
      </c>
      <c r="AP910" s="487" t="str">
        <f>+VLOOKUP($AJ910,Data_Validation!$A:$D,3,0)</f>
        <v>Véhicules usagés</v>
      </c>
      <c r="AQ910" s="487" t="str">
        <f>+VLOOKUP($AJ910,Data_Validation!$A:$D,4,0)</f>
        <v>Ventes au Gros</v>
      </c>
      <c r="AR910" s="487" t="s">
        <v>299</v>
      </c>
      <c r="AS910" s="487">
        <f>+VLOOKUP($AJ910,Data_Validation!$A:$E,5,0)</f>
        <v>0</v>
      </c>
      <c r="AT910" s="904" t="str">
        <f t="shared" si="89"/>
        <v>G65200</v>
      </c>
      <c r="AU910" s="488" t="str">
        <f t="shared" si="90"/>
        <v>COUT-CAM. OCCASION GROS</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2814</v>
      </c>
      <c r="D911" s="706" t="s">
        <v>2815</v>
      </c>
      <c r="E911" s="706" t="s">
        <v>1143</v>
      </c>
      <c r="F911" s="706" t="s">
        <v>1152</v>
      </c>
      <c r="G911" s="706">
        <v>6696533.3300000001</v>
      </c>
      <c r="H911" s="706">
        <v>7234033.3300000001</v>
      </c>
      <c r="I911" s="706">
        <v>10174343.33</v>
      </c>
      <c r="J911" s="706">
        <v>15978053.33</v>
      </c>
      <c r="K911" s="706">
        <v>17890973.329999998</v>
      </c>
      <c r="L911" s="706">
        <v>19641398.329999998</v>
      </c>
      <c r="M911" s="706">
        <v>21384898.329999998</v>
      </c>
      <c r="N911" s="706">
        <v>22514263.329999998</v>
      </c>
      <c r="O911" s="706">
        <v>22886763.329999998</v>
      </c>
      <c r="P911" s="706">
        <v>0</v>
      </c>
      <c r="Q911" s="706">
        <v>0</v>
      </c>
      <c r="R911" s="706">
        <v>0</v>
      </c>
      <c r="S911" s="706">
        <v>2814282.92</v>
      </c>
      <c r="T911" s="706">
        <v>2814282.92</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G65201</v>
      </c>
      <c r="AK911" s="905" t="str">
        <f t="shared" si="87"/>
        <v>COUT - WHOLESALE W</v>
      </c>
      <c r="AL911" s="905">
        <f>IFERROR(INDEX(G911:R911,1,MATCH(Parametres!$B$3,G$1:R$1,0)-1)*IF(OR(F911="L",F911="S",F911="I"),-1,1),"")</f>
        <v>21384898.329999998</v>
      </c>
      <c r="AM911" s="905">
        <f t="shared" si="88"/>
        <v>1129365</v>
      </c>
      <c r="AN911" s="905">
        <f>INDEX(G911:R911,1,MATCH(Parametres!$B$3,G$1:R$1,0))*IF(OR(F911="L",F911="S",F911="I"),-1,1)</f>
        <v>22514263.329999998</v>
      </c>
      <c r="AO911" s="487" t="str">
        <f>+VLOOKUP($AJ911,Data_Validation!$A:$D,1,0)</f>
        <v>G65201</v>
      </c>
      <c r="AP911" s="487" t="str">
        <f>+VLOOKUP($AJ911,Data_Validation!$A:$D,3,0)</f>
        <v>Wholesale autres</v>
      </c>
      <c r="AQ911" s="487" t="str">
        <f>+VLOOKUP($AJ911,Data_Validation!$A:$D,4,0)</f>
        <v>Wholesale Luxueux</v>
      </c>
      <c r="AR911" s="487" t="s">
        <v>299</v>
      </c>
      <c r="AS911" s="487">
        <f>+VLOOKUP($AJ911,Data_Validation!$A:$E,5,0)</f>
        <v>0</v>
      </c>
      <c r="AT911" s="904" t="str">
        <f t="shared" si="89"/>
        <v>G65201</v>
      </c>
      <c r="AU911" s="488" t="str">
        <f t="shared" si="90"/>
        <v>COUT - WHOLESALE W</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3157</v>
      </c>
      <c r="D912" s="706" t="s">
        <v>3156</v>
      </c>
      <c r="E912" s="706" t="s">
        <v>1143</v>
      </c>
      <c r="F912" s="706" t="s">
        <v>1152</v>
      </c>
      <c r="G912" s="706">
        <v>0</v>
      </c>
      <c r="H912" s="706">
        <v>0</v>
      </c>
      <c r="I912" s="706">
        <v>0</v>
      </c>
      <c r="J912" s="706">
        <v>0</v>
      </c>
      <c r="K912" s="706">
        <v>1473800</v>
      </c>
      <c r="L912" s="706">
        <v>2064800</v>
      </c>
      <c r="M912" s="706">
        <v>2064800</v>
      </c>
      <c r="N912" s="706">
        <v>2064800</v>
      </c>
      <c r="O912" s="706">
        <v>2064800</v>
      </c>
      <c r="P912" s="706">
        <v>0</v>
      </c>
      <c r="Q912" s="706">
        <v>0</v>
      </c>
      <c r="R912" s="706">
        <v>0</v>
      </c>
      <c r="S912" s="706">
        <v>258100</v>
      </c>
      <c r="T912" s="706">
        <v>258100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G65202</v>
      </c>
      <c r="AK912" s="905" t="str">
        <f t="shared" si="87"/>
        <v>VTES- WHOLESALES M</v>
      </c>
      <c r="AL912" s="905">
        <f>IFERROR(INDEX(G912:R912,1,MATCH(Parametres!$B$3,G$1:R$1,0)-1)*IF(OR(F912="L",F912="S",F912="I"),-1,1),"")</f>
        <v>2064800</v>
      </c>
      <c r="AM912" s="905">
        <f t="shared" si="88"/>
        <v>0</v>
      </c>
      <c r="AN912" s="905">
        <f>INDEX(G912:R912,1,MATCH(Parametres!$B$3,G$1:R$1,0))*IF(OR(F912="L",F912="S",F912="I"),-1,1)</f>
        <v>2064800</v>
      </c>
      <c r="AO912" s="487" t="str">
        <f>+VLOOKUP($AJ912,Data_Validation!$A:$D,1,0)</f>
        <v>G65202</v>
      </c>
      <c r="AP912" s="487" t="str">
        <f>+VLOOKUP($AJ912,Data_Validation!$A:$D,3,0)</f>
        <v>Wholesale autres</v>
      </c>
      <c r="AQ912" s="487" t="str">
        <f>+VLOOKUP($AJ912,Data_Validation!$A:$D,4,0)</f>
        <v>Wholesale Luxueux</v>
      </c>
      <c r="AR912" s="487" t="s">
        <v>299</v>
      </c>
      <c r="AS912" s="487">
        <f>+VLOOKUP($AJ912,Data_Validation!$A:$E,5,0)</f>
        <v>0</v>
      </c>
      <c r="AT912" s="904" t="str">
        <f t="shared" si="89"/>
        <v>G65202</v>
      </c>
      <c r="AU912" s="488" t="str">
        <f t="shared" si="90"/>
        <v>VTES- WHOLESALES M</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2816</v>
      </c>
      <c r="D913" s="706" t="s">
        <v>2817</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G65300</v>
      </c>
      <c r="AK913" s="905" t="str">
        <f t="shared" si="87"/>
        <v>RECTIFICATION/STOCK/TRUCK</v>
      </c>
      <c r="AL913" s="905">
        <f>IFERROR(INDEX(G913:R913,1,MATCH(Parametres!$B$3,G$1:R$1,0)-1)*IF(OR(F913="L",F913="S",F913="I"),-1,1),"")</f>
        <v>0</v>
      </c>
      <c r="AM913" s="905">
        <f t="shared" si="88"/>
        <v>0</v>
      </c>
      <c r="AN913" s="905">
        <f>INDEX(G913:R913,1,MATCH(Parametres!$B$3,G$1:R$1,0))*IF(OR(F913="L",F913="S",F913="I"),-1,1)</f>
        <v>0</v>
      </c>
      <c r="AO913" s="487" t="str">
        <f>+VLOOKUP($AJ913,Data_Validation!$A:$D,1,0)</f>
        <v>G65300</v>
      </c>
      <c r="AP913" s="487">
        <f>+VLOOKUP($AJ913,Data_Validation!$A:$D,3,0)</f>
        <v>0</v>
      </c>
      <c r="AQ913" s="487">
        <f>+VLOOKUP($AJ913,Data_Validation!$A:$D,4,0)</f>
        <v>0</v>
      </c>
      <c r="AR913" s="487" t="s">
        <v>299</v>
      </c>
      <c r="AS913" s="487">
        <f>+VLOOKUP($AJ913,Data_Validation!$A:$E,5,0)</f>
        <v>0</v>
      </c>
      <c r="AT913" s="904" t="str">
        <f t="shared" si="89"/>
        <v>G65300</v>
      </c>
      <c r="AU913" s="488" t="str">
        <f t="shared" si="90"/>
        <v>RECTIFICATION/STOCK/TRUCK</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customHeight="1">
      <c r="A914" s="706" t="s">
        <v>1148</v>
      </c>
      <c r="B914" s="706">
        <v>2026</v>
      </c>
      <c r="C914" s="706" t="s">
        <v>2818</v>
      </c>
      <c r="D914" s="706" t="s">
        <v>2819</v>
      </c>
      <c r="E914" s="706" t="s">
        <v>333</v>
      </c>
      <c r="F914" s="706" t="s">
        <v>1152</v>
      </c>
      <c r="G914" s="706">
        <v>18498</v>
      </c>
      <c r="H914" s="706">
        <v>22917.759999999998</v>
      </c>
      <c r="I914" s="706">
        <v>31986.76</v>
      </c>
      <c r="J914" s="706">
        <v>54598.76</v>
      </c>
      <c r="K914" s="706">
        <v>72597.759999999995</v>
      </c>
      <c r="L914" s="706">
        <v>89481.76</v>
      </c>
      <c r="M914" s="706">
        <v>89481.76</v>
      </c>
      <c r="N914" s="706">
        <v>99492.76</v>
      </c>
      <c r="O914" s="706">
        <v>99492.76</v>
      </c>
      <c r="P914" s="706">
        <v>0</v>
      </c>
      <c r="Q914" s="706">
        <v>0</v>
      </c>
      <c r="R914" s="706">
        <v>0</v>
      </c>
      <c r="S914" s="706">
        <v>12436.6</v>
      </c>
      <c r="T914" s="706">
        <v>12436.6</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G65400</v>
      </c>
      <c r="AK914" s="905" t="str">
        <f t="shared" si="87"/>
        <v>COUT-PLAN PROTECTION USAG</v>
      </c>
      <c r="AL914" s="905">
        <f>IFERROR(INDEX(G914:R914,1,MATCH(Parametres!$B$3,G$1:R$1,0)-1)*IF(OR(F914="L",F914="S",F914="I"),-1,1),"")</f>
        <v>89481.76</v>
      </c>
      <c r="AM914" s="905">
        <f t="shared" si="88"/>
        <v>10011</v>
      </c>
      <c r="AN914" s="905">
        <f>INDEX(G914:R914,1,MATCH(Parametres!$B$3,G$1:R$1,0))*IF(OR(F914="L",F914="S",F914="I"),-1,1)</f>
        <v>99492.76</v>
      </c>
      <c r="AO914" s="487" t="str">
        <f>+VLOOKUP($AJ914,Data_Validation!$A:$D,1,0)</f>
        <v>G65400</v>
      </c>
      <c r="AP914" s="487" t="str">
        <f>+VLOOKUP($AJ914,Data_Validation!$A:$D,3,0)</f>
        <v>Véhicules usagés</v>
      </c>
      <c r="AQ914" s="487" t="str">
        <f>+VLOOKUP($AJ914,Data_Validation!$A:$D,4,0)</f>
        <v>Rev. Protections</v>
      </c>
      <c r="AR914" s="487" t="s">
        <v>299</v>
      </c>
      <c r="AS914" s="487">
        <f>+VLOOKUP($AJ914,Data_Validation!$A:$E,5,0)</f>
        <v>0</v>
      </c>
      <c r="AT914" s="904" t="str">
        <f t="shared" si="89"/>
        <v>G65400</v>
      </c>
      <c r="AU914" s="488" t="str">
        <f t="shared" si="90"/>
        <v>COUT-PLAN PROTECTION USAG</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3393</v>
      </c>
      <c r="D915" s="706" t="s">
        <v>3394</v>
      </c>
      <c r="E915" s="706" t="s">
        <v>333</v>
      </c>
      <c r="F915" s="706" t="s">
        <v>1152</v>
      </c>
      <c r="G915" s="706">
        <v>0</v>
      </c>
      <c r="H915" s="706">
        <v>0</v>
      </c>
      <c r="I915" s="706">
        <v>0</v>
      </c>
      <c r="J915" s="706">
        <v>0</v>
      </c>
      <c r="K915" s="706">
        <v>0</v>
      </c>
      <c r="L915" s="706">
        <v>0</v>
      </c>
      <c r="M915" s="706">
        <v>5911</v>
      </c>
      <c r="N915" s="706">
        <v>6168.43</v>
      </c>
      <c r="O915" s="706">
        <v>6168.43</v>
      </c>
      <c r="P915" s="706">
        <v>0</v>
      </c>
      <c r="Q915" s="706">
        <v>0</v>
      </c>
      <c r="R915" s="706">
        <v>0</v>
      </c>
      <c r="S915" s="706">
        <v>771.05</v>
      </c>
      <c r="T915" s="706">
        <v>771.05</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G65401</v>
      </c>
      <c r="AK915" s="905" t="str">
        <f t="shared" si="87"/>
        <v>COUT ANTIROUILLE USAGE</v>
      </c>
      <c r="AL915" s="905">
        <f>IFERROR(INDEX(G915:R915,1,MATCH(Parametres!$B$3,G$1:R$1,0)-1)*IF(OR(F915="L",F915="S",F915="I"),-1,1),"")</f>
        <v>5911</v>
      </c>
      <c r="AM915" s="905">
        <f t="shared" si="88"/>
        <v>257.43000000000029</v>
      </c>
      <c r="AN915" s="905">
        <f>INDEX(G915:R915,1,MATCH(Parametres!$B$3,G$1:R$1,0))*IF(OR(F915="L",F915="S",F915="I"),-1,1)</f>
        <v>6168.43</v>
      </c>
      <c r="AO915" s="487" t="str">
        <f>+VLOOKUP($AJ915,Data_Validation!$A:$D,1,0)</f>
        <v>G65401</v>
      </c>
      <c r="AP915" s="487" t="str">
        <f>+VLOOKUP($AJ915,Data_Validation!$A:$D,3,0)</f>
        <v>Véhicules usagés</v>
      </c>
      <c r="AQ915" s="487" t="str">
        <f>+VLOOKUP($AJ915,Data_Validation!$A:$D,4,0)</f>
        <v>Rev. Protections</v>
      </c>
      <c r="AR915" s="487" t="s">
        <v>299</v>
      </c>
      <c r="AS915" s="487">
        <f>+VLOOKUP($AJ915,Data_Validation!$A:$E,5,0)</f>
        <v>0</v>
      </c>
      <c r="AT915" s="904" t="str">
        <f t="shared" si="89"/>
        <v>G65401</v>
      </c>
      <c r="AU915" s="488" t="str">
        <f t="shared" si="90"/>
        <v>COUT ANTIROUILLE USAGE</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3395</v>
      </c>
      <c r="D916" s="706" t="s">
        <v>3396</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G65403</v>
      </c>
      <c r="AK916" s="905" t="str">
        <f t="shared" si="87"/>
        <v>COUT VITRE-PEINT-TISS- US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G65403</v>
      </c>
      <c r="AU916" s="488" t="str">
        <f t="shared" si="90"/>
        <v>COUT VITRE-PEINT-TISS- US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customHeight="1">
      <c r="A917" s="706" t="s">
        <v>1148</v>
      </c>
      <c r="B917" s="706">
        <v>2026</v>
      </c>
      <c r="C917" s="706" t="s">
        <v>3397</v>
      </c>
      <c r="D917" s="706" t="s">
        <v>3398</v>
      </c>
      <c r="E917" s="706" t="s">
        <v>333</v>
      </c>
      <c r="F917" s="706" t="s">
        <v>1152</v>
      </c>
      <c r="G917" s="706">
        <v>0</v>
      </c>
      <c r="H917" s="706">
        <v>0</v>
      </c>
      <c r="I917" s="706">
        <v>0</v>
      </c>
      <c r="J917" s="706">
        <v>0</v>
      </c>
      <c r="K917" s="706">
        <v>0</v>
      </c>
      <c r="L917" s="706">
        <v>0</v>
      </c>
      <c r="M917" s="706">
        <v>760</v>
      </c>
      <c r="N917" s="706">
        <v>760</v>
      </c>
      <c r="O917" s="706">
        <v>760</v>
      </c>
      <c r="P917" s="706">
        <v>0</v>
      </c>
      <c r="Q917" s="706">
        <v>0</v>
      </c>
      <c r="R917" s="706">
        <v>0</v>
      </c>
      <c r="S917" s="706">
        <v>95</v>
      </c>
      <c r="T917" s="706">
        <v>95</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G65405</v>
      </c>
      <c r="AK917" s="905" t="str">
        <f t="shared" si="87"/>
        <v>COUT ANTIVOL-TAG -OCC</v>
      </c>
      <c r="AL917" s="905">
        <f>IFERROR(INDEX(G917:R917,1,MATCH(Parametres!$B$3,G$1:R$1,0)-1)*IF(OR(F917="L",F917="S",F917="I"),-1,1),"")</f>
        <v>760</v>
      </c>
      <c r="AM917" s="1047">
        <f t="shared" si="88"/>
        <v>0</v>
      </c>
      <c r="AN917" s="905">
        <f>INDEX(G917:R917,1,MATCH(Parametres!$B$3,G$1:R$1,0))*IF(OR(F917="L",F917="S",F917="I"),-1,1)</f>
        <v>760</v>
      </c>
      <c r="AO917" s="487" t="str">
        <f>+VLOOKUP($AJ917,Data_Validation!$A:$D,1,0)</f>
        <v>G65405</v>
      </c>
      <c r="AP917" s="487" t="str">
        <f>+VLOOKUP($AJ917,Data_Validation!$A:$D,3,0)</f>
        <v>Véhicules usagés</v>
      </c>
      <c r="AQ917" s="487" t="str">
        <f>+VLOOKUP($AJ917,Data_Validation!$A:$D,4,0)</f>
        <v>Rev. Protections</v>
      </c>
      <c r="AR917" s="487" t="s">
        <v>299</v>
      </c>
      <c r="AS917" s="487">
        <f>+VLOOKUP($AJ917,Data_Validation!$A:$E,5,0)</f>
        <v>0</v>
      </c>
      <c r="AT917" s="904" t="str">
        <f t="shared" si="89"/>
        <v>G65405</v>
      </c>
      <c r="AU917" s="488" t="str">
        <f t="shared" si="90"/>
        <v>COUT ANTIVOL-TAG -OCC</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2820</v>
      </c>
      <c r="D918" s="706" t="s">
        <v>2821</v>
      </c>
      <c r="E918" s="706" t="s">
        <v>1143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G65500</v>
      </c>
      <c r="AK918" s="905" t="str">
        <f t="shared" si="87"/>
        <v>RETOUR DE LOCATION-COUT</v>
      </c>
      <c r="AL918" s="905">
        <f>IFERROR(INDEX(G918:R918,1,MATCH(Parametres!$B$3,G$1:R$1,0)-1)*IF(OR(F918="L",F918="S",F918="I"),-1,1),"")</f>
        <v>0</v>
      </c>
      <c r="AM918" s="1047">
        <f t="shared" si="88"/>
        <v>0</v>
      </c>
      <c r="AN918" s="905">
        <f>INDEX(G918:R918,1,MATCH(Parametres!$B$3,G$1:R$1,0))*IF(OR(F918="L",F918="S",F918="I"),-1,1)</f>
        <v>0</v>
      </c>
      <c r="AO918" s="487" t="str">
        <f>+VLOOKUP($AJ918,Data_Validation!$A:$D,1,0)</f>
        <v>G65500</v>
      </c>
      <c r="AP918" s="487" t="str">
        <f>+VLOOKUP($AJ918,Data_Validation!$A:$D,3,0)</f>
        <v>Véhicules usagés</v>
      </c>
      <c r="AQ918" s="487" t="str">
        <f>+VLOOKUP($AJ918,Data_Validation!$A:$D,4,0)</f>
        <v>Rev. Protections</v>
      </c>
      <c r="AR918" s="487" t="s">
        <v>299</v>
      </c>
      <c r="AS918" s="487">
        <f>+VLOOKUP($AJ918,Data_Validation!$A:$E,5,0)</f>
        <v>0</v>
      </c>
      <c r="AT918" s="904" t="str">
        <f t="shared" si="89"/>
        <v>G65500</v>
      </c>
      <c r="AU918" s="488" t="str">
        <f t="shared" si="90"/>
        <v>RETOUR DE LOCATION-COUT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2822</v>
      </c>
      <c r="D919" s="706" t="s">
        <v>2823</v>
      </c>
      <c r="E919" s="706" t="s">
        <v>333</v>
      </c>
      <c r="F919" s="706" t="s">
        <v>1152</v>
      </c>
      <c r="G919" s="706">
        <v>1523.9</v>
      </c>
      <c r="H919" s="706">
        <v>1523.9</v>
      </c>
      <c r="I919" s="706">
        <v>2473.8000000000002</v>
      </c>
      <c r="J919" s="706">
        <v>2473.8000000000002</v>
      </c>
      <c r="K919" s="706">
        <v>2473.8000000000002</v>
      </c>
      <c r="L919" s="706">
        <v>2473.8000000000002</v>
      </c>
      <c r="M919" s="706">
        <v>2473.8000000000002</v>
      </c>
      <c r="N919" s="706">
        <v>6127.8</v>
      </c>
      <c r="O919" s="706">
        <v>6127.8</v>
      </c>
      <c r="P919" s="706">
        <v>0</v>
      </c>
      <c r="Q919" s="706">
        <v>0</v>
      </c>
      <c r="R919" s="706">
        <v>0</v>
      </c>
      <c r="S919" s="706">
        <v>765.98</v>
      </c>
      <c r="T919" s="706">
        <v>765.98</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G65600</v>
      </c>
      <c r="AK919" s="905" t="str">
        <f t="shared" si="87"/>
        <v>COUT-REMPLACEMENT USAGES</v>
      </c>
      <c r="AL919" s="905">
        <f>IFERROR(INDEX(G919:R919,1,MATCH(Parametres!$B$3,G$1:R$1,0)-1)*IF(OR(F919="L",F919="S",F919="I"),-1,1),"")</f>
        <v>2473.8000000000002</v>
      </c>
      <c r="AM919" s="1047">
        <f t="shared" si="88"/>
        <v>3654</v>
      </c>
      <c r="AN919" s="905">
        <f>INDEX(G919:R919,1,MATCH(Parametres!$B$3,G$1:R$1,0))*IF(OR(F919="L",F919="S",F919="I"),-1,1)</f>
        <v>6127.8</v>
      </c>
      <c r="AO919" s="487" t="str">
        <f>+VLOOKUP($AJ919,Data_Validation!$A:$D,1,0)</f>
        <v>G65600</v>
      </c>
      <c r="AP919" s="487" t="str">
        <f>+VLOOKUP($AJ919,Data_Validation!$A:$D,3,0)</f>
        <v>Véhicules usagés</v>
      </c>
      <c r="AQ919" s="487" t="str">
        <f>+VLOOKUP($AJ919,Data_Validation!$A:$D,4,0)</f>
        <v>Rev. Protections</v>
      </c>
      <c r="AR919" s="487" t="s">
        <v>299</v>
      </c>
      <c r="AS919" s="487">
        <f>+VLOOKUP($AJ919,Data_Validation!$A:$E,5,0)</f>
        <v>0</v>
      </c>
      <c r="AT919" s="904" t="str">
        <f t="shared" si="89"/>
        <v>G65600</v>
      </c>
      <c r="AU919" s="488" t="str">
        <f t="shared" si="90"/>
        <v>COUT-REMPLACEMENT USAGES</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2824</v>
      </c>
      <c r="D920" s="706" t="s">
        <v>2825</v>
      </c>
      <c r="E920" s="706" t="s">
        <v>1152</v>
      </c>
      <c r="F920" s="706" t="s">
        <v>1152</v>
      </c>
      <c r="G920" s="706">
        <v>0</v>
      </c>
      <c r="H920" s="706">
        <v>11481.43</v>
      </c>
      <c r="I920" s="706">
        <v>11481.43</v>
      </c>
      <c r="J920" s="706">
        <v>11481.43</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G65601</v>
      </c>
      <c r="AK920" s="905" t="str">
        <f t="shared" ref="AK920:AK983" si="93">D920</f>
        <v>COUT VEH U.S.A</v>
      </c>
      <c r="AL920" s="905">
        <f>IFERROR(INDEX(G920:R920,1,MATCH(Parametres!$B$3,G$1:R$1,0)-1)*IF(OR(F920="L",F920="S",F920="I"),-1,1),"")</f>
        <v>0</v>
      </c>
      <c r="AM920" s="905">
        <f t="shared" ref="AM920:AM983" si="94">AN920-AL920</f>
        <v>0</v>
      </c>
      <c r="AN920" s="905">
        <f>INDEX(G920:R920,1,MATCH(Parametres!$B$3,G$1:R$1,0))*IF(OR(F920="L",F920="S",F920="I"),-1,1)</f>
        <v>0</v>
      </c>
      <c r="AO920" s="487" t="str">
        <f>+VLOOKUP($AJ920,Data_Validation!$A:$D,1,0)</f>
        <v>G65601</v>
      </c>
      <c r="AP920" s="487" t="str">
        <f>+VLOOKUP($AJ920,Data_Validation!$A:$D,3,0)</f>
        <v>Wholesale autres</v>
      </c>
      <c r="AQ920" s="487" t="str">
        <f>+VLOOKUP($AJ920,Data_Validation!$A:$D,4,0)</f>
        <v>Wholesale USA</v>
      </c>
      <c r="AR920" s="487" t="s">
        <v>299</v>
      </c>
      <c r="AS920" s="487">
        <f>+VLOOKUP($AJ920,Data_Validation!$A:$E,5,0)</f>
        <v>0</v>
      </c>
      <c r="AT920" s="904" t="str">
        <f t="shared" ref="AT920:AT983" si="95">C920</f>
        <v>G65601</v>
      </c>
      <c r="AU920" s="488" t="str">
        <f t="shared" ref="AU920:AU983" si="96">D920</f>
        <v>COUT VEH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2826</v>
      </c>
      <c r="D921" s="706" t="s">
        <v>2827</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G65602</v>
      </c>
      <c r="AK921" s="905" t="str">
        <f t="shared" si="93"/>
        <v>COUT VENTE USA -AJUSTMENT</v>
      </c>
      <c r="AL921" s="905">
        <f>IFERROR(INDEX(G921:R921,1,MATCH(Parametres!$B$3,G$1:R$1,0)-1)*IF(OR(F921="L",F921="S",F921="I"),-1,1),"")</f>
        <v>0</v>
      </c>
      <c r="AM921" s="905">
        <f t="shared" si="94"/>
        <v>0</v>
      </c>
      <c r="AN921" s="905">
        <f>INDEX(G921:R921,1,MATCH(Parametres!$B$3,G$1:R$1,0))*IF(OR(F921="L",F921="S",F921="I"),-1,1)</f>
        <v>0</v>
      </c>
      <c r="AO921" s="487" t="str">
        <f>+VLOOKUP($AJ921,Data_Validation!$A:$D,1,0)</f>
        <v>G65602</v>
      </c>
      <c r="AP921" s="487" t="str">
        <f>+VLOOKUP($AJ921,Data_Validation!$A:$D,3,0)</f>
        <v>Wholesale autres</v>
      </c>
      <c r="AQ921" s="487" t="str">
        <f>+VLOOKUP($AJ921,Data_Validation!$A:$D,4,0)</f>
        <v>Wholesale USA</v>
      </c>
      <c r="AR921" s="487" t="s">
        <v>299</v>
      </c>
      <c r="AS921" s="487">
        <f>+VLOOKUP($AJ921,Data_Validation!$A:$E,5,0)</f>
        <v>0</v>
      </c>
      <c r="AT921" s="904" t="str">
        <f t="shared" si="95"/>
        <v>G65602</v>
      </c>
      <c r="AU921" s="488" t="str">
        <f t="shared" si="96"/>
        <v>COUT VENTE USA -AJUSTMENT</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2828</v>
      </c>
      <c r="D922" s="706" t="s">
        <v>2829</v>
      </c>
      <c r="E922" s="706" t="s">
        <v>1143</v>
      </c>
      <c r="F922" s="706" t="s">
        <v>1152</v>
      </c>
      <c r="G922" s="706">
        <v>1824174.62</v>
      </c>
      <c r="H922" s="706">
        <v>3633133.52</v>
      </c>
      <c r="I922" s="706">
        <v>7320041.8700000001</v>
      </c>
      <c r="J922" s="706">
        <v>11569668.59</v>
      </c>
      <c r="K922" s="706">
        <v>14808103.08</v>
      </c>
      <c r="L922" s="706">
        <v>17839502.09</v>
      </c>
      <c r="M922" s="706">
        <v>19917424.07</v>
      </c>
      <c r="N922" s="706">
        <v>23522381.239999998</v>
      </c>
      <c r="O922" s="706">
        <v>23988836.690000001</v>
      </c>
      <c r="P922" s="706">
        <v>0</v>
      </c>
      <c r="Q922" s="706">
        <v>0</v>
      </c>
      <c r="R922" s="706">
        <v>0</v>
      </c>
      <c r="S922" s="706">
        <v>2940297.66</v>
      </c>
      <c r="T922" s="706">
        <v>2940297.66</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G65603</v>
      </c>
      <c r="AK922" s="905" t="str">
        <f t="shared" si="93"/>
        <v>COUTANT VENTES USA</v>
      </c>
      <c r="AL922" s="905">
        <f>IFERROR(INDEX(G922:R922,1,MATCH(Parametres!$B$3,G$1:R$1,0)-1)*IF(OR(F922="L",F922="S",F922="I"),-1,1),"")</f>
        <v>19917424.07</v>
      </c>
      <c r="AM922" s="905">
        <f t="shared" si="94"/>
        <v>3604957.1699999981</v>
      </c>
      <c r="AN922" s="905">
        <f>INDEX(G922:R922,1,MATCH(Parametres!$B$3,G$1:R$1,0))*IF(OR(F922="L",F922="S",F922="I"),-1,1)</f>
        <v>23522381.239999998</v>
      </c>
      <c r="AO922" s="487" t="str">
        <f>+VLOOKUP($AJ922,Data_Validation!$A:$D,1,0)</f>
        <v>G65603</v>
      </c>
      <c r="AP922" s="487" t="str">
        <f>+VLOOKUP($AJ922,Data_Validation!$A:$D,3,0)</f>
        <v>Wholesale autres</v>
      </c>
      <c r="AQ922" s="487" t="str">
        <f>+VLOOKUP($AJ922,Data_Validation!$A:$D,4,0)</f>
        <v>Wholesale USA</v>
      </c>
      <c r="AR922" s="487" t="s">
        <v>299</v>
      </c>
      <c r="AS922" s="487">
        <f>+VLOOKUP($AJ922,Data_Validation!$A:$E,5,0)</f>
        <v>0</v>
      </c>
      <c r="AT922" s="904" t="str">
        <f t="shared" si="95"/>
        <v>G65603</v>
      </c>
      <c r="AU922" s="488" t="str">
        <f t="shared" si="96"/>
        <v>COUTANT VENTES USA</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2830</v>
      </c>
      <c r="D923" s="706" t="s">
        <v>2831</v>
      </c>
      <c r="E923" s="706" t="s">
        <v>1143</v>
      </c>
      <c r="F923" s="706" t="s">
        <v>1152</v>
      </c>
      <c r="G923" s="706">
        <v>0</v>
      </c>
      <c r="H923" s="706">
        <v>0</v>
      </c>
      <c r="I923" s="706">
        <v>0</v>
      </c>
      <c r="J923" s="706">
        <v>0</v>
      </c>
      <c r="K923" s="706">
        <v>3688515.75</v>
      </c>
      <c r="L923" s="706">
        <v>5629910.8300000001</v>
      </c>
      <c r="M923" s="706">
        <v>7128148.5800000001</v>
      </c>
      <c r="N923" s="706">
        <v>8932635.0700000003</v>
      </c>
      <c r="O923" s="706">
        <v>9752066.0700000003</v>
      </c>
      <c r="P923" s="706">
        <v>0</v>
      </c>
      <c r="Q923" s="706">
        <v>0</v>
      </c>
      <c r="R923" s="706">
        <v>0</v>
      </c>
      <c r="S923" s="706">
        <v>1116579.3799999999</v>
      </c>
      <c r="T923" s="706">
        <v>1116579.3799999999</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G656031</v>
      </c>
      <c r="AK923" s="905" t="str">
        <f t="shared" si="93"/>
        <v>COUT VENTES INTERCO USA</v>
      </c>
      <c r="AL923" s="905">
        <f>IFERROR(INDEX(G923:R923,1,MATCH(Parametres!$B$3,G$1:R$1,0)-1)*IF(OR(F923="L",F923="S",F923="I"),-1,1),"")</f>
        <v>7128148.5800000001</v>
      </c>
      <c r="AM923" s="905">
        <f t="shared" si="94"/>
        <v>1804486.4900000002</v>
      </c>
      <c r="AN923" s="905">
        <f>INDEX(G923:R923,1,MATCH(Parametres!$B$3,G$1:R$1,0))*IF(OR(F923="L",F923="S",F923="I"),-1,1)</f>
        <v>8932635.0700000003</v>
      </c>
      <c r="AO923" s="487" t="str">
        <f>+VLOOKUP($AJ923,Data_Validation!$A:$D,1,0)</f>
        <v>G656031</v>
      </c>
      <c r="AP923" s="487">
        <f>+VLOOKUP($AJ923,Data_Validation!$A:$D,3,0)</f>
        <v>0</v>
      </c>
      <c r="AQ923" s="487">
        <f>+VLOOKUP($AJ923,Data_Validation!$A:$D,4,0)</f>
        <v>0</v>
      </c>
      <c r="AR923" s="487" t="s">
        <v>299</v>
      </c>
      <c r="AS923" s="487">
        <f>+VLOOKUP($AJ923,Data_Validation!$A:$E,5,0)</f>
        <v>0</v>
      </c>
      <c r="AT923" s="904" t="str">
        <f t="shared" si="95"/>
        <v>G656031</v>
      </c>
      <c r="AU923" s="488" t="str">
        <f t="shared" si="96"/>
        <v>COUT VENTES INTERCO USA</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2832</v>
      </c>
      <c r="D924" s="706" t="s">
        <v>2833</v>
      </c>
      <c r="E924" s="706" t="s">
        <v>1143</v>
      </c>
      <c r="F924" s="706" t="s">
        <v>1152</v>
      </c>
      <c r="G924" s="706">
        <v>0</v>
      </c>
      <c r="H924" s="706">
        <v>0</v>
      </c>
      <c r="I924" s="706">
        <v>0</v>
      </c>
      <c r="J924" s="706">
        <v>0</v>
      </c>
      <c r="K924" s="706">
        <v>7618583.3200000003</v>
      </c>
      <c r="L924" s="706">
        <v>8208159.9699999997</v>
      </c>
      <c r="M924" s="706">
        <v>9019416.5299999993</v>
      </c>
      <c r="N924" s="706">
        <v>9918803.9800000004</v>
      </c>
      <c r="O924" s="706">
        <v>10309682.939999999</v>
      </c>
      <c r="P924" s="706">
        <v>0</v>
      </c>
      <c r="Q924" s="706">
        <v>0</v>
      </c>
      <c r="R924" s="706">
        <v>0</v>
      </c>
      <c r="S924" s="706">
        <v>1239850.5</v>
      </c>
      <c r="T924" s="706">
        <v>1239850.5</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G65605</v>
      </c>
      <c r="AK924" s="905" t="str">
        <f t="shared" si="93"/>
        <v>COUT VENTE WHL CANADA</v>
      </c>
      <c r="AL924" s="905">
        <f>IFERROR(INDEX(G924:R924,1,MATCH(Parametres!$B$3,G$1:R$1,0)-1)*IF(OR(F924="L",F924="S",F924="I"),-1,1),"")</f>
        <v>9019416.5299999993</v>
      </c>
      <c r="AM924" s="905">
        <f t="shared" si="94"/>
        <v>899387.45000000112</v>
      </c>
      <c r="AN924" s="905">
        <f>INDEX(G924:R924,1,MATCH(Parametres!$B$3,G$1:R$1,0))*IF(OR(F924="L",F924="S",F924="I"),-1,1)</f>
        <v>9918803.9800000004</v>
      </c>
      <c r="AO924" s="487" t="str">
        <f>+VLOOKUP($AJ924,Data_Validation!$A:$D,1,0)</f>
        <v>G65605</v>
      </c>
      <c r="AP924" s="487" t="str">
        <f>+VLOOKUP($AJ924,Data_Validation!$A:$D,3,0)</f>
        <v>Wholesale autres</v>
      </c>
      <c r="AQ924" s="487" t="str">
        <f>+VLOOKUP($AJ924,Data_Validation!$A:$D,4,0)</f>
        <v>Wholesale Canada</v>
      </c>
      <c r="AR924" s="487" t="s">
        <v>299</v>
      </c>
      <c r="AS924" s="487">
        <f>+VLOOKUP($AJ924,Data_Validation!$A:$E,5,0)</f>
        <v>0</v>
      </c>
      <c r="AT924" s="904" t="str">
        <f t="shared" si="95"/>
        <v>G65605</v>
      </c>
      <c r="AU924" s="488" t="str">
        <f t="shared" si="96"/>
        <v>COUT VENTE WHL CANADA</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2834</v>
      </c>
      <c r="D925" s="706" t="s">
        <v>2835</v>
      </c>
      <c r="E925" s="706" t="s">
        <v>333</v>
      </c>
      <c r="F925" s="706" t="s">
        <v>1152</v>
      </c>
      <c r="G925" s="706">
        <v>13446.01</v>
      </c>
      <c r="H925" s="706">
        <v>29099.53</v>
      </c>
      <c r="I925" s="706">
        <v>45415.22</v>
      </c>
      <c r="J925" s="706">
        <v>64137.919999999998</v>
      </c>
      <c r="K925" s="706">
        <v>77049</v>
      </c>
      <c r="L925" s="706">
        <v>93388.15</v>
      </c>
      <c r="M925" s="706">
        <v>110506.13</v>
      </c>
      <c r="N925" s="706">
        <v>123975</v>
      </c>
      <c r="O925" s="706">
        <v>133913</v>
      </c>
      <c r="P925" s="706">
        <v>0</v>
      </c>
      <c r="Q925" s="706">
        <v>0</v>
      </c>
      <c r="R925" s="706">
        <v>0</v>
      </c>
      <c r="S925" s="706">
        <v>15496.88</v>
      </c>
      <c r="T925" s="706">
        <v>15496.88</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G66010</v>
      </c>
      <c r="AK925" s="905" t="str">
        <f t="shared" si="93"/>
        <v>COUT CLIENT VOIT CAM LEG.</v>
      </c>
      <c r="AL925" s="905">
        <f>IFERROR(INDEX(G925:R925,1,MATCH(Parametres!$B$3,G$1:R$1,0)-1)*IF(OR(F925="L",F925="S",F925="I"),-1,1),"")</f>
        <v>110506.13</v>
      </c>
      <c r="AM925" s="905">
        <f t="shared" si="94"/>
        <v>13468.869999999995</v>
      </c>
      <c r="AN925" s="905">
        <f>INDEX(G925:R925,1,MATCH(Parametres!$B$3,G$1:R$1,0))*IF(OR(F925="L",F925="S",F925="I"),-1,1)</f>
        <v>123975</v>
      </c>
      <c r="AO925" s="487" t="str">
        <f>+VLOOKUP($AJ925,Data_Validation!$A:$D,1,0)</f>
        <v>G66010</v>
      </c>
      <c r="AP925" s="487" t="str">
        <f>+VLOOKUP($AJ925,Data_Validation!$A:$D,3,0)</f>
        <v>Service</v>
      </c>
      <c r="AQ925" s="487" t="str">
        <f>+VLOOKUP($AJ925,Data_Validation!$A:$D,4,0)</f>
        <v>M/O Client</v>
      </c>
      <c r="AR925" s="487" t="s">
        <v>299</v>
      </c>
      <c r="AS925" s="487">
        <f>+VLOOKUP($AJ925,Data_Validation!$A:$E,5,0)</f>
        <v>0</v>
      </c>
      <c r="AT925" s="904" t="str">
        <f t="shared" si="95"/>
        <v>G66010</v>
      </c>
      <c r="AU925" s="488" t="str">
        <f t="shared" si="96"/>
        <v>COUT CLIENT VOIT CAM LEG.</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3197</v>
      </c>
      <c r="D926" s="706" t="s">
        <v>3198</v>
      </c>
      <c r="E926" s="706" t="s">
        <v>333</v>
      </c>
      <c r="F926" s="706" t="s">
        <v>1152</v>
      </c>
      <c r="G926" s="706">
        <v>0</v>
      </c>
      <c r="H926" s="706">
        <v>0</v>
      </c>
      <c r="I926" s="706">
        <v>0</v>
      </c>
      <c r="J926" s="706">
        <v>0</v>
      </c>
      <c r="K926" s="706">
        <v>0</v>
      </c>
      <c r="L926" s="706">
        <v>3.25</v>
      </c>
      <c r="M926" s="706">
        <v>3.25</v>
      </c>
      <c r="N926" s="706">
        <v>71.05</v>
      </c>
      <c r="O926" s="706">
        <v>71.05</v>
      </c>
      <c r="P926" s="706">
        <v>0</v>
      </c>
      <c r="Q926" s="706">
        <v>0</v>
      </c>
      <c r="R926" s="706">
        <v>0</v>
      </c>
      <c r="S926" s="706">
        <v>8.8800000000000008</v>
      </c>
      <c r="T926" s="706">
        <v>8.8800000000000008</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G66015</v>
      </c>
      <c r="AK926" s="905" t="str">
        <f t="shared" si="93"/>
        <v>COUT ESTHETIQUE CLIENT</v>
      </c>
      <c r="AL926" s="905">
        <f>IFERROR(INDEX(G926:R926,1,MATCH(Parametres!$B$3,G$1:R$1,0)-1)*IF(OR(F926="L",F926="S",F926="I"),-1,1),"")</f>
        <v>3.25</v>
      </c>
      <c r="AM926" s="905">
        <f t="shared" si="94"/>
        <v>67.8</v>
      </c>
      <c r="AN926" s="905">
        <f>INDEX(G926:R926,1,MATCH(Parametres!$B$3,G$1:R$1,0))*IF(OR(F926="L",F926="S",F926="I"),-1,1)</f>
        <v>71.05</v>
      </c>
      <c r="AO926" s="487" t="str">
        <f>+VLOOKUP($AJ926,Data_Validation!$A:$D,1,0)</f>
        <v>G66015</v>
      </c>
      <c r="AP926" s="487" t="str">
        <f>+VLOOKUP($AJ926,Data_Validation!$A:$D,3,0)</f>
        <v>Service</v>
      </c>
      <c r="AQ926" s="487" t="str">
        <f>+VLOOKUP($AJ926,Data_Validation!$A:$D,4,0)</f>
        <v>M/O Client</v>
      </c>
      <c r="AR926" s="487" t="s">
        <v>299</v>
      </c>
      <c r="AS926" s="487">
        <f>+VLOOKUP($AJ926,Data_Validation!$A:$E,5,0)</f>
        <v>0</v>
      </c>
      <c r="AT926" s="904" t="str">
        <f t="shared" si="95"/>
        <v>G66015</v>
      </c>
      <c r="AU926" s="488" t="str">
        <f t="shared" si="96"/>
        <v>COUT ESTHETIQUE CLIENT</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2836</v>
      </c>
      <c r="D927" s="706" t="s">
        <v>2837</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G66020</v>
      </c>
      <c r="AK927" s="905" t="str">
        <f t="shared" si="93"/>
        <v>COUT CON.SER.VOIT CAM LEG</v>
      </c>
      <c r="AL927" s="905">
        <f>IFERROR(INDEX(G927:R927,1,MATCH(Parametres!$B$3,G$1:R$1,0)-1)*IF(OR(F927="L",F927="S",F927="I"),-1,1),"")</f>
        <v>0</v>
      </c>
      <c r="AM927" s="905">
        <f t="shared" si="94"/>
        <v>0</v>
      </c>
      <c r="AN927" s="905">
        <f>INDEX(G927:R927,1,MATCH(Parametres!$B$3,G$1:R$1,0))*IF(OR(F927="L",F927="S",F927="I"),-1,1)</f>
        <v>0</v>
      </c>
      <c r="AO927" s="487" t="str">
        <f>+VLOOKUP($AJ927,Data_Validation!$A:$D,1,0)</f>
        <v>G66020</v>
      </c>
      <c r="AP927" s="487" t="str">
        <f>+VLOOKUP($AJ927,Data_Validation!$A:$D,3,0)</f>
        <v>Service</v>
      </c>
      <c r="AQ927" s="487" t="str">
        <f>+VLOOKUP($AJ927,Data_Validation!$A:$D,4,0)</f>
        <v>M/O Garantie</v>
      </c>
      <c r="AR927" s="487" t="s">
        <v>299</v>
      </c>
      <c r="AS927" s="487">
        <f>+VLOOKUP($AJ927,Data_Validation!$A:$E,5,0)</f>
        <v>0</v>
      </c>
      <c r="AT927" s="904" t="str">
        <f t="shared" si="95"/>
        <v>G66020</v>
      </c>
      <c r="AU927" s="488" t="str">
        <f t="shared" si="96"/>
        <v>COUT CON.SER.VOIT CAM LEG</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customHeight="1">
      <c r="A928" s="706" t="s">
        <v>1148</v>
      </c>
      <c r="B928" s="706">
        <v>2026</v>
      </c>
      <c r="C928" s="706" t="s">
        <v>2838</v>
      </c>
      <c r="D928" s="706" t="s">
        <v>2839</v>
      </c>
      <c r="E928" s="706" t="s">
        <v>333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G66030</v>
      </c>
      <c r="AK928" s="905" t="str">
        <f t="shared" si="93"/>
        <v>COUT-M.D.PLAN PROT.A.AUTO</v>
      </c>
      <c r="AL928" s="905">
        <f>IFERROR(INDEX(G928:R928,1,MATCH(Parametres!$B$3,G$1:R$1,0)-1)*IF(OR(F928="L",F928="S",F928="I"),-1,1),"")</f>
        <v>0</v>
      </c>
      <c r="AM928" s="905">
        <f t="shared" si="94"/>
        <v>0</v>
      </c>
      <c r="AN928" s="905">
        <f>INDEX(G928:R928,1,MATCH(Parametres!$B$3,G$1:R$1,0))*IF(OR(F928="L",F928="S",F928="I"),-1,1)</f>
        <v>0</v>
      </c>
      <c r="AO928" s="487" t="e">
        <f>+VLOOKUP($AJ928,Data_Validation!$A:$D,1,0)</f>
        <v>#N/A</v>
      </c>
      <c r="AP928" s="487" t="e">
        <f>+VLOOKUP($AJ928,Data_Validation!$A:$D,3,0)</f>
        <v>#N/A</v>
      </c>
      <c r="AQ928" s="487" t="e">
        <f>+VLOOKUP($AJ928,Data_Validation!$A:$D,4,0)</f>
        <v>#N/A</v>
      </c>
      <c r="AR928" s="487" t="s">
        <v>299</v>
      </c>
      <c r="AS928" s="487" t="e">
        <f>+VLOOKUP($AJ928,Data_Validation!$A:$E,5,0)</f>
        <v>#N/A</v>
      </c>
      <c r="AT928" s="904" t="str">
        <f t="shared" si="95"/>
        <v>G66030</v>
      </c>
      <c r="AU928" s="488" t="str">
        <f t="shared" si="96"/>
        <v>COUT-M.D.PLAN PROT.A.AUTO</v>
      </c>
      <c r="AV928" s="899">
        <f>IFERROR(INDEX(V928:AG928,1,MATCH(Parametres!$B$3,V$1:AG$1,0)-1)*IF(OR(C928="L",C928="S",C928="I"),-1,1),"")</f>
        <v>0</v>
      </c>
      <c r="AW928" s="899">
        <f t="shared" si="97"/>
        <v>0</v>
      </c>
      <c r="AX928" s="899">
        <f>INDEX(V928:AG928,1,MATCH(Parametres!$B$3,V$1:AG$1,0))*IF(OR(C928="L",C928="S",C928="I"),-1,1)</f>
        <v>0</v>
      </c>
      <c r="AY928" s="487" t="s">
        <v>337</v>
      </c>
      <c r="AZ928" s="487" t="e">
        <f>+VLOOKUP($AJ928,Data_Validation!$A:$E,5,0)</f>
        <v>#N/A</v>
      </c>
    </row>
    <row r="929" spans="1:52" ht="15" customHeight="1">
      <c r="A929" s="706" t="s">
        <v>1148</v>
      </c>
      <c r="B929" s="706">
        <v>2026</v>
      </c>
      <c r="C929" s="706" t="s">
        <v>2840</v>
      </c>
      <c r="D929" s="706" t="s">
        <v>2841</v>
      </c>
      <c r="E929" s="706" t="s">
        <v>333</v>
      </c>
      <c r="F929" s="706" t="s">
        <v>1152</v>
      </c>
      <c r="G929" s="706">
        <v>518.16</v>
      </c>
      <c r="H929" s="706">
        <v>817.18</v>
      </c>
      <c r="I929" s="706">
        <v>937.18</v>
      </c>
      <c r="J929" s="706">
        <v>1459.1</v>
      </c>
      <c r="K929" s="706">
        <v>2870.89</v>
      </c>
      <c r="L929" s="706">
        <v>3656.76</v>
      </c>
      <c r="M929" s="706">
        <v>4083.31</v>
      </c>
      <c r="N929" s="706">
        <v>4505.42</v>
      </c>
      <c r="O929" s="706">
        <v>5039.59</v>
      </c>
      <c r="P929" s="706">
        <v>0</v>
      </c>
      <c r="Q929" s="706">
        <v>0</v>
      </c>
      <c r="R929" s="706">
        <v>0</v>
      </c>
      <c r="S929" s="706">
        <v>563.17999999999995</v>
      </c>
      <c r="T929" s="706">
        <v>563.17999999999995</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G66040</v>
      </c>
      <c r="AK929" s="905" t="str">
        <f t="shared" si="93"/>
        <v>COUT SER RAP.VOIT CAM LEG</v>
      </c>
      <c r="AL929" s="905">
        <f>IFERROR(INDEX(G929:R929,1,MATCH(Parametres!$B$3,G$1:R$1,0)-1)*IF(OR(F929="L",F929="S",F929="I"),-1,1),"")</f>
        <v>4083.31</v>
      </c>
      <c r="AM929" s="905">
        <f t="shared" si="94"/>
        <v>422.11000000000013</v>
      </c>
      <c r="AN929" s="905">
        <f>INDEX(G929:R929,1,MATCH(Parametres!$B$3,G$1:R$1,0))*IF(OR(F929="L",F929="S",F929="I"),-1,1)</f>
        <v>4505.42</v>
      </c>
      <c r="AO929" s="487" t="str">
        <f>+VLOOKUP($AJ929,Data_Validation!$A:$D,1,0)</f>
        <v>G66040</v>
      </c>
      <c r="AP929" s="487" t="str">
        <f>+VLOOKUP($AJ929,Data_Validation!$A:$D,3,0)</f>
        <v>Service</v>
      </c>
      <c r="AQ929" s="487" t="str">
        <f>+VLOOKUP($AJ929,Data_Validation!$A:$D,4,0)</f>
        <v>M/O Client</v>
      </c>
      <c r="AR929" s="487" t="s">
        <v>299</v>
      </c>
      <c r="AS929" s="487">
        <f>+VLOOKUP($AJ929,Data_Validation!$A:$E,5,0)</f>
        <v>0</v>
      </c>
      <c r="AT929" s="904" t="str">
        <f t="shared" si="95"/>
        <v>G66040</v>
      </c>
      <c r="AU929" s="488" t="str">
        <f t="shared" si="96"/>
        <v>COUT SER RAP.VOIT CAM LEG</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customHeight="1">
      <c r="A930" s="706" t="s">
        <v>1148</v>
      </c>
      <c r="B930" s="706">
        <v>2026</v>
      </c>
      <c r="C930" s="706" t="s">
        <v>3399</v>
      </c>
      <c r="D930" s="706" t="s">
        <v>3400</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G66050</v>
      </c>
      <c r="AK930" s="905" t="str">
        <f t="shared" si="93"/>
        <v>COUT M-0 ELECTRIQUE   CLT</v>
      </c>
      <c r="AL930" s="905">
        <f>IFERROR(INDEX(G930:R930,1,MATCH(Parametres!$B$3,G$1:R$1,0)-1)*IF(OR(F930="L",F930="S",F930="I"),-1,1),"")</f>
        <v>0</v>
      </c>
      <c r="AM930" s="905">
        <f t="shared" si="94"/>
        <v>0</v>
      </c>
      <c r="AN930" s="905">
        <f>INDEX(G930:R930,1,MATCH(Parametres!$B$3,G$1:R$1,0))*IF(OR(F930="L",F930="S",F930="I"),-1,1)</f>
        <v>0</v>
      </c>
      <c r="AO930" s="487" t="e">
        <f>+VLOOKUP($AJ930,Data_Validation!$A:$D,1,0)</f>
        <v>#N/A</v>
      </c>
      <c r="AP930" s="487" t="e">
        <f>+VLOOKUP($AJ930,Data_Validation!$A:$D,3,0)</f>
        <v>#N/A</v>
      </c>
      <c r="AQ930" s="487" t="e">
        <f>+VLOOKUP($AJ930,Data_Validation!$A:$D,4,0)</f>
        <v>#N/A</v>
      </c>
      <c r="AR930" s="487" t="s">
        <v>299</v>
      </c>
      <c r="AS930" s="487" t="e">
        <f>+VLOOKUP($AJ930,Data_Validation!$A:$E,5,0)</f>
        <v>#N/A</v>
      </c>
      <c r="AT930" s="904" t="str">
        <f t="shared" si="95"/>
        <v>G66050</v>
      </c>
      <c r="AU930" s="488" t="str">
        <f t="shared" si="96"/>
        <v>COUT M-0 ELECTRIQUE   CLT</v>
      </c>
      <c r="AV930" s="899">
        <f>IFERROR(INDEX(V930:AG930,1,MATCH(Parametres!$B$3,V$1:AG$1,0)-1)*IF(OR(C930="L",C930="S",C930="I"),-1,1),"")</f>
        <v>0</v>
      </c>
      <c r="AW930" s="899">
        <f t="shared" si="97"/>
        <v>0</v>
      </c>
      <c r="AX930" s="899">
        <f>INDEX(V930:AG930,1,MATCH(Parametres!$B$3,V$1:AG$1,0))*IF(OR(C930="L",C930="S",C930="I"),-1,1)</f>
        <v>0</v>
      </c>
      <c r="AY930" s="487" t="s">
        <v>337</v>
      </c>
      <c r="AZ930" s="487" t="e">
        <f>+VLOOKUP($AJ930,Data_Validation!$A:$E,5,0)</f>
        <v>#N/A</v>
      </c>
    </row>
    <row r="931" spans="1:52" ht="15" customHeight="1">
      <c r="A931" s="706" t="s">
        <v>1148</v>
      </c>
      <c r="B931" s="706">
        <v>2026</v>
      </c>
      <c r="C931" s="706" t="s">
        <v>2842</v>
      </c>
      <c r="D931" s="706" t="s">
        <v>3401</v>
      </c>
      <c r="E931" s="706" t="s">
        <v>333</v>
      </c>
      <c r="F931" s="706" t="s">
        <v>1152</v>
      </c>
      <c r="G931" s="706">
        <v>20932.87</v>
      </c>
      <c r="H931" s="706">
        <v>42417.59</v>
      </c>
      <c r="I931" s="706">
        <v>67392.460000000006</v>
      </c>
      <c r="J931" s="706">
        <v>93090.14</v>
      </c>
      <c r="K931" s="706">
        <v>109633.39</v>
      </c>
      <c r="L931" s="706">
        <v>114844.03</v>
      </c>
      <c r="M931" s="706">
        <v>121207.03</v>
      </c>
      <c r="N931" s="706">
        <v>125683.29</v>
      </c>
      <c r="O931" s="706">
        <v>130506.78</v>
      </c>
      <c r="P931" s="706">
        <v>0</v>
      </c>
      <c r="Q931" s="706">
        <v>0</v>
      </c>
      <c r="R931" s="706">
        <v>0</v>
      </c>
      <c r="S931" s="706">
        <v>15710.41</v>
      </c>
      <c r="T931" s="706">
        <v>15710.41</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G66110</v>
      </c>
      <c r="AK931" s="905" t="str">
        <f t="shared" si="93"/>
        <v>COUT M-D'O CLIENT S.A.A.Q</v>
      </c>
      <c r="AL931" s="905">
        <f>IFERROR(INDEX(G931:R931,1,MATCH(Parametres!$B$3,G$1:R$1,0)-1)*IF(OR(F931="L",F931="S",F931="I"),-1,1),"")</f>
        <v>121207.03</v>
      </c>
      <c r="AM931" s="905">
        <f t="shared" si="94"/>
        <v>4476.2599999999948</v>
      </c>
      <c r="AN931" s="905">
        <f>INDEX(G931:R931,1,MATCH(Parametres!$B$3,G$1:R$1,0))*IF(OR(F931="L",F931="S",F931="I"),-1,1)</f>
        <v>125683.29</v>
      </c>
      <c r="AO931" s="487" t="str">
        <f>+VLOOKUP($AJ931,Data_Validation!$A:$D,1,0)</f>
        <v>G66110</v>
      </c>
      <c r="AP931" s="487" t="str">
        <f>+VLOOKUP($AJ931,Data_Validation!$A:$D,3,0)</f>
        <v>SAAQ</v>
      </c>
      <c r="AQ931" s="487" t="str">
        <f>+VLOOKUP($AJ931,Data_Validation!$A:$D,4,0)</f>
        <v>Inspection - Véhicules Légers</v>
      </c>
      <c r="AR931" s="487" t="s">
        <v>299</v>
      </c>
      <c r="AS931" s="487">
        <f>+VLOOKUP($AJ931,Data_Validation!$A:$E,5,0)</f>
        <v>0</v>
      </c>
      <c r="AT931" s="904" t="str">
        <f t="shared" si="95"/>
        <v>G66110</v>
      </c>
      <c r="AU931" s="488" t="str">
        <f t="shared" si="96"/>
        <v>COUT M-D'O CLIENT S.A.A.Q</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3402</v>
      </c>
      <c r="D932" s="706" t="s">
        <v>3403</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G66111</v>
      </c>
      <c r="AK932" s="905" t="str">
        <f t="shared" si="93"/>
        <v>COUT M-O CLIENT FLOTTES</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G66111</v>
      </c>
      <c r="AU932" s="488" t="str">
        <f t="shared" si="96"/>
        <v>COUT M-O CLIENT FLOTTES</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customHeight="1">
      <c r="A933" s="706" t="s">
        <v>1148</v>
      </c>
      <c r="B933" s="706">
        <v>2026</v>
      </c>
      <c r="C933" s="706" t="s">
        <v>2844</v>
      </c>
      <c r="D933" s="706" t="s">
        <v>2845</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G66120</v>
      </c>
      <c r="AK933" s="905" t="str">
        <f t="shared" si="93"/>
        <v>COUT CLAIM CAMIONS MOYEN</v>
      </c>
      <c r="AL933" s="905">
        <f>IFERROR(INDEX(G933:R933,1,MATCH(Parametres!$B$3,G$1:R$1,0)-1)*IF(OR(F933="L",F933="S",F933="I"),-1,1),"")</f>
        <v>0</v>
      </c>
      <c r="AM933" s="905">
        <f t="shared" si="94"/>
        <v>0</v>
      </c>
      <c r="AN933" s="905">
        <f>INDEX(G933:R933,1,MATCH(Parametres!$B$3,G$1:R$1,0))*IF(OR(F933="L",F933="S",F933="I"),-1,1)</f>
        <v>0</v>
      </c>
      <c r="AO933" s="487" t="str">
        <f>+VLOOKUP($AJ933,Data_Validation!$A:$D,1,0)</f>
        <v>G66120</v>
      </c>
      <c r="AP933" s="487" t="str">
        <f>+VLOOKUP($AJ933,Data_Validation!$A:$D,3,0)</f>
        <v>SAAQ</v>
      </c>
      <c r="AQ933" s="487" t="str">
        <f>+VLOOKUP($AJ933,Data_Validation!$A:$D,4,0)</f>
        <v>Inspection - Véhicules Interne</v>
      </c>
      <c r="AR933" s="487" t="s">
        <v>299</v>
      </c>
      <c r="AS933" s="487">
        <f>+VLOOKUP($AJ933,Data_Validation!$A:$E,5,0)</f>
        <v>0</v>
      </c>
      <c r="AT933" s="904" t="str">
        <f t="shared" si="95"/>
        <v>G66120</v>
      </c>
      <c r="AU933" s="488" t="str">
        <f t="shared" si="96"/>
        <v>COUT CLAIM CAMIONS MOYEN</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2846</v>
      </c>
      <c r="D934" s="706" t="s">
        <v>2847</v>
      </c>
      <c r="E934" s="706" t="s">
        <v>333</v>
      </c>
      <c r="F934" s="706" t="s">
        <v>1152</v>
      </c>
      <c r="G934" s="706">
        <v>0</v>
      </c>
      <c r="H934" s="706">
        <v>0</v>
      </c>
      <c r="I934" s="706">
        <v>0</v>
      </c>
      <c r="J934" s="706">
        <v>0</v>
      </c>
      <c r="K934" s="706">
        <v>6127.11</v>
      </c>
      <c r="L934" s="706">
        <v>23905.25</v>
      </c>
      <c r="M934" s="706">
        <v>42839.58</v>
      </c>
      <c r="N934" s="706">
        <v>58299.6</v>
      </c>
      <c r="O934" s="706">
        <v>69244.600000000006</v>
      </c>
      <c r="P934" s="706">
        <v>0</v>
      </c>
      <c r="Q934" s="706">
        <v>0</v>
      </c>
      <c r="R934" s="706">
        <v>0</v>
      </c>
      <c r="S934" s="706">
        <v>7287.45</v>
      </c>
      <c r="T934" s="706">
        <v>7287.45</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G66140</v>
      </c>
      <c r="AK934" s="905" t="str">
        <f t="shared" si="93"/>
        <v>COUT SER RAP.CAMION MOYEN</v>
      </c>
      <c r="AL934" s="905">
        <f>IFERROR(INDEX(G934:R934,1,MATCH(Parametres!$B$3,G$1:R$1,0)-1)*IF(OR(F934="L",F934="S",F934="I"),-1,1),"")</f>
        <v>42839.58</v>
      </c>
      <c r="AM934" s="905">
        <f t="shared" si="94"/>
        <v>15460.019999999997</v>
      </c>
      <c r="AN934" s="905">
        <f>INDEX(G934:R934,1,MATCH(Parametres!$B$3,G$1:R$1,0))*IF(OR(F934="L",F934="S",F934="I"),-1,1)</f>
        <v>58299.6</v>
      </c>
      <c r="AO934" s="487" t="str">
        <f>+VLOOKUP($AJ934,Data_Validation!$A:$D,1,0)</f>
        <v>G66140</v>
      </c>
      <c r="AP934" s="487" t="str">
        <f>+VLOOKUP($AJ934,Data_Validation!$A:$D,3,0)</f>
        <v>SAAQ</v>
      </c>
      <c r="AQ934" s="487" t="str">
        <f>+VLOOKUP($AJ934,Data_Validation!$A:$D,4,0)</f>
        <v>Inspection - Véhicules Lourds</v>
      </c>
      <c r="AR934" s="487" t="s">
        <v>299</v>
      </c>
      <c r="AS934" s="487">
        <f>+VLOOKUP($AJ934,Data_Validation!$A:$E,5,0)</f>
        <v>0</v>
      </c>
      <c r="AT934" s="904" t="str">
        <f t="shared" si="95"/>
        <v>G66140</v>
      </c>
      <c r="AU934" s="488" t="str">
        <f t="shared" si="96"/>
        <v>COUT SER RAP.CAMION MOYEN</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3404</v>
      </c>
      <c r="D935" s="706" t="s">
        <v>3405</v>
      </c>
      <c r="E935" s="706" t="s">
        <v>333</v>
      </c>
      <c r="F935" s="706" t="s">
        <v>1152</v>
      </c>
      <c r="G935" s="706">
        <v>0</v>
      </c>
      <c r="H935" s="706">
        <v>0</v>
      </c>
      <c r="I935" s="706">
        <v>0</v>
      </c>
      <c r="J935" s="706">
        <v>0</v>
      </c>
      <c r="K935" s="706">
        <v>0</v>
      </c>
      <c r="L935" s="706">
        <v>0</v>
      </c>
      <c r="M935" s="706">
        <v>0</v>
      </c>
      <c r="N935" s="706">
        <v>0</v>
      </c>
      <c r="O935" s="706">
        <v>0</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G66150</v>
      </c>
      <c r="AK935" s="905" t="str">
        <f t="shared" si="93"/>
        <v>COUT M-O ELECTIQUE FLOTTE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G66150</v>
      </c>
      <c r="AU935" s="488" t="str">
        <f t="shared" si="96"/>
        <v>COUT M-O ELECTIQUE FLOTTE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customHeight="1">
      <c r="A936" s="706" t="s">
        <v>1148</v>
      </c>
      <c r="B936" s="706">
        <v>2026</v>
      </c>
      <c r="C936" s="706" t="s">
        <v>2848</v>
      </c>
      <c r="D936" s="706" t="s">
        <v>2849</v>
      </c>
      <c r="E936" s="706" t="s">
        <v>333</v>
      </c>
      <c r="F936" s="706" t="s">
        <v>1152</v>
      </c>
      <c r="G936" s="706">
        <v>14191.43</v>
      </c>
      <c r="H936" s="706">
        <v>29244.7</v>
      </c>
      <c r="I936" s="706">
        <v>50520.5</v>
      </c>
      <c r="J936" s="706">
        <v>67066.95</v>
      </c>
      <c r="K936" s="706">
        <v>77880.88</v>
      </c>
      <c r="L936" s="706">
        <v>105207.05</v>
      </c>
      <c r="M936" s="706">
        <v>120217.07</v>
      </c>
      <c r="N936" s="706">
        <v>141418.87</v>
      </c>
      <c r="O936" s="706">
        <v>148276.22</v>
      </c>
      <c r="P936" s="706">
        <v>0</v>
      </c>
      <c r="Q936" s="706">
        <v>0</v>
      </c>
      <c r="R936" s="706">
        <v>0</v>
      </c>
      <c r="S936" s="706">
        <v>17677.36</v>
      </c>
      <c r="T936" s="706">
        <v>17677.36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G66200</v>
      </c>
      <c r="AK936" s="905" t="str">
        <f t="shared" si="93"/>
        <v>COUT-M.D. GARANTIE</v>
      </c>
      <c r="AL936" s="905">
        <f>IFERROR(INDEX(G936:R936,1,MATCH(Parametres!$B$3,G$1:R$1,0)-1)*IF(OR(F936="L",F936="S",F936="I"),-1,1),"")</f>
        <v>120217.07</v>
      </c>
      <c r="AM936" s="905">
        <f t="shared" si="94"/>
        <v>21201.799999999988</v>
      </c>
      <c r="AN936" s="905">
        <f>INDEX(G936:R936,1,MATCH(Parametres!$B$3,G$1:R$1,0))*IF(OR(F936="L",F936="S",F936="I"),-1,1)</f>
        <v>141418.87</v>
      </c>
      <c r="AO936" s="487" t="str">
        <f>+VLOOKUP($AJ936,Data_Validation!$A:$D,1,0)</f>
        <v>G66200</v>
      </c>
      <c r="AP936" s="487" t="str">
        <f>+VLOOKUP($AJ936,Data_Validation!$A:$D,3,0)</f>
        <v>Service</v>
      </c>
      <c r="AQ936" s="487" t="str">
        <f>+VLOOKUP($AJ936,Data_Validation!$A:$D,4,0)</f>
        <v>M/O Garantie</v>
      </c>
      <c r="AR936" s="487" t="s">
        <v>299</v>
      </c>
      <c r="AS936" s="487">
        <f>+VLOOKUP($AJ936,Data_Validation!$A:$E,5,0)</f>
        <v>0</v>
      </c>
      <c r="AT936" s="904" t="str">
        <f t="shared" si="95"/>
        <v>G66200</v>
      </c>
      <c r="AU936" s="488" t="str">
        <f t="shared" si="96"/>
        <v>COUT-M.D. GARANTIE</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2850</v>
      </c>
      <c r="D937" s="706" t="s">
        <v>2851</v>
      </c>
      <c r="E937" s="706" t="s">
        <v>333</v>
      </c>
      <c r="F937" s="706" t="s">
        <v>1152</v>
      </c>
      <c r="G937" s="706">
        <v>13086.47</v>
      </c>
      <c r="H937" s="706">
        <v>27742.02</v>
      </c>
      <c r="I937" s="706">
        <v>45448.12</v>
      </c>
      <c r="J937" s="706">
        <v>63048.71</v>
      </c>
      <c r="K937" s="706">
        <v>78622.61</v>
      </c>
      <c r="L937" s="706">
        <v>96597.02</v>
      </c>
      <c r="M937" s="706">
        <v>110820.52</v>
      </c>
      <c r="N937" s="706">
        <v>123704.96000000001</v>
      </c>
      <c r="O937" s="706">
        <v>133100.65</v>
      </c>
      <c r="P937" s="706">
        <v>0</v>
      </c>
      <c r="Q937" s="706">
        <v>0</v>
      </c>
      <c r="R937" s="706">
        <v>0</v>
      </c>
      <c r="S937" s="706">
        <v>15463.12</v>
      </c>
      <c r="T937" s="706">
        <v>15463.12</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G66300</v>
      </c>
      <c r="AK937" s="905" t="str">
        <f t="shared" si="93"/>
        <v>COUT-M.D. INTERNE</v>
      </c>
      <c r="AL937" s="905">
        <f>IFERROR(INDEX(G937:R937,1,MATCH(Parametres!$B$3,G$1:R$1,0)-1)*IF(OR(F937="L",F937="S",F937="I"),-1,1),"")</f>
        <v>110820.52</v>
      </c>
      <c r="AM937" s="905">
        <f t="shared" si="94"/>
        <v>12884.440000000002</v>
      </c>
      <c r="AN937" s="905">
        <f>INDEX(G937:R937,1,MATCH(Parametres!$B$3,G$1:R$1,0))*IF(OR(F937="L",F937="S",F937="I"),-1,1)</f>
        <v>123704.96000000001</v>
      </c>
      <c r="AO937" s="487" t="str">
        <f>+VLOOKUP($AJ937,Data_Validation!$A:$D,1,0)</f>
        <v>G66300</v>
      </c>
      <c r="AP937" s="487" t="str">
        <f>+VLOOKUP($AJ937,Data_Validation!$A:$D,3,0)</f>
        <v>Service</v>
      </c>
      <c r="AQ937" s="487" t="str">
        <f>+VLOOKUP($AJ937,Data_Validation!$A:$D,4,0)</f>
        <v>M/O Interne</v>
      </c>
      <c r="AR937" s="487" t="s">
        <v>299</v>
      </c>
      <c r="AS937" s="487">
        <f>+VLOOKUP($AJ937,Data_Validation!$A:$E,5,0)</f>
        <v>0</v>
      </c>
      <c r="AT937" s="904" t="str">
        <f t="shared" si="95"/>
        <v>G66300</v>
      </c>
      <c r="AU937" s="488" t="str">
        <f t="shared" si="96"/>
        <v>COUT-M.D. INTERNE</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3406</v>
      </c>
      <c r="D938" s="706" t="s">
        <v>3407</v>
      </c>
      <c r="E938" s="706" t="s">
        <v>333</v>
      </c>
      <c r="F938" s="706" t="s">
        <v>1152</v>
      </c>
      <c r="G938" s="706">
        <v>0</v>
      </c>
      <c r="H938" s="706">
        <v>0</v>
      </c>
      <c r="I938" s="706">
        <v>0</v>
      </c>
      <c r="J938" s="706">
        <v>0</v>
      </c>
      <c r="K938" s="706">
        <v>0</v>
      </c>
      <c r="L938" s="706">
        <v>0</v>
      </c>
      <c r="M938" s="706">
        <v>0</v>
      </c>
      <c r="N938" s="706">
        <v>0</v>
      </c>
      <c r="O938" s="706">
        <v>1334.23</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G66305</v>
      </c>
      <c r="AK938" s="905" t="str">
        <f t="shared" si="93"/>
        <v>COUT ESTHETIQUE INTERNE</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G66305</v>
      </c>
      <c r="AU938" s="488" t="str">
        <f t="shared" si="96"/>
        <v>COUT ESTHETIQUE INTERNE</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customHeight="1">
      <c r="A939" s="706" t="s">
        <v>1148</v>
      </c>
      <c r="B939" s="706">
        <v>2026</v>
      </c>
      <c r="C939" s="706" t="s">
        <v>2852</v>
      </c>
      <c r="D939" s="706" t="s">
        <v>2853</v>
      </c>
      <c r="E939" s="706" t="s">
        <v>333</v>
      </c>
      <c r="F939" s="706" t="s">
        <v>1152</v>
      </c>
      <c r="G939" s="706">
        <v>481.76</v>
      </c>
      <c r="H939" s="706">
        <v>594.08000000000004</v>
      </c>
      <c r="I939" s="706">
        <v>664.46</v>
      </c>
      <c r="J939" s="706">
        <v>705.77</v>
      </c>
      <c r="K939" s="706">
        <v>830.53</v>
      </c>
      <c r="L939" s="706">
        <v>830.53</v>
      </c>
      <c r="M939" s="706">
        <v>1007.73</v>
      </c>
      <c r="N939" s="706">
        <v>1220.79</v>
      </c>
      <c r="O939" s="706">
        <v>1220.79</v>
      </c>
      <c r="P939" s="706">
        <v>0</v>
      </c>
      <c r="Q939" s="706">
        <v>0</v>
      </c>
      <c r="R939" s="706">
        <v>0</v>
      </c>
      <c r="S939" s="706">
        <v>152.6</v>
      </c>
      <c r="T939" s="706">
        <v>152.6</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G66320</v>
      </c>
      <c r="AK939" s="905" t="str">
        <f t="shared" si="93"/>
        <v>COUT-MO INTERNE CAM MOYEN</v>
      </c>
      <c r="AL939" s="905">
        <f>IFERROR(INDEX(G939:R939,1,MATCH(Parametres!$B$3,G$1:R$1,0)-1)*IF(OR(F939="L",F939="S",F939="I"),-1,1),"")</f>
        <v>1007.73</v>
      </c>
      <c r="AM939" s="905">
        <f t="shared" si="94"/>
        <v>213.05999999999995</v>
      </c>
      <c r="AN939" s="905">
        <f>INDEX(G939:R939,1,MATCH(Parametres!$B$3,G$1:R$1,0))*IF(OR(F939="L",F939="S",F939="I"),-1,1)</f>
        <v>1220.79</v>
      </c>
      <c r="AO939" s="487" t="str">
        <f>+VLOOKUP($AJ939,Data_Validation!$A:$D,1,0)</f>
        <v>G66320</v>
      </c>
      <c r="AP939" s="487" t="str">
        <f>+VLOOKUP($AJ939,Data_Validation!$A:$D,3,0)</f>
        <v>SAAQ</v>
      </c>
      <c r="AQ939" s="487" t="str">
        <f>+VLOOKUP($AJ939,Data_Validation!$A:$D,4,0)</f>
        <v>Inspection - Véhicules Interne</v>
      </c>
      <c r="AR939" s="487" t="s">
        <v>299</v>
      </c>
      <c r="AS939" s="487">
        <f>+VLOOKUP($AJ939,Data_Validation!$A:$E,5,0)</f>
        <v>0</v>
      </c>
      <c r="AT939" s="904" t="str">
        <f t="shared" si="95"/>
        <v>G66320</v>
      </c>
      <c r="AU939" s="488" t="str">
        <f t="shared" si="96"/>
        <v>COUT-MO INTERNE CAM MOYEN</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2854</v>
      </c>
      <c r="D940" s="706" t="s">
        <v>2855</v>
      </c>
      <c r="E940" s="706" t="s">
        <v>333</v>
      </c>
      <c r="F940" s="706" t="s">
        <v>1152</v>
      </c>
      <c r="G940" s="706">
        <v>3682.15</v>
      </c>
      <c r="H940" s="706">
        <v>8560.8700000000008</v>
      </c>
      <c r="I940" s="706">
        <v>15429.87</v>
      </c>
      <c r="J940" s="706">
        <v>19268.740000000002</v>
      </c>
      <c r="K940" s="706">
        <v>22629.65</v>
      </c>
      <c r="L940" s="706">
        <v>26304.38</v>
      </c>
      <c r="M940" s="706">
        <v>28991.73</v>
      </c>
      <c r="N940" s="706">
        <v>32830.910000000003</v>
      </c>
      <c r="O940" s="706">
        <v>34508.839999999997</v>
      </c>
      <c r="P940" s="706">
        <v>0</v>
      </c>
      <c r="Q940" s="706">
        <v>0</v>
      </c>
      <c r="R940" s="706">
        <v>0</v>
      </c>
      <c r="S940" s="706">
        <v>4103.8599999999997</v>
      </c>
      <c r="T940" s="706">
        <v>4103.8599999999997</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G66400</v>
      </c>
      <c r="AK940" s="905" t="str">
        <f t="shared" si="93"/>
        <v>COUT-M.D. INSP.</v>
      </c>
      <c r="AL940" s="905">
        <f>IFERROR(INDEX(G940:R940,1,MATCH(Parametres!$B$3,G$1:R$1,0)-1)*IF(OR(F940="L",F940="S",F940="I"),-1,1),"")</f>
        <v>28991.73</v>
      </c>
      <c r="AM940" s="905">
        <f t="shared" si="94"/>
        <v>3839.1800000000039</v>
      </c>
      <c r="AN940" s="905">
        <f>INDEX(G940:R940,1,MATCH(Parametres!$B$3,G$1:R$1,0))*IF(OR(F940="L",F940="S",F940="I"),-1,1)</f>
        <v>32830.910000000003</v>
      </c>
      <c r="AO940" s="487" t="str">
        <f>+VLOOKUP($AJ940,Data_Validation!$A:$D,1,0)</f>
        <v>G66400</v>
      </c>
      <c r="AP940" s="487" t="str">
        <f>+VLOOKUP($AJ940,Data_Validation!$A:$D,3,0)</f>
        <v>Service</v>
      </c>
      <c r="AQ940" s="487" t="str">
        <f>+VLOOKUP($AJ940,Data_Validation!$A:$D,4,0)</f>
        <v>M/O Interne</v>
      </c>
      <c r="AR940" s="487" t="s">
        <v>299</v>
      </c>
      <c r="AS940" s="487">
        <f>+VLOOKUP($AJ940,Data_Validation!$A:$E,5,0)</f>
        <v>0</v>
      </c>
      <c r="AT940" s="904" t="str">
        <f t="shared" si="95"/>
        <v>G66400</v>
      </c>
      <c r="AU940" s="488" t="str">
        <f t="shared" si="96"/>
        <v>COUT-M.D. INSP.</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2856</v>
      </c>
      <c r="D941" s="706" t="s">
        <v>2857</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G66420</v>
      </c>
      <c r="AK941" s="905" t="str">
        <f t="shared" si="93"/>
        <v>COUT-MO INSPECTON PDI</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G66420</v>
      </c>
      <c r="AU941" s="488" t="str">
        <f t="shared" si="96"/>
        <v>COUT-MO INSPECTON PDI</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customHeight="1">
      <c r="A942" s="706" t="s">
        <v>1148</v>
      </c>
      <c r="B942" s="706">
        <v>2026</v>
      </c>
      <c r="C942" s="706" t="s">
        <v>2858</v>
      </c>
      <c r="D942" s="706" t="s">
        <v>2859</v>
      </c>
      <c r="E942" s="706" t="s">
        <v>333</v>
      </c>
      <c r="F942" s="706" t="s">
        <v>1152</v>
      </c>
      <c r="G942" s="706">
        <v>-249.81</v>
      </c>
      <c r="H942" s="706">
        <v>-2752.08</v>
      </c>
      <c r="I942" s="706">
        <v>969.52</v>
      </c>
      <c r="J942" s="706">
        <v>9033.7199999999993</v>
      </c>
      <c r="K942" s="706">
        <v>8671.65</v>
      </c>
      <c r="L942" s="706">
        <v>9332.99</v>
      </c>
      <c r="M942" s="706">
        <v>9492.4</v>
      </c>
      <c r="N942" s="706">
        <v>14887.04</v>
      </c>
      <c r="O942" s="706">
        <v>14887.04</v>
      </c>
      <c r="P942" s="706">
        <v>0</v>
      </c>
      <c r="Q942" s="706">
        <v>0</v>
      </c>
      <c r="R942" s="706">
        <v>0</v>
      </c>
      <c r="S942" s="706">
        <v>1860.88</v>
      </c>
      <c r="T942" s="706">
        <v>1860.88</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G66500</v>
      </c>
      <c r="AK942" s="905" t="str">
        <f t="shared" si="93"/>
        <v>TEMPS PERDU SERVICE</v>
      </c>
      <c r="AL942" s="905">
        <f>IFERROR(INDEX(G942:R942,1,MATCH(Parametres!$B$3,G$1:R$1,0)-1)*IF(OR(F942="L",F942="S",F942="I"),-1,1),"")</f>
        <v>9492.4</v>
      </c>
      <c r="AM942" s="905">
        <f t="shared" si="94"/>
        <v>5394.6400000000012</v>
      </c>
      <c r="AN942" s="905">
        <f>INDEX(G942:R942,1,MATCH(Parametres!$B$3,G$1:R$1,0))*IF(OR(F942="L",F942="S",F942="I"),-1,1)</f>
        <v>14887.04</v>
      </c>
      <c r="AO942" s="487" t="str">
        <f>+VLOOKUP($AJ942,Data_Validation!$A:$D,1,0)</f>
        <v>G66500</v>
      </c>
      <c r="AP942" s="487" t="str">
        <f>+VLOOKUP($AJ942,Data_Validation!$A:$D,3,0)</f>
        <v>Service</v>
      </c>
      <c r="AQ942" s="487" t="str">
        <f>+VLOOKUP($AJ942,Data_Validation!$A:$D,4,0)</f>
        <v>Ajustement M/O</v>
      </c>
      <c r="AR942" s="487" t="s">
        <v>299</v>
      </c>
      <c r="AS942" s="487">
        <f>+VLOOKUP($AJ942,Data_Validation!$A:$E,5,0)</f>
        <v>0</v>
      </c>
      <c r="AT942" s="904" t="str">
        <f t="shared" si="95"/>
        <v>G66500</v>
      </c>
      <c r="AU942" s="488" t="str">
        <f t="shared" si="96"/>
        <v>TEMPS PERDU SERVICE</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3408</v>
      </c>
      <c r="D943" s="706" t="s">
        <v>3409</v>
      </c>
      <c r="E943" s="706" t="s">
        <v>333</v>
      </c>
      <c r="F943" s="706" t="s">
        <v>1152</v>
      </c>
      <c r="G943" s="706">
        <v>0</v>
      </c>
      <c r="H943" s="706">
        <v>0</v>
      </c>
      <c r="I943" s="706">
        <v>0</v>
      </c>
      <c r="J943" s="706">
        <v>0</v>
      </c>
      <c r="K943" s="706">
        <v>0</v>
      </c>
      <c r="L943" s="706">
        <v>0</v>
      </c>
      <c r="M943" s="706">
        <v>1417.39</v>
      </c>
      <c r="N943" s="706">
        <v>3440.71</v>
      </c>
      <c r="O943" s="706">
        <v>3440.71</v>
      </c>
      <c r="P943" s="706">
        <v>0</v>
      </c>
      <c r="Q943" s="706">
        <v>0</v>
      </c>
      <c r="R943" s="706">
        <v>0</v>
      </c>
      <c r="S943" s="706">
        <v>430.09</v>
      </c>
      <c r="T943" s="706">
        <v>430.09</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G66507</v>
      </c>
      <c r="AK943" s="905" t="str">
        <f t="shared" si="93"/>
        <v>TEMPS PERDU SAAQ</v>
      </c>
      <c r="AL943" s="905">
        <f>IFERROR(INDEX(G943:R943,1,MATCH(Parametres!$B$3,G$1:R$1,0)-1)*IF(OR(F943="L",F943="S",F943="I"),-1,1),"")</f>
        <v>1417.39</v>
      </c>
      <c r="AM943" s="905">
        <f t="shared" si="94"/>
        <v>2023.32</v>
      </c>
      <c r="AN943" s="905">
        <f>INDEX(G943:R943,1,MATCH(Parametres!$B$3,G$1:R$1,0))*IF(OR(F943="L",F943="S",F943="I"),-1,1)</f>
        <v>3440.71</v>
      </c>
      <c r="AO943" s="487" t="str">
        <f>+VLOOKUP($AJ943,Data_Validation!$A:$D,1,0)</f>
        <v>G66507</v>
      </c>
      <c r="AP943" s="487" t="str">
        <f>+VLOOKUP($AJ943,Data_Validation!$A:$D,3,0)</f>
        <v>SAAQ</v>
      </c>
      <c r="AQ943" s="487" t="str">
        <f>+VLOOKUP($AJ943,Data_Validation!$A:$D,4,0)</f>
        <v>Ajustement M/O SAAQ</v>
      </c>
      <c r="AR943" s="487" t="s">
        <v>299</v>
      </c>
      <c r="AS943" s="487">
        <f>+VLOOKUP($AJ943,Data_Validation!$A:$E,5,0)</f>
        <v>0</v>
      </c>
      <c r="AT943" s="904" t="str">
        <f t="shared" si="95"/>
        <v>G66507</v>
      </c>
      <c r="AU943" s="488" t="str">
        <f t="shared" si="96"/>
        <v>TEMPS PERDU SAAQ</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2860</v>
      </c>
      <c r="D944" s="706" t="s">
        <v>2861</v>
      </c>
      <c r="E944" s="706" t="s">
        <v>333</v>
      </c>
      <c r="F944" s="706" t="s">
        <v>1152</v>
      </c>
      <c r="G944" s="706">
        <v>3932.85</v>
      </c>
      <c r="H944" s="706">
        <v>16561.11</v>
      </c>
      <c r="I944" s="706">
        <v>30890.93</v>
      </c>
      <c r="J944" s="706">
        <v>38338.85</v>
      </c>
      <c r="K944" s="706">
        <v>49545.99</v>
      </c>
      <c r="L944" s="706">
        <v>58561.65</v>
      </c>
      <c r="M944" s="706">
        <v>65919.59</v>
      </c>
      <c r="N944" s="706">
        <v>79048</v>
      </c>
      <c r="O944" s="706">
        <v>84500.46</v>
      </c>
      <c r="P944" s="706">
        <v>0</v>
      </c>
      <c r="Q944" s="706">
        <v>0</v>
      </c>
      <c r="R944" s="706">
        <v>0</v>
      </c>
      <c r="S944" s="706">
        <v>9881</v>
      </c>
      <c r="T944" s="706">
        <v>9881</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G66600</v>
      </c>
      <c r="AK944" s="905" t="str">
        <f t="shared" si="93"/>
        <v>COUT-SOUS-CONTRATS SERV.</v>
      </c>
      <c r="AL944" s="905">
        <f>IFERROR(INDEX(G944:R944,1,MATCH(Parametres!$B$3,G$1:R$1,0)-1)*IF(OR(F944="L",F944="S",F944="I"),-1,1),"")</f>
        <v>65919.59</v>
      </c>
      <c r="AM944" s="905">
        <f t="shared" si="94"/>
        <v>13128.410000000003</v>
      </c>
      <c r="AN944" s="905">
        <f>INDEX(G944:R944,1,MATCH(Parametres!$B$3,G$1:R$1,0))*IF(OR(F944="L",F944="S",F944="I"),-1,1)</f>
        <v>79048</v>
      </c>
      <c r="AO944" s="487" t="str">
        <f>+VLOOKUP($AJ944,Data_Validation!$A:$D,1,0)</f>
        <v>G66600</v>
      </c>
      <c r="AP944" s="487" t="str">
        <f>+VLOOKUP($AJ944,Data_Validation!$A:$D,3,0)</f>
        <v>Service</v>
      </c>
      <c r="AQ944" s="487" t="str">
        <f>+VLOOKUP($AJ944,Data_Validation!$A:$D,4,0)</f>
        <v>Sous-traitement</v>
      </c>
      <c r="AR944" s="487" t="s">
        <v>299</v>
      </c>
      <c r="AS944" s="487">
        <f>+VLOOKUP($AJ944,Data_Validation!$A:$E,5,0)</f>
        <v>0</v>
      </c>
      <c r="AT944" s="904" t="str">
        <f t="shared" si="95"/>
        <v>G66600</v>
      </c>
      <c r="AU944" s="488" t="str">
        <f t="shared" si="96"/>
        <v>COUT-SOUS-CONTRATS SERV.</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2862</v>
      </c>
      <c r="D945" s="706" t="s">
        <v>3135</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G66610</v>
      </c>
      <c r="AK945" s="905" t="str">
        <f t="shared" si="93"/>
        <v>COUT-SOUS-TRAITANCE SAAQ</v>
      </c>
      <c r="AL945" s="905">
        <f>IFERROR(INDEX(G945:R945,1,MATCH(Parametres!$B$3,G$1:R$1,0)-1)*IF(OR(F945="L",F945="S",F945="I"),-1,1),"")</f>
        <v>0</v>
      </c>
      <c r="AM945" s="905">
        <f t="shared" si="94"/>
        <v>0</v>
      </c>
      <c r="AN945" s="905">
        <f>INDEX(G945:R945,1,MATCH(Parametres!$B$3,G$1:R$1,0))*IF(OR(F945="L",F945="S",F945="I"),-1,1)</f>
        <v>0</v>
      </c>
      <c r="AO945" s="487" t="str">
        <f>+VLOOKUP($AJ945,Data_Validation!$A:$D,1,0)</f>
        <v>G66610</v>
      </c>
      <c r="AP945" s="487" t="str">
        <f>+VLOOKUP($AJ945,Data_Validation!$A:$D,3,0)</f>
        <v>SAAQ</v>
      </c>
      <c r="AQ945" s="487" t="str">
        <f>+VLOOKUP($AJ945,Data_Validation!$A:$D,4,0)</f>
        <v>Inspection - Véhicules Interne</v>
      </c>
      <c r="AR945" s="487" t="s">
        <v>299</v>
      </c>
      <c r="AS945" s="487">
        <f>+VLOOKUP($AJ945,Data_Validation!$A:$E,5,0)</f>
        <v>0</v>
      </c>
      <c r="AT945" s="904" t="str">
        <f t="shared" si="95"/>
        <v>G66610</v>
      </c>
      <c r="AU945" s="488" t="str">
        <f t="shared" si="96"/>
        <v>COUT-SOUS-TRAITANCE SAAQ</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2864</v>
      </c>
      <c r="D946" s="706" t="s">
        <v>2865</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G66611</v>
      </c>
      <c r="AK946" s="905" t="str">
        <f t="shared" si="93"/>
        <v>SUPER VITRE COUT SUBLET</v>
      </c>
      <c r="AL946" s="905">
        <f>IFERROR(INDEX(G946:R946,1,MATCH(Parametres!$B$3,G$1:R$1,0)-1)*IF(OR(F946="L",F946="S",F946="I"),-1,1),"")</f>
        <v>0</v>
      </c>
      <c r="AM946" s="905">
        <f t="shared" si="94"/>
        <v>0</v>
      </c>
      <c r="AN946" s="905">
        <f>INDEX(G946:R946,1,MATCH(Parametres!$B$3,G$1:R$1,0))*IF(OR(F946="L",F946="S",F946="I"),-1,1)</f>
        <v>0</v>
      </c>
      <c r="AO946" s="487" t="e">
        <f>+VLOOKUP($AJ946,Data_Validation!$A:$D,1,0)</f>
        <v>#N/A</v>
      </c>
      <c r="AP946" s="487" t="e">
        <f>+VLOOKUP($AJ946,Data_Validation!$A:$D,3,0)</f>
        <v>#N/A</v>
      </c>
      <c r="AQ946" s="487" t="e">
        <f>+VLOOKUP($AJ946,Data_Validation!$A:$D,4,0)</f>
        <v>#N/A</v>
      </c>
      <c r="AR946" s="487" t="s">
        <v>299</v>
      </c>
      <c r="AS946" s="487" t="e">
        <f>+VLOOKUP($AJ946,Data_Validation!$A:$E,5,0)</f>
        <v>#N/A</v>
      </c>
      <c r="AT946" s="904" t="str">
        <f t="shared" si="95"/>
        <v>G66611</v>
      </c>
      <c r="AU946" s="488" t="str">
        <f t="shared" si="96"/>
        <v>SUPER VITRE COUT SUBLET</v>
      </c>
      <c r="AV946" s="899">
        <f>IFERROR(INDEX(V946:AG946,1,MATCH(Parametres!$B$3,V$1:AG$1,0)-1)*IF(OR(C946="L",C946="S",C946="I"),-1,1),"")</f>
        <v>0</v>
      </c>
      <c r="AW946" s="899">
        <f t="shared" si="97"/>
        <v>0</v>
      </c>
      <c r="AX946" s="899">
        <f>INDEX(V946:AG946,1,MATCH(Parametres!$B$3,V$1:AG$1,0))*IF(OR(C946="L",C946="S",C946="I"),-1,1)</f>
        <v>0</v>
      </c>
      <c r="AY946" s="487" t="s">
        <v>337</v>
      </c>
      <c r="AZ946" s="487" t="e">
        <f>+VLOOKUP($AJ946,Data_Validation!$A:$E,5,0)</f>
        <v>#N/A</v>
      </c>
    </row>
    <row r="947" spans="1:52" ht="15" customHeight="1">
      <c r="A947" s="706" t="s">
        <v>1148</v>
      </c>
      <c r="B947" s="706">
        <v>2026</v>
      </c>
      <c r="C947" s="706" t="s">
        <v>2866</v>
      </c>
      <c r="D947" s="706" t="s">
        <v>2867</v>
      </c>
      <c r="E947" s="706" t="s">
        <v>333</v>
      </c>
      <c r="F947" s="706" t="s">
        <v>1152</v>
      </c>
      <c r="G947" s="706">
        <v>40254.79</v>
      </c>
      <c r="H947" s="706">
        <v>81742.2</v>
      </c>
      <c r="I947" s="706">
        <v>111760.52</v>
      </c>
      <c r="J947" s="706">
        <v>138837.42000000001</v>
      </c>
      <c r="K947" s="706">
        <v>157385.72</v>
      </c>
      <c r="L947" s="706">
        <v>196092.61</v>
      </c>
      <c r="M947" s="706">
        <v>230262.99</v>
      </c>
      <c r="N947" s="706">
        <v>264285.86</v>
      </c>
      <c r="O947" s="706">
        <v>293940.40000000002</v>
      </c>
      <c r="P947" s="706">
        <v>0</v>
      </c>
      <c r="Q947" s="706">
        <v>0</v>
      </c>
      <c r="R947" s="706">
        <v>0</v>
      </c>
      <c r="S947" s="706">
        <v>33035.730000000003</v>
      </c>
      <c r="T947" s="706">
        <v>33035.730000000003</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G66710</v>
      </c>
      <c r="AK947" s="905" t="str">
        <f t="shared" si="93"/>
        <v>COUT P&amp;A SERV.CLIENT AUTO</v>
      </c>
      <c r="AL947" s="905">
        <f>IFERROR(INDEX(G947:R947,1,MATCH(Parametres!$B$3,G$1:R$1,0)-1)*IF(OR(F947="L",F947="S",F947="I"),-1,1),"")</f>
        <v>230262.99</v>
      </c>
      <c r="AM947" s="905">
        <f t="shared" si="94"/>
        <v>34022.869999999995</v>
      </c>
      <c r="AN947" s="905">
        <f>INDEX(G947:R947,1,MATCH(Parametres!$B$3,G$1:R$1,0))*IF(OR(F947="L",F947="S",F947="I"),-1,1)</f>
        <v>264285.86</v>
      </c>
      <c r="AO947" s="487" t="str">
        <f>+VLOOKUP($AJ947,Data_Validation!$A:$D,1,0)</f>
        <v>G66710</v>
      </c>
      <c r="AP947" s="487" t="str">
        <f>+VLOOKUP($AJ947,Data_Validation!$A:$D,3,0)</f>
        <v>Pièces</v>
      </c>
      <c r="AQ947" s="487" t="str">
        <f>+VLOOKUP($AJ947,Data_Validation!$A:$D,4,0)</f>
        <v>Pièces Ro Clients</v>
      </c>
      <c r="AR947" s="487" t="s">
        <v>299</v>
      </c>
      <c r="AS947" s="487">
        <f>+VLOOKUP($AJ947,Data_Validation!$A:$E,5,0)</f>
        <v>0</v>
      </c>
      <c r="AT947" s="904" t="str">
        <f t="shared" si="95"/>
        <v>G66710</v>
      </c>
      <c r="AU947" s="488" t="str">
        <f t="shared" si="96"/>
        <v>COUT P&amp;A SERV.CLIENT AUTO</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2868</v>
      </c>
      <c r="D948" s="706" t="s">
        <v>2869</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G66720</v>
      </c>
      <c r="AK948" s="905" t="str">
        <f t="shared" si="93"/>
        <v>COUT-P&amp;A SERV.PL.PROT.AUT</v>
      </c>
      <c r="AL948" s="905">
        <f>IFERROR(INDEX(G948:R948,1,MATCH(Parametres!$B$3,G$1:R$1,0)-1)*IF(OR(F948="L",F948="S",F948="I"),-1,1),"")</f>
        <v>0</v>
      </c>
      <c r="AM948" s="905">
        <f t="shared" si="94"/>
        <v>0</v>
      </c>
      <c r="AN948" s="905">
        <f>INDEX(G948:R948,1,MATCH(Parametres!$B$3,G$1:R$1,0))*IF(OR(F948="L",F948="S",F948="I"),-1,1)</f>
        <v>0</v>
      </c>
      <c r="AO948" s="487" t="str">
        <f>+VLOOKUP($AJ948,Data_Validation!$A:$D,1,0)</f>
        <v>G66720</v>
      </c>
      <c r="AP948" s="487" t="str">
        <f>+VLOOKUP($AJ948,Data_Validation!$A:$D,3,0)</f>
        <v>Pièces</v>
      </c>
      <c r="AQ948" s="487" t="str">
        <f>+VLOOKUP($AJ948,Data_Validation!$A:$D,4,0)</f>
        <v>Pièces Ro Clients</v>
      </c>
      <c r="AR948" s="487" t="s">
        <v>299</v>
      </c>
      <c r="AS948" s="487">
        <f>+VLOOKUP($AJ948,Data_Validation!$A:$E,5,0)</f>
        <v>0</v>
      </c>
      <c r="AT948" s="904" t="str">
        <f t="shared" si="95"/>
        <v>G66720</v>
      </c>
      <c r="AU948" s="488" t="str">
        <f t="shared" si="96"/>
        <v>COUT-P&amp;A SERV.PL.PROT.AUT</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2870</v>
      </c>
      <c r="D949" s="706" t="s">
        <v>2871</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G66740</v>
      </c>
      <c r="AK949" s="905" t="str">
        <f t="shared" si="93"/>
        <v>P&amp;A GOOD VOIT CAM LEGER</v>
      </c>
      <c r="AL949" s="905">
        <f>IFERROR(INDEX(G949:R949,1,MATCH(Parametres!$B$3,G$1:R$1,0)-1)*IF(OR(F949="L",F949="S",F949="I"),-1,1),"")</f>
        <v>0</v>
      </c>
      <c r="AM949" s="905">
        <f t="shared" si="94"/>
        <v>0</v>
      </c>
      <c r="AN949" s="905">
        <f>INDEX(G949:R949,1,MATCH(Parametres!$B$3,G$1:R$1,0))*IF(OR(F949="L",F949="S",F949="I"),-1,1)</f>
        <v>0</v>
      </c>
      <c r="AO949" s="487" t="str">
        <f>+VLOOKUP($AJ949,Data_Validation!$A:$D,1,0)</f>
        <v>G66740</v>
      </c>
      <c r="AP949" s="487">
        <f>+VLOOKUP($AJ949,Data_Validation!$A:$D,3,0)</f>
        <v>0</v>
      </c>
      <c r="AQ949" s="487">
        <f>+VLOOKUP($AJ949,Data_Validation!$A:$D,4,0)</f>
        <v>0</v>
      </c>
      <c r="AR949" s="487" t="s">
        <v>299</v>
      </c>
      <c r="AS949" s="487">
        <f>+VLOOKUP($AJ949,Data_Validation!$A:$E,5,0)</f>
        <v>0</v>
      </c>
      <c r="AT949" s="904" t="str">
        <f t="shared" si="95"/>
        <v>G66740</v>
      </c>
      <c r="AU949" s="488" t="str">
        <f t="shared" si="96"/>
        <v>P&amp;A GOOD VOIT CAM LEGER</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customHeight="1">
      <c r="A950" s="706" t="s">
        <v>1148</v>
      </c>
      <c r="B950" s="706">
        <v>2026</v>
      </c>
      <c r="C950" s="706" t="s">
        <v>2872</v>
      </c>
      <c r="D950" s="706" t="s">
        <v>2873</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G66800</v>
      </c>
      <c r="AK950" s="905" t="str">
        <f t="shared" si="93"/>
        <v>COUT-VOIT.OCC.EN GROS-DET</v>
      </c>
      <c r="AL950" s="905">
        <f>IFERROR(INDEX(G950:R950,1,MATCH(Parametres!$B$3,G$1:R$1,0)-1)*IF(OR(F950="L",F950="S",F950="I"),-1,1),"")</f>
        <v>0</v>
      </c>
      <c r="AM950" s="905">
        <f t="shared" si="94"/>
        <v>0</v>
      </c>
      <c r="AN950" s="905">
        <f>INDEX(G950:R950,1,MATCH(Parametres!$B$3,G$1:R$1,0))*IF(OR(F950="L",F950="S",F950="I"),-1,1)</f>
        <v>0</v>
      </c>
      <c r="AO950" s="487" t="str">
        <f>+VLOOKUP($AJ950,Data_Validation!$A:$D,1,0)</f>
        <v>G66800</v>
      </c>
      <c r="AP950" s="487">
        <f>+VLOOKUP($AJ950,Data_Validation!$A:$D,3,0)</f>
        <v>0</v>
      </c>
      <c r="AQ950" s="487">
        <f>+VLOOKUP($AJ950,Data_Validation!$A:$D,4,0)</f>
        <v>0</v>
      </c>
      <c r="AR950" s="487" t="s">
        <v>299</v>
      </c>
      <c r="AS950" s="487">
        <f>+VLOOKUP($AJ950,Data_Validation!$A:$E,5,0)</f>
        <v>0</v>
      </c>
      <c r="AT950" s="904" t="str">
        <f t="shared" si="95"/>
        <v>G66800</v>
      </c>
      <c r="AU950" s="488" t="str">
        <f t="shared" si="96"/>
        <v>COUT-VOIT.OCC.EN GROS-DET</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2874</v>
      </c>
      <c r="D951" s="706" t="s">
        <v>2875</v>
      </c>
      <c r="E951" s="706" t="s">
        <v>333</v>
      </c>
      <c r="F951" s="706" t="s">
        <v>1152</v>
      </c>
      <c r="G951" s="706">
        <v>0</v>
      </c>
      <c r="H951" s="706">
        <v>0</v>
      </c>
      <c r="I951" s="706">
        <v>0</v>
      </c>
      <c r="J951" s="706">
        <v>0</v>
      </c>
      <c r="K951" s="706">
        <v>0</v>
      </c>
      <c r="L951" s="706">
        <v>0</v>
      </c>
      <c r="M951" s="706">
        <v>0</v>
      </c>
      <c r="N951" s="706">
        <v>0</v>
      </c>
      <c r="O951" s="706">
        <v>0</v>
      </c>
      <c r="P951" s="706">
        <v>0</v>
      </c>
      <c r="Q951" s="706">
        <v>0</v>
      </c>
      <c r="R951" s="706">
        <v>0</v>
      </c>
      <c r="S951" s="706">
        <v>0</v>
      </c>
      <c r="T951" s="706">
        <v>0</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G66810</v>
      </c>
      <c r="AK951" s="905" t="str">
        <f t="shared" si="93"/>
        <v>COUT-P&amp;A SERV.CLIENT CAM.</v>
      </c>
      <c r="AL951" s="905">
        <f>IFERROR(INDEX(G951:R951,1,MATCH(Parametres!$B$3,G$1:R$1,0)-1)*IF(OR(F951="L",F951="S",F951="I"),-1,1),"")</f>
        <v>0</v>
      </c>
      <c r="AM951" s="905">
        <f t="shared" si="94"/>
        <v>0</v>
      </c>
      <c r="AN951" s="905">
        <f>INDEX(G951:R951,1,MATCH(Parametres!$B$3,G$1:R$1,0))*IF(OR(F951="L",F951="S",F951="I"),-1,1)</f>
        <v>0</v>
      </c>
      <c r="AO951" s="487" t="str">
        <f>+VLOOKUP($AJ951,Data_Validation!$A:$D,1,0)</f>
        <v>G66810</v>
      </c>
      <c r="AP951" s="487">
        <f>+VLOOKUP($AJ951,Data_Validation!$A:$D,3,0)</f>
        <v>0</v>
      </c>
      <c r="AQ951" s="487">
        <f>+VLOOKUP($AJ951,Data_Validation!$A:$D,4,0)</f>
        <v>0</v>
      </c>
      <c r="AR951" s="487" t="s">
        <v>299</v>
      </c>
      <c r="AS951" s="487">
        <f>+VLOOKUP($AJ951,Data_Validation!$A:$E,5,0)</f>
        <v>0</v>
      </c>
      <c r="AT951" s="904" t="str">
        <f t="shared" si="95"/>
        <v>G66810</v>
      </c>
      <c r="AU951" s="488" t="str">
        <f t="shared" si="96"/>
        <v>COUT-P&amp;A SERV.CLIENT CAM.</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2876</v>
      </c>
      <c r="D952" s="706" t="s">
        <v>2877</v>
      </c>
      <c r="E952" s="706" t="s">
        <v>333</v>
      </c>
      <c r="F952" s="706" t="s">
        <v>1152</v>
      </c>
      <c r="G952" s="706">
        <v>0</v>
      </c>
      <c r="H952" s="706">
        <v>0</v>
      </c>
      <c r="I952" s="706">
        <v>0</v>
      </c>
      <c r="J952" s="706">
        <v>0</v>
      </c>
      <c r="K952" s="706">
        <v>0</v>
      </c>
      <c r="L952" s="706">
        <v>0</v>
      </c>
      <c r="M952" s="706">
        <v>0</v>
      </c>
      <c r="N952" s="706">
        <v>0</v>
      </c>
      <c r="O952" s="706">
        <v>0</v>
      </c>
      <c r="P952" s="706">
        <v>0</v>
      </c>
      <c r="Q952" s="706">
        <v>0</v>
      </c>
      <c r="R952" s="706">
        <v>0</v>
      </c>
      <c r="S952" s="706">
        <v>0</v>
      </c>
      <c r="T952" s="706">
        <v>0</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G66840</v>
      </c>
      <c r="AK952" s="905" t="str">
        <f t="shared" si="93"/>
        <v>COUT-P&amp;A GOODWRENCH CAM.</v>
      </c>
      <c r="AL952" s="905">
        <f>IFERROR(INDEX(G952:R952,1,MATCH(Parametres!$B$3,G$1:R$1,0)-1)*IF(OR(F952="L",F952="S",F952="I"),-1,1),"")</f>
        <v>0</v>
      </c>
      <c r="AM952" s="905">
        <f t="shared" si="94"/>
        <v>0</v>
      </c>
      <c r="AN952" s="905">
        <f>INDEX(G952:R952,1,MATCH(Parametres!$B$3,G$1:R$1,0))*IF(OR(F952="L",F952="S",F952="I"),-1,1)</f>
        <v>0</v>
      </c>
      <c r="AO952" s="487" t="e">
        <f>+VLOOKUP($AJ952,Data_Validation!$A:$D,1,0)</f>
        <v>#N/A</v>
      </c>
      <c r="AP952" s="487" t="e">
        <f>+VLOOKUP($AJ952,Data_Validation!$A:$D,3,0)</f>
        <v>#N/A</v>
      </c>
      <c r="AQ952" s="487" t="e">
        <f>+VLOOKUP($AJ952,Data_Validation!$A:$D,4,0)</f>
        <v>#N/A</v>
      </c>
      <c r="AR952" s="487" t="s">
        <v>299</v>
      </c>
      <c r="AS952" s="487" t="e">
        <f>+VLOOKUP($AJ952,Data_Validation!$A:$E,5,0)</f>
        <v>#N/A</v>
      </c>
      <c r="AT952" s="904" t="str">
        <f t="shared" si="95"/>
        <v>G66840</v>
      </c>
      <c r="AU952" s="488" t="str">
        <f t="shared" si="96"/>
        <v>COUT-P&amp;A GOODWRENCH CAM.</v>
      </c>
      <c r="AV952" s="899">
        <f>IFERROR(INDEX(V952:AG952,1,MATCH(Parametres!$B$3,V$1:AG$1,0)-1)*IF(OR(C952="L",C952="S",C952="I"),-1,1),"")</f>
        <v>0</v>
      </c>
      <c r="AW952" s="899">
        <f t="shared" si="97"/>
        <v>0</v>
      </c>
      <c r="AX952" s="899">
        <f>INDEX(V952:AG952,1,MATCH(Parametres!$B$3,V$1:AG$1,0))*IF(OR(C952="L",C952="S",C952="I"),-1,1)</f>
        <v>0</v>
      </c>
      <c r="AY952" s="487" t="s">
        <v>337</v>
      </c>
      <c r="AZ952" s="487" t="e">
        <f>+VLOOKUP($AJ952,Data_Validation!$A:$E,5,0)</f>
        <v>#N/A</v>
      </c>
    </row>
    <row r="953" spans="1:52" ht="15" customHeight="1">
      <c r="A953" s="706" t="s">
        <v>1148</v>
      </c>
      <c r="B953" s="706">
        <v>2026</v>
      </c>
      <c r="C953" s="706" t="s">
        <v>2878</v>
      </c>
      <c r="D953" s="706" t="s">
        <v>2879</v>
      </c>
      <c r="E953" s="706" t="s">
        <v>333</v>
      </c>
      <c r="F953" s="706" t="s">
        <v>1152</v>
      </c>
      <c r="G953" s="706">
        <v>1697.93</v>
      </c>
      <c r="H953" s="706">
        <v>605.92999999999995</v>
      </c>
      <c r="I953" s="706">
        <v>2814.77</v>
      </c>
      <c r="J953" s="706">
        <v>6319.61</v>
      </c>
      <c r="K953" s="706">
        <v>8033.4</v>
      </c>
      <c r="L953" s="706">
        <v>10284.52</v>
      </c>
      <c r="M953" s="706">
        <v>10284.52</v>
      </c>
      <c r="N953" s="706">
        <v>14481.63</v>
      </c>
      <c r="O953" s="706">
        <v>14481.63</v>
      </c>
      <c r="P953" s="706">
        <v>0</v>
      </c>
      <c r="Q953" s="706">
        <v>0</v>
      </c>
      <c r="R953" s="706">
        <v>0</v>
      </c>
      <c r="S953" s="706">
        <v>1810.2</v>
      </c>
      <c r="T953" s="706">
        <v>1810.2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G66900</v>
      </c>
      <c r="AK953" s="905" t="str">
        <f t="shared" si="93"/>
        <v>COUT MATERIEL ATELIER</v>
      </c>
      <c r="AL953" s="905">
        <f>IFERROR(INDEX(G953:R953,1,MATCH(Parametres!$B$3,G$1:R$1,0)-1)*IF(OR(F953="L",F953="S",F953="I"),-1,1),"")</f>
        <v>10284.52</v>
      </c>
      <c r="AM953" s="905">
        <f t="shared" si="94"/>
        <v>4197.1099999999988</v>
      </c>
      <c r="AN953" s="905">
        <f>INDEX(G953:R953,1,MATCH(Parametres!$B$3,G$1:R$1,0))*IF(OR(F953="L",F953="S",F953="I"),-1,1)</f>
        <v>14481.63</v>
      </c>
      <c r="AO953" s="487" t="str">
        <f>+VLOOKUP($AJ953,Data_Validation!$A:$D,1,0)</f>
        <v>G66900</v>
      </c>
      <c r="AP953" s="487" t="str">
        <f>+VLOOKUP($AJ953,Data_Validation!$A:$D,3,0)</f>
        <v>Service</v>
      </c>
      <c r="AQ953" s="487" t="str">
        <f>+VLOOKUP($AJ953,Data_Validation!$A:$D,4,0)</f>
        <v>Sous-traitement</v>
      </c>
      <c r="AR953" s="487" t="s">
        <v>299</v>
      </c>
      <c r="AS953" s="487">
        <f>+VLOOKUP($AJ953,Data_Validation!$A:$E,5,0)</f>
        <v>0</v>
      </c>
      <c r="AT953" s="904" t="str">
        <f t="shared" si="95"/>
        <v>G66900</v>
      </c>
      <c r="AU953" s="488" t="str">
        <f t="shared" si="96"/>
        <v>COUT MATERIEL ATELIER</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2880</v>
      </c>
      <c r="D954" s="706" t="s">
        <v>2881</v>
      </c>
      <c r="E954" s="706" t="s">
        <v>333</v>
      </c>
      <c r="F954" s="706" t="s">
        <v>1152</v>
      </c>
      <c r="G954" s="706">
        <v>0</v>
      </c>
      <c r="H954" s="706">
        <v>0</v>
      </c>
      <c r="I954" s="706">
        <v>0</v>
      </c>
      <c r="J954" s="706">
        <v>0</v>
      </c>
      <c r="K954" s="706">
        <v>1266.73</v>
      </c>
      <c r="L954" s="706">
        <v>3705.88</v>
      </c>
      <c r="M954" s="706">
        <v>5244.04</v>
      </c>
      <c r="N954" s="706">
        <v>5880.21</v>
      </c>
      <c r="O954" s="706">
        <v>7246.96</v>
      </c>
      <c r="P954" s="706">
        <v>0</v>
      </c>
      <c r="Q954" s="706">
        <v>0</v>
      </c>
      <c r="R954" s="706">
        <v>0</v>
      </c>
      <c r="S954" s="706">
        <v>735.03</v>
      </c>
      <c r="T954" s="706">
        <v>735.03</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G67000</v>
      </c>
      <c r="AK954" s="905" t="str">
        <f t="shared" si="93"/>
        <v>COUT-M.D. PEINTURE</v>
      </c>
      <c r="AL954" s="905">
        <f>IFERROR(INDEX(G954:R954,1,MATCH(Parametres!$B$3,G$1:R$1,0)-1)*IF(OR(F954="L",F954="S",F954="I"),-1,1),"")</f>
        <v>5244.04</v>
      </c>
      <c r="AM954" s="905">
        <f t="shared" si="94"/>
        <v>636.17000000000007</v>
      </c>
      <c r="AN954" s="905">
        <f>INDEX(G954:R954,1,MATCH(Parametres!$B$3,G$1:R$1,0))*IF(OR(F954="L",F954="S",F954="I"),-1,1)</f>
        <v>5880.21</v>
      </c>
      <c r="AO954" s="487" t="str">
        <f>+VLOOKUP($AJ954,Data_Validation!$A:$D,1,0)</f>
        <v>G67000</v>
      </c>
      <c r="AP954" s="487" t="str">
        <f>+VLOOKUP($AJ954,Data_Validation!$A:$D,3,0)</f>
        <v>Carrosserie</v>
      </c>
      <c r="AQ954" s="487" t="str">
        <f>+VLOOKUP($AJ954,Data_Validation!$A:$D,4,0)</f>
        <v>Carrosserie Clients</v>
      </c>
      <c r="AR954" s="487" t="s">
        <v>299</v>
      </c>
      <c r="AS954" s="487">
        <f>+VLOOKUP($AJ954,Data_Validation!$A:$E,5,0)</f>
        <v>0</v>
      </c>
      <c r="AT954" s="904" t="str">
        <f t="shared" si="95"/>
        <v>G67000</v>
      </c>
      <c r="AU954" s="488" t="str">
        <f t="shared" si="96"/>
        <v>COUT-M.D. PEINTURE</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2882</v>
      </c>
      <c r="D955" s="706" t="s">
        <v>2883</v>
      </c>
      <c r="E955" s="706" t="s">
        <v>333</v>
      </c>
      <c r="F955" s="706" t="s">
        <v>1152</v>
      </c>
      <c r="G955" s="706">
        <v>0</v>
      </c>
      <c r="H955" s="706">
        <v>0</v>
      </c>
      <c r="I955" s="706">
        <v>0</v>
      </c>
      <c r="J955" s="706">
        <v>0</v>
      </c>
      <c r="K955" s="706">
        <v>2406.7600000000002</v>
      </c>
      <c r="L955" s="706">
        <v>4008.48</v>
      </c>
      <c r="M955" s="706">
        <v>6256.59</v>
      </c>
      <c r="N955" s="706">
        <v>7178.19</v>
      </c>
      <c r="O955" s="706">
        <v>8153.64</v>
      </c>
      <c r="P955" s="706">
        <v>0</v>
      </c>
      <c r="Q955" s="706">
        <v>0</v>
      </c>
      <c r="R955" s="706">
        <v>0</v>
      </c>
      <c r="S955" s="706">
        <v>897.27</v>
      </c>
      <c r="T955" s="706">
        <v>897.27</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G67005</v>
      </c>
      <c r="AK955" s="905" t="str">
        <f t="shared" si="93"/>
        <v>COUT -M.O CONCES. PEINTUR</v>
      </c>
      <c r="AL955" s="905">
        <f>IFERROR(INDEX(G955:R955,1,MATCH(Parametres!$B$3,G$1:R$1,0)-1)*IF(OR(F955="L",F955="S",F955="I"),-1,1),"")</f>
        <v>6256.59</v>
      </c>
      <c r="AM955" s="905">
        <f t="shared" si="94"/>
        <v>921.59999999999945</v>
      </c>
      <c r="AN955" s="905">
        <f>INDEX(G955:R955,1,MATCH(Parametres!$B$3,G$1:R$1,0))*IF(OR(F955="L",F955="S",F955="I"),-1,1)</f>
        <v>7178.19</v>
      </c>
      <c r="AO955" s="487" t="str">
        <f>+VLOOKUP($AJ955,Data_Validation!$A:$D,1,0)</f>
        <v>G67005</v>
      </c>
      <c r="AP955" s="487" t="str">
        <f>+VLOOKUP($AJ955,Data_Validation!$A:$D,3,0)</f>
        <v>Carrosserie</v>
      </c>
      <c r="AQ955" s="487" t="str">
        <f>+VLOOKUP($AJ955,Data_Validation!$A:$D,4,0)</f>
        <v>Carrosserie Concessions</v>
      </c>
      <c r="AR955" s="487" t="s">
        <v>299</v>
      </c>
      <c r="AS955" s="487">
        <f>+VLOOKUP($AJ955,Data_Validation!$A:$E,5,0)</f>
        <v>0</v>
      </c>
      <c r="AT955" s="904" t="str">
        <f t="shared" si="95"/>
        <v>G67005</v>
      </c>
      <c r="AU955" s="488" t="str">
        <f t="shared" si="96"/>
        <v>COUT -M.O CONCES. PEINTUR</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2884</v>
      </c>
      <c r="D956" s="706" t="s">
        <v>2885</v>
      </c>
      <c r="E956" s="706" t="s">
        <v>333</v>
      </c>
      <c r="F956" s="706" t="s">
        <v>1152</v>
      </c>
      <c r="G956" s="706">
        <v>19730.259999999998</v>
      </c>
      <c r="H956" s="706">
        <v>41519.22</v>
      </c>
      <c r="I956" s="706">
        <v>61660.73</v>
      </c>
      <c r="J956" s="706">
        <v>100877.37</v>
      </c>
      <c r="K956" s="706">
        <v>107269.34</v>
      </c>
      <c r="L956" s="706">
        <v>114935.97</v>
      </c>
      <c r="M956" s="706">
        <v>124356.83</v>
      </c>
      <c r="N956" s="706">
        <v>134962.57</v>
      </c>
      <c r="O956" s="706">
        <v>140987.35</v>
      </c>
      <c r="P956" s="706">
        <v>0</v>
      </c>
      <c r="Q956" s="706">
        <v>0</v>
      </c>
      <c r="R956" s="706">
        <v>0</v>
      </c>
      <c r="S956" s="706">
        <v>16870.32</v>
      </c>
      <c r="T956" s="706">
        <v>16870.32</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G67100</v>
      </c>
      <c r="AK956" s="905" t="str">
        <f t="shared" si="93"/>
        <v>COUT-M.D. CARROSSERIE</v>
      </c>
      <c r="AL956" s="905">
        <f>IFERROR(INDEX(G956:R956,1,MATCH(Parametres!$B$3,G$1:R$1,0)-1)*IF(OR(F956="L",F956="S",F956="I"),-1,1),"")</f>
        <v>124356.83</v>
      </c>
      <c r="AM956" s="905">
        <f t="shared" si="94"/>
        <v>10605.740000000005</v>
      </c>
      <c r="AN956" s="905">
        <f>INDEX(G956:R956,1,MATCH(Parametres!$B$3,G$1:R$1,0))*IF(OR(F956="L",F956="S",F956="I"),-1,1)</f>
        <v>134962.57</v>
      </c>
      <c r="AO956" s="487" t="str">
        <f>+VLOOKUP($AJ956,Data_Validation!$A:$D,1,0)</f>
        <v>G67100</v>
      </c>
      <c r="AP956" s="487" t="str">
        <f>+VLOOKUP($AJ956,Data_Validation!$A:$D,3,0)</f>
        <v>Carrosserie</v>
      </c>
      <c r="AQ956" s="487" t="str">
        <f>+VLOOKUP($AJ956,Data_Validation!$A:$D,4,0)</f>
        <v>Carrosserie Clients</v>
      </c>
      <c r="AR956" s="487" t="s">
        <v>299</v>
      </c>
      <c r="AS956" s="487">
        <f>+VLOOKUP($AJ956,Data_Validation!$A:$E,5,0)</f>
        <v>0</v>
      </c>
      <c r="AT956" s="904" t="str">
        <f t="shared" si="95"/>
        <v>G67100</v>
      </c>
      <c r="AU956" s="488" t="str">
        <f t="shared" si="96"/>
        <v>COUT-M.D. CARROSSERIE</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2886</v>
      </c>
      <c r="D957" s="706" t="s">
        <v>2887</v>
      </c>
      <c r="E957" s="706" t="s">
        <v>333</v>
      </c>
      <c r="F957" s="706" t="s">
        <v>1152</v>
      </c>
      <c r="G957" s="706">
        <v>0</v>
      </c>
      <c r="H957" s="706">
        <v>0</v>
      </c>
      <c r="I957" s="706">
        <v>0</v>
      </c>
      <c r="J957" s="706">
        <v>0</v>
      </c>
      <c r="K957" s="706">
        <v>5591.54</v>
      </c>
      <c r="L957" s="706">
        <v>11000.09</v>
      </c>
      <c r="M957" s="706">
        <v>19383.18</v>
      </c>
      <c r="N957" s="706">
        <v>24728.02</v>
      </c>
      <c r="O957" s="706">
        <v>27683.09</v>
      </c>
      <c r="P957" s="706">
        <v>0</v>
      </c>
      <c r="Q957" s="706">
        <v>0</v>
      </c>
      <c r="R957" s="706">
        <v>0</v>
      </c>
      <c r="S957" s="706">
        <v>3091</v>
      </c>
      <c r="T957" s="706">
        <v>3091</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G67105</v>
      </c>
      <c r="AK957" s="905" t="str">
        <f t="shared" si="93"/>
        <v>COUT-M.O CONCES. -BODY</v>
      </c>
      <c r="AL957" s="905">
        <f>IFERROR(INDEX(G957:R957,1,MATCH(Parametres!$B$3,G$1:R$1,0)-1)*IF(OR(F957="L",F957="S",F957="I"),-1,1),"")</f>
        <v>19383.18</v>
      </c>
      <c r="AM957" s="905">
        <f t="shared" si="94"/>
        <v>5344.84</v>
      </c>
      <c r="AN957" s="905">
        <f>INDEX(G957:R957,1,MATCH(Parametres!$B$3,G$1:R$1,0))*IF(OR(F957="L",F957="S",F957="I"),-1,1)</f>
        <v>24728.02</v>
      </c>
      <c r="AO957" s="487" t="str">
        <f>+VLOOKUP($AJ957,Data_Validation!$A:$D,1,0)</f>
        <v>G67105</v>
      </c>
      <c r="AP957" s="487" t="str">
        <f>+VLOOKUP($AJ957,Data_Validation!$A:$D,3,0)</f>
        <v>Carrosserie</v>
      </c>
      <c r="AQ957" s="487" t="str">
        <f>+VLOOKUP($AJ957,Data_Validation!$A:$D,4,0)</f>
        <v>Carrosserie Concessions</v>
      </c>
      <c r="AR957" s="487" t="s">
        <v>299</v>
      </c>
      <c r="AS957" s="487">
        <f>+VLOOKUP($AJ957,Data_Validation!$A:$E,5,0)</f>
        <v>0</v>
      </c>
      <c r="AT957" s="904" t="str">
        <f t="shared" si="95"/>
        <v>G67105</v>
      </c>
      <c r="AU957" s="488" t="str">
        <f t="shared" si="96"/>
        <v>COUT-M.O CONCES. -BODY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2888</v>
      </c>
      <c r="D958" s="706" t="s">
        <v>2889</v>
      </c>
      <c r="E958" s="706" t="s">
        <v>333</v>
      </c>
      <c r="F958" s="706" t="s">
        <v>1152</v>
      </c>
      <c r="G958" s="706">
        <v>0</v>
      </c>
      <c r="H958" s="706">
        <v>0</v>
      </c>
      <c r="I958" s="706">
        <v>0</v>
      </c>
      <c r="J958" s="706">
        <v>0</v>
      </c>
      <c r="K958" s="706">
        <v>236.84</v>
      </c>
      <c r="L958" s="706">
        <v>934.73</v>
      </c>
      <c r="M958" s="706">
        <v>1847.09</v>
      </c>
      <c r="N958" s="706">
        <v>1902.53</v>
      </c>
      <c r="O958" s="706">
        <v>2075.4</v>
      </c>
      <c r="P958" s="706">
        <v>0</v>
      </c>
      <c r="Q958" s="706">
        <v>0</v>
      </c>
      <c r="R958" s="706">
        <v>0</v>
      </c>
      <c r="S958" s="706">
        <v>237.82</v>
      </c>
      <c r="T958" s="706">
        <v>237.82</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G67110</v>
      </c>
      <c r="AK958" s="905" t="str">
        <f t="shared" si="93"/>
        <v>COUT - M.O MEC CLT BODY</v>
      </c>
      <c r="AL958" s="905">
        <f>IFERROR(INDEX(G958:R958,1,MATCH(Parametres!$B$3,G$1:R$1,0)-1)*IF(OR(F958="L",F958="S",F958="I"),-1,1),"")</f>
        <v>1847.09</v>
      </c>
      <c r="AM958" s="905">
        <f t="shared" si="94"/>
        <v>55.440000000000055</v>
      </c>
      <c r="AN958" s="905">
        <f>INDEX(G958:R958,1,MATCH(Parametres!$B$3,G$1:R$1,0))*IF(OR(F958="L",F958="S",F958="I"),-1,1)</f>
        <v>1902.53</v>
      </c>
      <c r="AO958" s="487" t="str">
        <f>+VLOOKUP($AJ958,Data_Validation!$A:$D,1,0)</f>
        <v>G67110</v>
      </c>
      <c r="AP958" s="487" t="str">
        <f>+VLOOKUP($AJ958,Data_Validation!$A:$D,3,0)</f>
        <v>Carrosserie</v>
      </c>
      <c r="AQ958" s="487" t="str">
        <f>+VLOOKUP($AJ958,Data_Validation!$A:$D,4,0)</f>
        <v>Carrosserie Clients</v>
      </c>
      <c r="AR958" s="487" t="s">
        <v>299</v>
      </c>
      <c r="AS958" s="487">
        <f>+VLOOKUP($AJ958,Data_Validation!$A:$E,5,0)</f>
        <v>0</v>
      </c>
      <c r="AT958" s="904" t="str">
        <f t="shared" si="95"/>
        <v>G67110</v>
      </c>
      <c r="AU958" s="488" t="str">
        <f t="shared" si="96"/>
        <v>COUT - M.O MEC CLT BODY</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2890</v>
      </c>
      <c r="D959" s="706" t="s">
        <v>2891</v>
      </c>
      <c r="E959" s="706" t="s">
        <v>333</v>
      </c>
      <c r="F959" s="706" t="s">
        <v>1152</v>
      </c>
      <c r="G959" s="706">
        <v>0</v>
      </c>
      <c r="H959" s="706">
        <v>0</v>
      </c>
      <c r="I959" s="706">
        <v>0</v>
      </c>
      <c r="J959" s="706">
        <v>0</v>
      </c>
      <c r="K959" s="706">
        <v>9.7100000000000009</v>
      </c>
      <c r="L959" s="706">
        <v>9.7100000000000009</v>
      </c>
      <c r="M959" s="706">
        <v>9.7100000000000009</v>
      </c>
      <c r="N959" s="706">
        <v>9.7100000000000009</v>
      </c>
      <c r="O959" s="706">
        <v>9.7100000000000009</v>
      </c>
      <c r="P959" s="706">
        <v>0</v>
      </c>
      <c r="Q959" s="706">
        <v>0</v>
      </c>
      <c r="R959" s="706">
        <v>0</v>
      </c>
      <c r="S959" s="706">
        <v>1.21</v>
      </c>
      <c r="T959" s="706">
        <v>1.21</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G67115</v>
      </c>
      <c r="AK959" s="905" t="str">
        <f t="shared" si="93"/>
        <v>COUT -M.O CONCES MEC-BODY</v>
      </c>
      <c r="AL959" s="905">
        <f>IFERROR(INDEX(G959:R959,1,MATCH(Parametres!$B$3,G$1:R$1,0)-1)*IF(OR(F959="L",F959="S",F959="I"),-1,1),"")</f>
        <v>9.7100000000000009</v>
      </c>
      <c r="AM959" s="905">
        <f t="shared" si="94"/>
        <v>0</v>
      </c>
      <c r="AN959" s="905">
        <f>INDEX(G959:R959,1,MATCH(Parametres!$B$3,G$1:R$1,0))*IF(OR(F959="L",F959="S",F959="I"),-1,1)</f>
        <v>9.7100000000000009</v>
      </c>
      <c r="AO959" s="487" t="str">
        <f>+VLOOKUP($AJ959,Data_Validation!$A:$D,1,0)</f>
        <v>G67115</v>
      </c>
      <c r="AP959" s="487" t="str">
        <f>+VLOOKUP($AJ959,Data_Validation!$A:$D,3,0)</f>
        <v>Carrosserie</v>
      </c>
      <c r="AQ959" s="487" t="str">
        <f>+VLOOKUP($AJ959,Data_Validation!$A:$D,4,0)</f>
        <v>Carrosserie Concessions</v>
      </c>
      <c r="AR959" s="487" t="s">
        <v>299</v>
      </c>
      <c r="AS959" s="487">
        <f>+VLOOKUP($AJ959,Data_Validation!$A:$E,5,0)</f>
        <v>0</v>
      </c>
      <c r="AT959" s="904" t="str">
        <f t="shared" si="95"/>
        <v>G67115</v>
      </c>
      <c r="AU959" s="488" t="str">
        <f t="shared" si="96"/>
        <v>COUT -M.O CONCES MEC-BODY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2892</v>
      </c>
      <c r="D960" s="706" t="s">
        <v>2893</v>
      </c>
      <c r="E960" s="706" t="s">
        <v>333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G67125</v>
      </c>
      <c r="AK960" s="905" t="str">
        <f t="shared" si="93"/>
        <v>**RISTOURNE M.O CONC.BODY</v>
      </c>
      <c r="AL960" s="905">
        <f>IFERROR(INDEX(G960:R960,1,MATCH(Parametres!$B$3,G$1:R$1,0)-1)*IF(OR(F960="L",F960="S",F960="I"),-1,1),"")</f>
        <v>0</v>
      </c>
      <c r="AM960" s="905">
        <f t="shared" si="94"/>
        <v>0</v>
      </c>
      <c r="AN960" s="905">
        <f>INDEX(G960:R960,1,MATCH(Parametres!$B$3,G$1:R$1,0))*IF(OR(F960="L",F960="S",F960="I"),-1,1)</f>
        <v>0</v>
      </c>
      <c r="AO960" s="487" t="str">
        <f>+VLOOKUP($AJ960,Data_Validation!$A:$D,1,0)</f>
        <v>G67125</v>
      </c>
      <c r="AP960" s="487" t="str">
        <f>+VLOOKUP($AJ960,Data_Validation!$A:$D,3,0)</f>
        <v>Carrosserie</v>
      </c>
      <c r="AQ960" s="487" t="str">
        <f>+VLOOKUP($AJ960,Data_Validation!$A:$D,4,0)</f>
        <v>Carrosserie Concessions</v>
      </c>
      <c r="AR960" s="487" t="s">
        <v>299</v>
      </c>
      <c r="AS960" s="487">
        <f>+VLOOKUP($AJ960,Data_Validation!$A:$E,5,0)</f>
        <v>0</v>
      </c>
      <c r="AT960" s="904" t="str">
        <f t="shared" si="95"/>
        <v>G67125</v>
      </c>
      <c r="AU960" s="488" t="str">
        <f t="shared" si="96"/>
        <v>**RISTOURNE M.O CONC.BODY</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2894</v>
      </c>
      <c r="D961" s="706" t="s">
        <v>2895</v>
      </c>
      <c r="E961" s="706" t="s">
        <v>333</v>
      </c>
      <c r="F961" s="706" t="s">
        <v>1152</v>
      </c>
      <c r="G961" s="706">
        <v>145.79</v>
      </c>
      <c r="H961" s="706">
        <v>145.79</v>
      </c>
      <c r="I961" s="706">
        <v>145.79</v>
      </c>
      <c r="J961" s="706">
        <v>277.94</v>
      </c>
      <c r="K961" s="706">
        <v>277.94</v>
      </c>
      <c r="L961" s="706">
        <v>277.94</v>
      </c>
      <c r="M961" s="706">
        <v>277.94</v>
      </c>
      <c r="N961" s="706">
        <v>559.96</v>
      </c>
      <c r="O961" s="706">
        <v>559.96</v>
      </c>
      <c r="P961" s="706">
        <v>0</v>
      </c>
      <c r="Q961" s="706">
        <v>0</v>
      </c>
      <c r="R961" s="706">
        <v>0</v>
      </c>
      <c r="S961" s="706">
        <v>70</v>
      </c>
      <c r="T961" s="706">
        <v>70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G67200</v>
      </c>
      <c r="AK961" s="905" t="str">
        <f t="shared" si="93"/>
        <v>COUT-M.D. B.CLAIM</v>
      </c>
      <c r="AL961" s="905">
        <f>IFERROR(INDEX(G961:R961,1,MATCH(Parametres!$B$3,G$1:R$1,0)-1)*IF(OR(F961="L",F961="S",F961="I"),-1,1),"")</f>
        <v>277.94</v>
      </c>
      <c r="AM961" s="905">
        <f t="shared" si="94"/>
        <v>282.02000000000004</v>
      </c>
      <c r="AN961" s="905">
        <f>INDEX(G961:R961,1,MATCH(Parametres!$B$3,G$1:R$1,0))*IF(OR(F961="L",F961="S",F961="I"),-1,1)</f>
        <v>559.96</v>
      </c>
      <c r="AO961" s="487" t="str">
        <f>+VLOOKUP($AJ961,Data_Validation!$A:$D,1,0)</f>
        <v>G67200</v>
      </c>
      <c r="AP961" s="487" t="str">
        <f>+VLOOKUP($AJ961,Data_Validation!$A:$D,3,0)</f>
        <v>Carrosserie</v>
      </c>
      <c r="AQ961" s="487" t="str">
        <f>+VLOOKUP($AJ961,Data_Validation!$A:$D,4,0)</f>
        <v>Carrosserie Interne</v>
      </c>
      <c r="AR961" s="487" t="s">
        <v>299</v>
      </c>
      <c r="AS961" s="487">
        <f>+VLOOKUP($AJ961,Data_Validation!$A:$E,5,0)</f>
        <v>0</v>
      </c>
      <c r="AT961" s="904" t="str">
        <f t="shared" si="95"/>
        <v>G67200</v>
      </c>
      <c r="AU961" s="488" t="str">
        <f t="shared" si="96"/>
        <v>COUT-M.D. B.CLAIM</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2896</v>
      </c>
      <c r="D962" s="706" t="s">
        <v>2897</v>
      </c>
      <c r="E962" s="706" t="s">
        <v>333</v>
      </c>
      <c r="F962" s="706" t="s">
        <v>1152</v>
      </c>
      <c r="G962" s="706">
        <v>1978.84</v>
      </c>
      <c r="H962" s="706">
        <v>6111.77</v>
      </c>
      <c r="I962" s="706">
        <v>10074.299999999999</v>
      </c>
      <c r="J962" s="706">
        <v>13220.18</v>
      </c>
      <c r="K962" s="706">
        <v>16185.95</v>
      </c>
      <c r="L962" s="706">
        <v>18157.95</v>
      </c>
      <c r="M962" s="706">
        <v>21697.4</v>
      </c>
      <c r="N962" s="706">
        <v>23010.21</v>
      </c>
      <c r="O962" s="706">
        <v>25760.22</v>
      </c>
      <c r="P962" s="706">
        <v>0</v>
      </c>
      <c r="Q962" s="706">
        <v>0</v>
      </c>
      <c r="R962" s="706">
        <v>0</v>
      </c>
      <c r="S962" s="706">
        <v>2876.28</v>
      </c>
      <c r="T962" s="706">
        <v>2876.28</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G67300</v>
      </c>
      <c r="AK962" s="905" t="str">
        <f t="shared" si="93"/>
        <v>COUT-M.D. BODY INT.</v>
      </c>
      <c r="AL962" s="905">
        <f>IFERROR(INDEX(G962:R962,1,MATCH(Parametres!$B$3,G$1:R$1,0)-1)*IF(OR(F962="L",F962="S",F962="I"),-1,1),"")</f>
        <v>21697.4</v>
      </c>
      <c r="AM962" s="905">
        <f t="shared" si="94"/>
        <v>1312.8099999999977</v>
      </c>
      <c r="AN962" s="905">
        <f>INDEX(G962:R962,1,MATCH(Parametres!$B$3,G$1:R$1,0))*IF(OR(F962="L",F962="S",F962="I"),-1,1)</f>
        <v>23010.21</v>
      </c>
      <c r="AO962" s="487" t="str">
        <f>+VLOOKUP($AJ962,Data_Validation!$A:$D,1,0)</f>
        <v>G67300</v>
      </c>
      <c r="AP962" s="487" t="str">
        <f>+VLOOKUP($AJ962,Data_Validation!$A:$D,3,0)</f>
        <v>Carrosserie</v>
      </c>
      <c r="AQ962" s="487" t="str">
        <f>+VLOOKUP($AJ962,Data_Validation!$A:$D,4,0)</f>
        <v>Carrosserie Interne</v>
      </c>
      <c r="AR962" s="487" t="s">
        <v>299</v>
      </c>
      <c r="AS962" s="487">
        <f>+VLOOKUP($AJ962,Data_Validation!$A:$E,5,0)</f>
        <v>0</v>
      </c>
      <c r="AT962" s="904" t="str">
        <f t="shared" si="95"/>
        <v>G67300</v>
      </c>
      <c r="AU962" s="488" t="str">
        <f t="shared" si="96"/>
        <v>COUT-M.D. BODY INT.</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2898</v>
      </c>
      <c r="D963" s="706" t="s">
        <v>2899</v>
      </c>
      <c r="E963" s="706" t="s">
        <v>333</v>
      </c>
      <c r="F963" s="706" t="s">
        <v>1152</v>
      </c>
      <c r="G963" s="706">
        <v>0</v>
      </c>
      <c r="H963" s="706">
        <v>0</v>
      </c>
      <c r="I963" s="706">
        <v>0</v>
      </c>
      <c r="J963" s="706">
        <v>0</v>
      </c>
      <c r="K963" s="706">
        <v>246.26</v>
      </c>
      <c r="L963" s="706">
        <v>663.68</v>
      </c>
      <c r="M963" s="706">
        <v>1026.49</v>
      </c>
      <c r="N963" s="706">
        <v>1212.67</v>
      </c>
      <c r="O963" s="706">
        <v>1535.64</v>
      </c>
      <c r="P963" s="706">
        <v>0</v>
      </c>
      <c r="Q963" s="706">
        <v>0</v>
      </c>
      <c r="R963" s="706">
        <v>0</v>
      </c>
      <c r="S963" s="706">
        <v>151.58000000000001</v>
      </c>
      <c r="T963" s="706">
        <v>151.58000000000001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G67303</v>
      </c>
      <c r="AK963" s="905" t="str">
        <f t="shared" si="93"/>
        <v>COUT-M.D. PEINTURE INT.</v>
      </c>
      <c r="AL963" s="905">
        <f>IFERROR(INDEX(G963:R963,1,MATCH(Parametres!$B$3,G$1:R$1,0)-1)*IF(OR(F963="L",F963="S",F963="I"),-1,1),"")</f>
        <v>1026.49</v>
      </c>
      <c r="AM963" s="905">
        <f t="shared" si="94"/>
        <v>186.18000000000006</v>
      </c>
      <c r="AN963" s="905">
        <f>INDEX(G963:R963,1,MATCH(Parametres!$B$3,G$1:R$1,0))*IF(OR(F963="L",F963="S",F963="I"),-1,1)</f>
        <v>1212.67</v>
      </c>
      <c r="AO963" s="487" t="str">
        <f>+VLOOKUP($AJ963,Data_Validation!$A:$D,1,0)</f>
        <v>G67303</v>
      </c>
      <c r="AP963" s="487" t="str">
        <f>+VLOOKUP($AJ963,Data_Validation!$A:$D,3,0)</f>
        <v>Carrosserie</v>
      </c>
      <c r="AQ963" s="487" t="str">
        <f>+VLOOKUP($AJ963,Data_Validation!$A:$D,4,0)</f>
        <v>Carrosserie Interne</v>
      </c>
      <c r="AR963" s="487" t="s">
        <v>299</v>
      </c>
      <c r="AS963" s="487">
        <f>+VLOOKUP($AJ963,Data_Validation!$A:$E,5,0)</f>
        <v>0</v>
      </c>
      <c r="AT963" s="904" t="str">
        <f t="shared" si="95"/>
        <v>G67303</v>
      </c>
      <c r="AU963" s="488" t="str">
        <f t="shared" si="96"/>
        <v>COUT-M.D. PEINTURE INT.</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2900</v>
      </c>
      <c r="D964" s="706" t="s">
        <v>2901</v>
      </c>
      <c r="E964" s="706" t="s">
        <v>333</v>
      </c>
      <c r="F964" s="706" t="s">
        <v>1152</v>
      </c>
      <c r="G964" s="706">
        <v>0</v>
      </c>
      <c r="H964" s="706">
        <v>0</v>
      </c>
      <c r="I964" s="706">
        <v>0</v>
      </c>
      <c r="J964" s="706">
        <v>0</v>
      </c>
      <c r="K964" s="706">
        <v>0</v>
      </c>
      <c r="L964" s="706">
        <v>0</v>
      </c>
      <c r="M964" s="706">
        <v>0</v>
      </c>
      <c r="N964" s="706">
        <v>0</v>
      </c>
      <c r="O964" s="706">
        <v>750.23</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G67313</v>
      </c>
      <c r="AK964" s="905" t="str">
        <f t="shared" si="93"/>
        <v>COUT -M.O MEC INTERN-BODY</v>
      </c>
      <c r="AL964" s="905">
        <f>IFERROR(INDEX(G964:R964,1,MATCH(Parametres!$B$3,G$1:R$1,0)-1)*IF(OR(F964="L",F964="S",F964="I"),-1,1),"")</f>
        <v>0</v>
      </c>
      <c r="AM964" s="905">
        <f t="shared" si="94"/>
        <v>0</v>
      </c>
      <c r="AN964" s="905">
        <f>INDEX(G964:R964,1,MATCH(Parametres!$B$3,G$1:R$1,0))*IF(OR(F964="L",F964="S",F964="I"),-1,1)</f>
        <v>0</v>
      </c>
      <c r="AO964" s="487" t="str">
        <f>+VLOOKUP($AJ964,Data_Validation!$A:$D,1,0)</f>
        <v>G67313</v>
      </c>
      <c r="AP964" s="487" t="str">
        <f>+VLOOKUP($AJ964,Data_Validation!$A:$D,3,0)</f>
        <v>Carrosserie</v>
      </c>
      <c r="AQ964" s="487" t="str">
        <f>+VLOOKUP($AJ964,Data_Validation!$A:$D,4,0)</f>
        <v>Carrosserie Interne</v>
      </c>
      <c r="AR964" s="487" t="s">
        <v>299</v>
      </c>
      <c r="AS964" s="487">
        <f>+VLOOKUP($AJ964,Data_Validation!$A:$E,5,0)</f>
        <v>0</v>
      </c>
      <c r="AT964" s="904" t="str">
        <f t="shared" si="95"/>
        <v>G67313</v>
      </c>
      <c r="AU964" s="488" t="str">
        <f t="shared" si="96"/>
        <v>COUT -M.O MEC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2902</v>
      </c>
      <c r="D965" s="706" t="s">
        <v>2903</v>
      </c>
      <c r="E965" s="706" t="s">
        <v>333</v>
      </c>
      <c r="F965" s="706" t="s">
        <v>1152</v>
      </c>
      <c r="G965" s="706">
        <v>-2076.17</v>
      </c>
      <c r="H965" s="706">
        <v>1683.98</v>
      </c>
      <c r="I965" s="706">
        <v>6440.11</v>
      </c>
      <c r="J965" s="706">
        <v>10406.6</v>
      </c>
      <c r="K965" s="706">
        <v>13512.44</v>
      </c>
      <c r="L965" s="706">
        <v>14653.47</v>
      </c>
      <c r="M965" s="706">
        <v>15667.64</v>
      </c>
      <c r="N965" s="706">
        <v>17178.509999999998</v>
      </c>
      <c r="O965" s="706">
        <v>17178.509999999998</v>
      </c>
      <c r="P965" s="706">
        <v>0</v>
      </c>
      <c r="Q965" s="706">
        <v>0</v>
      </c>
      <c r="R965" s="706">
        <v>0</v>
      </c>
      <c r="S965" s="706">
        <v>2147.31</v>
      </c>
      <c r="T965" s="706">
        <v>2147.31</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G67500</v>
      </c>
      <c r="AK965" s="905" t="str">
        <f t="shared" si="93"/>
        <v>TEMPS PERDU CARROSSERIE</v>
      </c>
      <c r="AL965" s="905">
        <f>IFERROR(INDEX(G965:R965,1,MATCH(Parametres!$B$3,G$1:R$1,0)-1)*IF(OR(F965="L",F965="S",F965="I"),-1,1),"")</f>
        <v>15667.64</v>
      </c>
      <c r="AM965" s="905">
        <f t="shared" si="94"/>
        <v>1510.869999999999</v>
      </c>
      <c r="AN965" s="905">
        <f>INDEX(G965:R965,1,MATCH(Parametres!$B$3,G$1:R$1,0))*IF(OR(F965="L",F965="S",F965="I"),-1,1)</f>
        <v>17178.509999999998</v>
      </c>
      <c r="AO965" s="487" t="str">
        <f>+VLOOKUP($AJ965,Data_Validation!$A:$D,1,0)</f>
        <v>G67500</v>
      </c>
      <c r="AP965" s="487" t="str">
        <f>+VLOOKUP($AJ965,Data_Validation!$A:$D,3,0)</f>
        <v>Carrosserie</v>
      </c>
      <c r="AQ965" s="487" t="str">
        <f>+VLOOKUP($AJ965,Data_Validation!$A:$D,4,0)</f>
        <v>Ajustement M/O Carrosserie</v>
      </c>
      <c r="AR965" s="487" t="s">
        <v>299</v>
      </c>
      <c r="AS965" s="487">
        <f>+VLOOKUP($AJ965,Data_Validation!$A:$E,5,0)</f>
        <v>0</v>
      </c>
      <c r="AT965" s="904" t="str">
        <f t="shared" si="95"/>
        <v>G67500</v>
      </c>
      <c r="AU965" s="488" t="str">
        <f t="shared" si="96"/>
        <v>TEMPS PERDU CARROSSERIE</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2904</v>
      </c>
      <c r="D966" s="706" t="s">
        <v>2905</v>
      </c>
      <c r="E966" s="706" t="s">
        <v>333</v>
      </c>
      <c r="F966" s="706" t="s">
        <v>1152</v>
      </c>
      <c r="G966" s="706">
        <v>72114.69</v>
      </c>
      <c r="H966" s="706">
        <v>142583.76</v>
      </c>
      <c r="I966" s="706">
        <v>197462.96</v>
      </c>
      <c r="J966" s="706">
        <v>229534.23</v>
      </c>
      <c r="K966" s="706">
        <v>255722.15</v>
      </c>
      <c r="L966" s="706">
        <v>293738.59000000003</v>
      </c>
      <c r="M966" s="706">
        <v>329272.23</v>
      </c>
      <c r="N966" s="706">
        <v>360496.79</v>
      </c>
      <c r="O966" s="706">
        <v>388544.83</v>
      </c>
      <c r="P966" s="706">
        <v>0</v>
      </c>
      <c r="Q966" s="706">
        <v>0</v>
      </c>
      <c r="R966" s="706">
        <v>0</v>
      </c>
      <c r="S966" s="706">
        <v>45062.1</v>
      </c>
      <c r="T966" s="706">
        <v>45062.1</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G67600</v>
      </c>
      <c r="AK966" s="905" t="str">
        <f t="shared" si="93"/>
        <v>COUT-REP.SOUS-TRAIT.BODY</v>
      </c>
      <c r="AL966" s="905">
        <f>IFERROR(INDEX(G966:R966,1,MATCH(Parametres!$B$3,G$1:R$1,0)-1)*IF(OR(F966="L",F966="S",F966="I"),-1,1),"")</f>
        <v>329272.23</v>
      </c>
      <c r="AM966" s="905">
        <f t="shared" si="94"/>
        <v>31224.559999999998</v>
      </c>
      <c r="AN966" s="905">
        <f>INDEX(G966:R966,1,MATCH(Parametres!$B$3,G$1:R$1,0))*IF(OR(F966="L",F966="S",F966="I"),-1,1)</f>
        <v>360496.79</v>
      </c>
      <c r="AO966" s="487" t="str">
        <f>+VLOOKUP($AJ966,Data_Validation!$A:$D,1,0)</f>
        <v>G67600</v>
      </c>
      <c r="AP966" s="487" t="str">
        <f>+VLOOKUP($AJ966,Data_Validation!$A:$D,3,0)</f>
        <v>Carrosserie</v>
      </c>
      <c r="AQ966" s="487" t="str">
        <f>+VLOOKUP($AJ966,Data_Validation!$A:$D,4,0)</f>
        <v>Carrosserie Clients</v>
      </c>
      <c r="AR966" s="487" t="s">
        <v>299</v>
      </c>
      <c r="AS966" s="487">
        <f>+VLOOKUP($AJ966,Data_Validation!$A:$E,5,0)</f>
        <v>0</v>
      </c>
      <c r="AT966" s="904" t="str">
        <f t="shared" si="95"/>
        <v>G67600</v>
      </c>
      <c r="AU966" s="488" t="str">
        <f t="shared" si="96"/>
        <v>COUT-REP.SOUS-TRAIT.BODY</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2906</v>
      </c>
      <c r="D967" s="706" t="s">
        <v>2907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G67603</v>
      </c>
      <c r="AK967" s="905" t="str">
        <f t="shared" si="93"/>
        <v>COUT - S.T. INTERN-BODY</v>
      </c>
      <c r="AL967" s="905">
        <f>IFERROR(INDEX(G967:R967,1,MATCH(Parametres!$B$3,G$1:R$1,0)-1)*IF(OR(F967="L",F967="S",F967="I"),-1,1),"")</f>
        <v>0</v>
      </c>
      <c r="AM967" s="905">
        <f t="shared" si="94"/>
        <v>0</v>
      </c>
      <c r="AN967" s="905">
        <f>INDEX(G967:R967,1,MATCH(Parametres!$B$3,G$1:R$1,0))*IF(OR(F967="L",F967="S",F967="I"),-1,1)</f>
        <v>0</v>
      </c>
      <c r="AO967" s="487" t="str">
        <f>+VLOOKUP($AJ967,Data_Validation!$A:$D,1,0)</f>
        <v>G67603</v>
      </c>
      <c r="AP967" s="487" t="str">
        <f>+VLOOKUP($AJ967,Data_Validation!$A:$D,3,0)</f>
        <v>Carrosserie</v>
      </c>
      <c r="AQ967" s="487" t="str">
        <f>+VLOOKUP($AJ967,Data_Validation!$A:$D,4,0)</f>
        <v>Carrosserie Interne</v>
      </c>
      <c r="AR967" s="487" t="s">
        <v>299</v>
      </c>
      <c r="AS967" s="487">
        <f>+VLOOKUP($AJ967,Data_Validation!$A:$E,5,0)</f>
        <v>0</v>
      </c>
      <c r="AT967" s="904" t="str">
        <f t="shared" si="95"/>
        <v>G67603</v>
      </c>
      <c r="AU967" s="488" t="str">
        <f t="shared" si="96"/>
        <v>COUT - S.T. INTERN-BODY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2908</v>
      </c>
      <c r="D968" s="706" t="s">
        <v>2909</v>
      </c>
      <c r="E968" s="706" t="s">
        <v>333</v>
      </c>
      <c r="F968" s="706" t="s">
        <v>1152</v>
      </c>
      <c r="G968" s="706">
        <v>0</v>
      </c>
      <c r="H968" s="706">
        <v>0</v>
      </c>
      <c r="I968" s="706">
        <v>0</v>
      </c>
      <c r="J968" s="706">
        <v>0</v>
      </c>
      <c r="K968" s="706">
        <v>5087.09</v>
      </c>
      <c r="L968" s="706">
        <v>5357.09</v>
      </c>
      <c r="M968" s="706">
        <v>6017.09</v>
      </c>
      <c r="N968" s="706">
        <v>6182.09</v>
      </c>
      <c r="O968" s="706">
        <v>7012.09</v>
      </c>
      <c r="P968" s="706">
        <v>0</v>
      </c>
      <c r="Q968" s="706">
        <v>0</v>
      </c>
      <c r="R968" s="706">
        <v>0</v>
      </c>
      <c r="S968" s="706">
        <v>772.76</v>
      </c>
      <c r="T968" s="706">
        <v>772.76</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G67605</v>
      </c>
      <c r="AK968" s="905" t="str">
        <f t="shared" si="93"/>
        <v>COUT -S.T CONCES. BODY</v>
      </c>
      <c r="AL968" s="905">
        <f>IFERROR(INDEX(G968:R968,1,MATCH(Parametres!$B$3,G$1:R$1,0)-1)*IF(OR(F968="L",F968="S",F968="I"),-1,1),"")</f>
        <v>6017.09</v>
      </c>
      <c r="AM968" s="905">
        <f t="shared" si="94"/>
        <v>165</v>
      </c>
      <c r="AN968" s="905">
        <f>INDEX(G968:R968,1,MATCH(Parametres!$B$3,G$1:R$1,0))*IF(OR(F968="L",F968="S",F968="I"),-1,1)</f>
        <v>6182.09</v>
      </c>
      <c r="AO968" s="487" t="str">
        <f>+VLOOKUP($AJ968,Data_Validation!$A:$D,1,0)</f>
        <v>G67605</v>
      </c>
      <c r="AP968" s="487" t="str">
        <f>+VLOOKUP($AJ968,Data_Validation!$A:$D,3,0)</f>
        <v>Carrosserie</v>
      </c>
      <c r="AQ968" s="487" t="str">
        <f>+VLOOKUP($AJ968,Data_Validation!$A:$D,4,0)</f>
        <v>Carrosserie Concessions</v>
      </c>
      <c r="AR968" s="487" t="s">
        <v>299</v>
      </c>
      <c r="AS968" s="487">
        <f>+VLOOKUP($AJ968,Data_Validation!$A:$E,5,0)</f>
        <v>0</v>
      </c>
      <c r="AT968" s="904" t="str">
        <f t="shared" si="95"/>
        <v>G67605</v>
      </c>
      <c r="AU968" s="488" t="str">
        <f t="shared" si="96"/>
        <v>COUT -S.T CONCES. BODY</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2910</v>
      </c>
      <c r="D969" s="706" t="s">
        <v>2911</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G67610</v>
      </c>
      <c r="AK969" s="905" t="str">
        <f t="shared" si="93"/>
        <v>COUT-PCS.S-T BODY -CLIENT</v>
      </c>
      <c r="AL969" s="905">
        <f>IFERROR(INDEX(G969:R969,1,MATCH(Parametres!$B$3,G$1:R$1,0)-1)*IF(OR(F969="L",F969="S",F969="I"),-1,1),"")</f>
        <v>0</v>
      </c>
      <c r="AM969" s="905">
        <f t="shared" si="94"/>
        <v>0</v>
      </c>
      <c r="AN969" s="905">
        <f>INDEX(G969:R969,1,MATCH(Parametres!$B$3,G$1:R$1,0))*IF(OR(F969="L",F969="S",F969="I"),-1,1)</f>
        <v>0</v>
      </c>
      <c r="AO969" s="487" t="str">
        <f>+VLOOKUP($AJ969,Data_Validation!$A:$D,1,0)</f>
        <v>G67610</v>
      </c>
      <c r="AP969" s="487" t="str">
        <f>+VLOOKUP($AJ969,Data_Validation!$A:$D,3,0)</f>
        <v>Carrosserie</v>
      </c>
      <c r="AQ969" s="487" t="str">
        <f>+VLOOKUP($AJ969,Data_Validation!$A:$D,4,0)</f>
        <v>Carrosserie Clients</v>
      </c>
      <c r="AR969" s="487" t="s">
        <v>299</v>
      </c>
      <c r="AS969" s="487">
        <f>+VLOOKUP($AJ969,Data_Validation!$A:$E,5,0)</f>
        <v>0</v>
      </c>
      <c r="AT969" s="904" t="str">
        <f t="shared" si="95"/>
        <v>G67610</v>
      </c>
      <c r="AU969" s="488" t="str">
        <f t="shared" si="96"/>
        <v>COUT-PCS.S-T BODY -CLIENT</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2912</v>
      </c>
      <c r="D970" s="706" t="s">
        <v>2913</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G67613</v>
      </c>
      <c r="AK970" s="905" t="str">
        <f t="shared" si="93"/>
        <v>COUT -PIECES INTERN -BODY</v>
      </c>
      <c r="AL970" s="905">
        <f>IFERROR(INDEX(G970:R970,1,MATCH(Parametres!$B$3,G$1:R$1,0)-1)*IF(OR(F970="L",F970="S",F970="I"),-1,1),"")</f>
        <v>0</v>
      </c>
      <c r="AM970" s="905">
        <f t="shared" si="94"/>
        <v>0</v>
      </c>
      <c r="AN970" s="905">
        <f>INDEX(G970:R970,1,MATCH(Parametres!$B$3,G$1:R$1,0))*IF(OR(F970="L",F970="S",F970="I"),-1,1)</f>
        <v>0</v>
      </c>
      <c r="AO970" s="487" t="str">
        <f>+VLOOKUP($AJ970,Data_Validation!$A:$D,1,0)</f>
        <v>G67613</v>
      </c>
      <c r="AP970" s="487" t="str">
        <f>+VLOOKUP($AJ970,Data_Validation!$A:$D,3,0)</f>
        <v>Carrosserie</v>
      </c>
      <c r="AQ970" s="487" t="str">
        <f>+VLOOKUP($AJ970,Data_Validation!$A:$D,4,0)</f>
        <v>Carrosserie Interne</v>
      </c>
      <c r="AR970" s="487" t="s">
        <v>299</v>
      </c>
      <c r="AS970" s="487">
        <f>+VLOOKUP($AJ970,Data_Validation!$A:$E,5,0)</f>
        <v>0</v>
      </c>
      <c r="AT970" s="904" t="str">
        <f t="shared" si="95"/>
        <v>G67613</v>
      </c>
      <c r="AU970" s="488" t="str">
        <f t="shared" si="96"/>
        <v>COUT -PIECES INTERN -BODY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2914</v>
      </c>
      <c r="D971" s="706" t="s">
        <v>2915</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G67615</v>
      </c>
      <c r="AK971" s="905" t="str">
        <f t="shared" si="93"/>
        <v>COUT - S-T PCS CONCES-BOD</v>
      </c>
      <c r="AL971" s="905">
        <f>IFERROR(INDEX(G971:R971,1,MATCH(Parametres!$B$3,G$1:R$1,0)-1)*IF(OR(F971="L",F971="S",F971="I"),-1,1),"")</f>
        <v>0</v>
      </c>
      <c r="AM971" s="905">
        <f t="shared" si="94"/>
        <v>0</v>
      </c>
      <c r="AN971" s="905">
        <f>INDEX(G971:R971,1,MATCH(Parametres!$B$3,G$1:R$1,0))*IF(OR(F971="L",F971="S",F971="I"),-1,1)</f>
        <v>0</v>
      </c>
      <c r="AO971" s="487" t="str">
        <f>+VLOOKUP($AJ971,Data_Validation!$A:$D,1,0)</f>
        <v>G67615</v>
      </c>
      <c r="AP971" s="487" t="str">
        <f>+VLOOKUP($AJ971,Data_Validation!$A:$D,3,0)</f>
        <v>Carrosserie</v>
      </c>
      <c r="AQ971" s="487" t="str">
        <f>+VLOOKUP($AJ971,Data_Validation!$A:$D,4,0)</f>
        <v>Carrosserie Concessions</v>
      </c>
      <c r="AR971" s="487" t="s">
        <v>299</v>
      </c>
      <c r="AS971" s="487">
        <f>+VLOOKUP($AJ971,Data_Validation!$A:$E,5,0)</f>
        <v>0</v>
      </c>
      <c r="AT971" s="904" t="str">
        <f t="shared" si="95"/>
        <v>G67615</v>
      </c>
      <c r="AU971" s="488" t="str">
        <f t="shared" si="96"/>
        <v>COUT - S-T PCS CONCES-BOD</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2916</v>
      </c>
      <c r="D972" s="706" t="s">
        <v>2917</v>
      </c>
      <c r="E972" s="706" t="s">
        <v>333</v>
      </c>
      <c r="F972" s="706" t="s">
        <v>1152</v>
      </c>
      <c r="G972" s="706">
        <v>0</v>
      </c>
      <c r="H972" s="706">
        <v>0</v>
      </c>
      <c r="I972" s="706">
        <v>0</v>
      </c>
      <c r="J972" s="706">
        <v>0</v>
      </c>
      <c r="K972" s="706">
        <v>0</v>
      </c>
      <c r="L972" s="706">
        <v>1486.33</v>
      </c>
      <c r="M972" s="706">
        <v>1486.33</v>
      </c>
      <c r="N972" s="706">
        <v>1486.33</v>
      </c>
      <c r="O972" s="706">
        <v>1486.33</v>
      </c>
      <c r="P972" s="706">
        <v>0</v>
      </c>
      <c r="Q972" s="706">
        <v>0</v>
      </c>
      <c r="R972" s="706">
        <v>0</v>
      </c>
      <c r="S972" s="706">
        <v>185.79</v>
      </c>
      <c r="T972" s="706">
        <v>185.79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G67620</v>
      </c>
      <c r="AK972" s="905" t="str">
        <f t="shared" si="93"/>
        <v>COUT -LOC.COURTOIS - BODY</v>
      </c>
      <c r="AL972" s="905">
        <f>IFERROR(INDEX(G972:R972,1,MATCH(Parametres!$B$3,G$1:R$1,0)-1)*IF(OR(F972="L",F972="S",F972="I"),-1,1),"")</f>
        <v>1486.33</v>
      </c>
      <c r="AM972" s="905">
        <f t="shared" si="94"/>
        <v>0</v>
      </c>
      <c r="AN972" s="905">
        <f>INDEX(G972:R972,1,MATCH(Parametres!$B$3,G$1:R$1,0))*IF(OR(F972="L",F972="S",F972="I"),-1,1)</f>
        <v>1486.33</v>
      </c>
      <c r="AO972" s="487" t="str">
        <f>+VLOOKUP($AJ972,Data_Validation!$A:$D,1,0)</f>
        <v>G67620</v>
      </c>
      <c r="AP972" s="487" t="str">
        <f>+VLOOKUP($AJ972,Data_Validation!$A:$D,3,0)</f>
        <v>Carrosserie</v>
      </c>
      <c r="AQ972" s="487" t="str">
        <f>+VLOOKUP($AJ972,Data_Validation!$A:$D,4,0)</f>
        <v>Carrosserie Clients</v>
      </c>
      <c r="AR972" s="487" t="s">
        <v>299</v>
      </c>
      <c r="AS972" s="487">
        <f>+VLOOKUP($AJ972,Data_Validation!$A:$E,5,0)</f>
        <v>0</v>
      </c>
      <c r="AT972" s="904" t="str">
        <f t="shared" si="95"/>
        <v>G67620</v>
      </c>
      <c r="AU972" s="488" t="str">
        <f t="shared" si="96"/>
        <v>COUT -LOC.COURTOIS - BODY</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2918</v>
      </c>
      <c r="D973" s="706" t="s">
        <v>2919</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G67623</v>
      </c>
      <c r="AK973" s="905" t="str">
        <f t="shared" si="93"/>
        <v>COUT -LOC COURT INT-BODY</v>
      </c>
      <c r="AL973" s="905">
        <f>IFERROR(INDEX(G973:R973,1,MATCH(Parametres!$B$3,G$1:R$1,0)-1)*IF(OR(F973="L",F973="S",F973="I"),-1,1),"")</f>
        <v>0</v>
      </c>
      <c r="AM973" s="905">
        <f t="shared" si="94"/>
        <v>0</v>
      </c>
      <c r="AN973" s="905">
        <f>INDEX(G973:R973,1,MATCH(Parametres!$B$3,G$1:R$1,0))*IF(OR(F973="L",F973="S",F973="I"),-1,1)</f>
        <v>0</v>
      </c>
      <c r="AO973" s="487" t="str">
        <f>+VLOOKUP($AJ973,Data_Validation!$A:$D,1,0)</f>
        <v>G67623</v>
      </c>
      <c r="AP973" s="487">
        <f>+VLOOKUP($AJ973,Data_Validation!$A:$D,3,0)</f>
        <v>0</v>
      </c>
      <c r="AQ973" s="487">
        <f>+VLOOKUP($AJ973,Data_Validation!$A:$D,4,0)</f>
        <v>0</v>
      </c>
      <c r="AR973" s="487" t="s">
        <v>299</v>
      </c>
      <c r="AS973" s="487">
        <f>+VLOOKUP($AJ973,Data_Validation!$A:$E,5,0)</f>
        <v>0</v>
      </c>
      <c r="AT973" s="904" t="str">
        <f t="shared" si="95"/>
        <v>G67623</v>
      </c>
      <c r="AU973" s="488" t="str">
        <f t="shared" si="96"/>
        <v>COUT -LOC COURT INT-BODY</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2920</v>
      </c>
      <c r="D974" s="706" t="s">
        <v>2921</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G67625</v>
      </c>
      <c r="AK974" s="905" t="str">
        <f t="shared" si="93"/>
        <v>COUT - LOC COURT CONCES B</v>
      </c>
      <c r="AL974" s="905">
        <f>IFERROR(INDEX(G974:R974,1,MATCH(Parametres!$B$3,G$1:R$1,0)-1)*IF(OR(F974="L",F974="S",F974="I"),-1,1),"")</f>
        <v>0</v>
      </c>
      <c r="AM974" s="905">
        <f t="shared" si="94"/>
        <v>0</v>
      </c>
      <c r="AN974" s="905">
        <f>INDEX(G974:R974,1,MATCH(Parametres!$B$3,G$1:R$1,0))*IF(OR(F974="L",F974="S",F974="I"),-1,1)</f>
        <v>0</v>
      </c>
      <c r="AO974" s="487" t="str">
        <f>+VLOOKUP($AJ974,Data_Validation!$A:$D,1,0)</f>
        <v>G67625</v>
      </c>
      <c r="AP974" s="487">
        <f>+VLOOKUP($AJ974,Data_Validation!$A:$D,3,0)</f>
        <v>0</v>
      </c>
      <c r="AQ974" s="487">
        <f>+VLOOKUP($AJ974,Data_Validation!$A:$D,4,0)</f>
        <v>0</v>
      </c>
      <c r="AR974" s="487" t="s">
        <v>299</v>
      </c>
      <c r="AS974" s="487">
        <f>+VLOOKUP($AJ974,Data_Validation!$A:$E,5,0)</f>
        <v>0</v>
      </c>
      <c r="AT974" s="904" t="str">
        <f t="shared" si="95"/>
        <v>G67625</v>
      </c>
      <c r="AU974" s="488" t="str">
        <f t="shared" si="96"/>
        <v>COUT - LOC COURT CONCES B</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2922</v>
      </c>
      <c r="D975" s="706" t="s">
        <v>2923</v>
      </c>
      <c r="E975" s="706" t="s">
        <v>333</v>
      </c>
      <c r="F975" s="706" t="s">
        <v>1152</v>
      </c>
      <c r="G975" s="706">
        <v>0</v>
      </c>
      <c r="H975" s="706">
        <v>0</v>
      </c>
      <c r="I975" s="706">
        <v>0</v>
      </c>
      <c r="J975" s="706">
        <v>0</v>
      </c>
      <c r="K975" s="706">
        <v>49.03</v>
      </c>
      <c r="L975" s="706">
        <v>49.03</v>
      </c>
      <c r="M975" s="706">
        <v>49.03</v>
      </c>
      <c r="N975" s="706">
        <v>49.03</v>
      </c>
      <c r="O975" s="706">
        <v>49.03</v>
      </c>
      <c r="P975" s="706">
        <v>0</v>
      </c>
      <c r="Q975" s="706">
        <v>0</v>
      </c>
      <c r="R975" s="706">
        <v>0</v>
      </c>
      <c r="S975" s="706">
        <v>6.13</v>
      </c>
      <c r="T975" s="706">
        <v>6.13</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G67700</v>
      </c>
      <c r="AK975" s="905" t="str">
        <f t="shared" si="93"/>
        <v>COUT P&amp;A CLIENT CARROSSER</v>
      </c>
      <c r="AL975" s="905">
        <f>IFERROR(INDEX(G975:R975,1,MATCH(Parametres!$B$3,G$1:R$1,0)-1)*IF(OR(F975="L",F975="S",F975="I"),-1,1),"")</f>
        <v>49.03</v>
      </c>
      <c r="AM975" s="905">
        <f t="shared" si="94"/>
        <v>0</v>
      </c>
      <c r="AN975" s="905">
        <f>INDEX(G975:R975,1,MATCH(Parametres!$B$3,G$1:R$1,0))*IF(OR(F975="L",F975="S",F975="I"),-1,1)</f>
        <v>49.03</v>
      </c>
      <c r="AO975" s="487" t="str">
        <f>+VLOOKUP($AJ975,Data_Validation!$A:$D,1,0)</f>
        <v>G67700</v>
      </c>
      <c r="AP975" s="487" t="str">
        <f>+VLOOKUP($AJ975,Data_Validation!$A:$D,3,0)</f>
        <v>Pièces</v>
      </c>
      <c r="AQ975" s="487" t="str">
        <f>+VLOOKUP($AJ975,Data_Validation!$A:$D,4,0)</f>
        <v>Pièces Ro Carrosserie</v>
      </c>
      <c r="AR975" s="487" t="s">
        <v>299</v>
      </c>
      <c r="AS975" s="487">
        <f>+VLOOKUP($AJ975,Data_Validation!$A:$E,5,0)</f>
        <v>0</v>
      </c>
      <c r="AT975" s="904" t="str">
        <f t="shared" si="95"/>
        <v>G67700</v>
      </c>
      <c r="AU975" s="488" t="str">
        <f t="shared" si="96"/>
        <v>COUT P&amp;A CLIENT CARROSSER</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2924</v>
      </c>
      <c r="D976" s="706" t="s">
        <v>2925</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G67800</v>
      </c>
      <c r="AK976" s="905" t="str">
        <f t="shared" si="93"/>
        <v>COUT-PCE BODY CLIENT CAM</v>
      </c>
      <c r="AL976" s="905">
        <f>IFERROR(INDEX(G976:R976,1,MATCH(Parametres!$B$3,G$1:R$1,0)-1)*IF(OR(F976="L",F976="S",F976="I"),-1,1),"")</f>
        <v>0</v>
      </c>
      <c r="AM976" s="905">
        <f t="shared" si="94"/>
        <v>0</v>
      </c>
      <c r="AN976" s="905">
        <f>INDEX(G976:R976,1,MATCH(Parametres!$B$3,G$1:R$1,0))*IF(OR(F976="L",F976="S",F976="I"),-1,1)</f>
        <v>0</v>
      </c>
      <c r="AO976" s="487" t="str">
        <f>+VLOOKUP($AJ976,Data_Validation!$A:$D,1,0)</f>
        <v>G67800</v>
      </c>
      <c r="AP976" s="487">
        <f>+VLOOKUP($AJ976,Data_Validation!$A:$D,3,0)</f>
        <v>0</v>
      </c>
      <c r="AQ976" s="487">
        <f>+VLOOKUP($AJ976,Data_Validation!$A:$D,4,0)</f>
        <v>0</v>
      </c>
      <c r="AR976" s="487" t="s">
        <v>299</v>
      </c>
      <c r="AS976" s="487">
        <f>+VLOOKUP($AJ976,Data_Validation!$A:$E,5,0)</f>
        <v>0</v>
      </c>
      <c r="AT976" s="904" t="str">
        <f t="shared" si="95"/>
        <v>G67800</v>
      </c>
      <c r="AU976" s="488" t="str">
        <f t="shared" si="96"/>
        <v>COUT-PCE BODY CLIENT CAM</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2926</v>
      </c>
      <c r="D977" s="706" t="s">
        <v>2927</v>
      </c>
      <c r="E977" s="706" t="s">
        <v>333</v>
      </c>
      <c r="F977" s="706" t="s">
        <v>1152</v>
      </c>
      <c r="G977" s="706">
        <v>0</v>
      </c>
      <c r="H977" s="706">
        <v>0</v>
      </c>
      <c r="I977" s="706">
        <v>0</v>
      </c>
      <c r="J977" s="706">
        <v>0</v>
      </c>
      <c r="K977" s="706">
        <v>0</v>
      </c>
      <c r="L977" s="706">
        <v>0</v>
      </c>
      <c r="M977" s="706">
        <v>0</v>
      </c>
      <c r="N977" s="706">
        <v>0</v>
      </c>
      <c r="O977" s="706">
        <v>0</v>
      </c>
      <c r="P977" s="706">
        <v>0</v>
      </c>
      <c r="Q977" s="706">
        <v>0</v>
      </c>
      <c r="R977" s="706">
        <v>0</v>
      </c>
      <c r="S977" s="706">
        <v>0</v>
      </c>
      <c r="T977" s="706">
        <v>0</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G67840</v>
      </c>
      <c r="AK977" s="905" t="str">
        <f t="shared" si="93"/>
        <v>COUT-P&amp;A GOODW CAM MOYEN</v>
      </c>
      <c r="AL977" s="905">
        <f>IFERROR(INDEX(G977:R977,1,MATCH(Parametres!$B$3,G$1:R$1,0)-1)*IF(OR(F977="L",F977="S",F977="I"),-1,1),"")</f>
        <v>0</v>
      </c>
      <c r="AM977" s="905">
        <f t="shared" si="94"/>
        <v>0</v>
      </c>
      <c r="AN977" s="905">
        <f>INDEX(G977:R977,1,MATCH(Parametres!$B$3,G$1:R$1,0))*IF(OR(F977="L",F977="S",F977="I"),-1,1)</f>
        <v>0</v>
      </c>
      <c r="AO977" s="487" t="e">
        <f>+VLOOKUP($AJ977,Data_Validation!$A:$D,1,0)</f>
        <v>#N/A</v>
      </c>
      <c r="AP977" s="487" t="e">
        <f>+VLOOKUP($AJ977,Data_Validation!$A:$D,3,0)</f>
        <v>#N/A</v>
      </c>
      <c r="AQ977" s="487" t="e">
        <f>+VLOOKUP($AJ977,Data_Validation!$A:$D,4,0)</f>
        <v>#N/A</v>
      </c>
      <c r="AR977" s="487" t="s">
        <v>299</v>
      </c>
      <c r="AS977" s="487" t="e">
        <f>+VLOOKUP($AJ977,Data_Validation!$A:$E,5,0)</f>
        <v>#N/A</v>
      </c>
      <c r="AT977" s="904" t="str">
        <f t="shared" si="95"/>
        <v>G67840</v>
      </c>
      <c r="AU977" s="488" t="str">
        <f t="shared" si="96"/>
        <v>COUT-P&amp;A GOODW CAM MOYEN</v>
      </c>
      <c r="AV977" s="899">
        <f>IFERROR(INDEX(V977:AG977,1,MATCH(Parametres!$B$3,V$1:AG$1,0)-1)*IF(OR(C977="L",C977="S",C977="I"),-1,1),"")</f>
        <v>0</v>
      </c>
      <c r="AW977" s="899">
        <f t="shared" si="97"/>
        <v>0</v>
      </c>
      <c r="AX977" s="899">
        <f>INDEX(V977:AG977,1,MATCH(Parametres!$B$3,V$1:AG$1,0))*IF(OR(C977="L",C977="S",C977="I"),-1,1)</f>
        <v>0</v>
      </c>
      <c r="AY977" s="487" t="s">
        <v>337</v>
      </c>
      <c r="AZ977" s="487" t="e">
        <f>+VLOOKUP($AJ977,Data_Validation!$A:$E,5,0)</f>
        <v>#N/A</v>
      </c>
    </row>
    <row r="978" spans="1:52" ht="15" customHeight="1">
      <c r="A978" s="706" t="s">
        <v>1148</v>
      </c>
      <c r="B978" s="706">
        <v>2026</v>
      </c>
      <c r="C978" s="706" t="s">
        <v>2928</v>
      </c>
      <c r="D978" s="706" t="s">
        <v>2929</v>
      </c>
      <c r="E978" s="706" t="s">
        <v>333</v>
      </c>
      <c r="F978" s="706" t="s">
        <v>1152</v>
      </c>
      <c r="G978" s="706">
        <v>14720.33</v>
      </c>
      <c r="H978" s="706">
        <v>34336.69</v>
      </c>
      <c r="I978" s="706">
        <v>49738.05</v>
      </c>
      <c r="J978" s="706">
        <v>81691.16</v>
      </c>
      <c r="K978" s="706">
        <v>88785.44</v>
      </c>
      <c r="L978" s="706">
        <v>95870.11</v>
      </c>
      <c r="M978" s="706">
        <v>102457.29</v>
      </c>
      <c r="N978" s="706">
        <v>108314.23</v>
      </c>
      <c r="O978" s="706">
        <v>114048.92</v>
      </c>
      <c r="P978" s="706">
        <v>0</v>
      </c>
      <c r="Q978" s="706">
        <v>0</v>
      </c>
      <c r="R978" s="706">
        <v>0</v>
      </c>
      <c r="S978" s="706">
        <v>13539.28</v>
      </c>
      <c r="T978" s="706">
        <v>13539.28</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G67900</v>
      </c>
      <c r="AK978" s="905" t="str">
        <f t="shared" si="93"/>
        <v>COUT-PEINTURE CARROSSERIE</v>
      </c>
      <c r="AL978" s="905">
        <f>IFERROR(INDEX(G978:R978,1,MATCH(Parametres!$B$3,G$1:R$1,0)-1)*IF(OR(F978="L",F978="S",F978="I"),-1,1),"")</f>
        <v>102457.29</v>
      </c>
      <c r="AM978" s="905">
        <f t="shared" si="94"/>
        <v>5856.9400000000023</v>
      </c>
      <c r="AN978" s="905">
        <f>INDEX(G978:R978,1,MATCH(Parametres!$B$3,G$1:R$1,0))*IF(OR(F978="L",F978="S",F978="I"),-1,1)</f>
        <v>108314.23</v>
      </c>
      <c r="AO978" s="487" t="str">
        <f>+VLOOKUP($AJ978,Data_Validation!$A:$D,1,0)</f>
        <v>G67900</v>
      </c>
      <c r="AP978" s="487" t="str">
        <f>+VLOOKUP($AJ978,Data_Validation!$A:$D,3,0)</f>
        <v>Carrosserie</v>
      </c>
      <c r="AQ978" s="487" t="str">
        <f>+VLOOKUP($AJ978,Data_Validation!$A:$D,4,0)</f>
        <v>Carrosserie Clients</v>
      </c>
      <c r="AR978" s="487" t="s">
        <v>299</v>
      </c>
      <c r="AS978" s="487">
        <f>+VLOOKUP($AJ978,Data_Validation!$A:$E,5,0)</f>
        <v>0</v>
      </c>
      <c r="AT978" s="904" t="str">
        <f t="shared" si="95"/>
        <v>G67900</v>
      </c>
      <c r="AU978" s="488" t="str">
        <f t="shared" si="96"/>
        <v>COUT-PEINTURE CARROSSERIE</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2930</v>
      </c>
      <c r="D979" s="706" t="s">
        <v>2931</v>
      </c>
      <c r="E979" s="706" t="s">
        <v>333</v>
      </c>
      <c r="F979" s="706" t="s">
        <v>1152</v>
      </c>
      <c r="G979" s="706">
        <v>0</v>
      </c>
      <c r="H979" s="706">
        <v>0</v>
      </c>
      <c r="I979" s="706">
        <v>0</v>
      </c>
      <c r="J979" s="706">
        <v>0</v>
      </c>
      <c r="K979" s="706">
        <v>144.72</v>
      </c>
      <c r="L979" s="706">
        <v>604.91</v>
      </c>
      <c r="M979" s="706">
        <v>1041.71</v>
      </c>
      <c r="N979" s="706">
        <v>2056.25</v>
      </c>
      <c r="O979" s="706">
        <v>2514.67</v>
      </c>
      <c r="P979" s="706">
        <v>0</v>
      </c>
      <c r="Q979" s="706">
        <v>0</v>
      </c>
      <c r="R979" s="706">
        <v>0</v>
      </c>
      <c r="S979" s="706">
        <v>257.02999999999997</v>
      </c>
      <c r="T979" s="706">
        <v>257.02999999999997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G67903</v>
      </c>
      <c r="AK979" s="905" t="str">
        <f t="shared" si="93"/>
        <v>COUT - PEINT. INTERN-BODY</v>
      </c>
      <c r="AL979" s="905">
        <f>IFERROR(INDEX(G979:R979,1,MATCH(Parametres!$B$3,G$1:R$1,0)-1)*IF(OR(F979="L",F979="S",F979="I"),-1,1),"")</f>
        <v>1041.71</v>
      </c>
      <c r="AM979" s="905">
        <f t="shared" si="94"/>
        <v>1014.54</v>
      </c>
      <c r="AN979" s="905">
        <f>INDEX(G979:R979,1,MATCH(Parametres!$B$3,G$1:R$1,0))*IF(OR(F979="L",F979="S",F979="I"),-1,1)</f>
        <v>2056.25</v>
      </c>
      <c r="AO979" s="487" t="str">
        <f>+VLOOKUP($AJ979,Data_Validation!$A:$D,1,0)</f>
        <v>G67903</v>
      </c>
      <c r="AP979" s="487" t="str">
        <f>+VLOOKUP($AJ979,Data_Validation!$A:$D,3,0)</f>
        <v>Carrosserie</v>
      </c>
      <c r="AQ979" s="487" t="str">
        <f>+VLOOKUP($AJ979,Data_Validation!$A:$D,4,0)</f>
        <v>Carrosserie Interne</v>
      </c>
      <c r="AR979" s="487" t="s">
        <v>299</v>
      </c>
      <c r="AS979" s="487">
        <f>+VLOOKUP($AJ979,Data_Validation!$A:$E,5,0)</f>
        <v>0</v>
      </c>
      <c r="AT979" s="904" t="str">
        <f t="shared" si="95"/>
        <v>G67903</v>
      </c>
      <c r="AU979" s="488" t="str">
        <f t="shared" si="96"/>
        <v>COUT - PEINT. 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2932</v>
      </c>
      <c r="D980" s="706" t="s">
        <v>2933</v>
      </c>
      <c r="E980" s="706" t="s">
        <v>333</v>
      </c>
      <c r="F980" s="706" t="s">
        <v>1152</v>
      </c>
      <c r="G980" s="706">
        <v>0</v>
      </c>
      <c r="H980" s="706">
        <v>0</v>
      </c>
      <c r="I980" s="706">
        <v>0</v>
      </c>
      <c r="J980" s="706">
        <v>0</v>
      </c>
      <c r="K980" s="706">
        <v>5172.5</v>
      </c>
      <c r="L980" s="706">
        <v>12665.99</v>
      </c>
      <c r="M980" s="706">
        <v>16965.189999999999</v>
      </c>
      <c r="N980" s="706">
        <v>20886.900000000001</v>
      </c>
      <c r="O980" s="706">
        <v>23258.55</v>
      </c>
      <c r="P980" s="706">
        <v>0</v>
      </c>
      <c r="Q980" s="706">
        <v>0</v>
      </c>
      <c r="R980" s="706">
        <v>0</v>
      </c>
      <c r="S980" s="706">
        <v>2610.86</v>
      </c>
      <c r="T980" s="706">
        <v>2610.86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G67905</v>
      </c>
      <c r="AK980" s="905" t="str">
        <f t="shared" si="93"/>
        <v>COUT - PEINT CONC-BODY</v>
      </c>
      <c r="AL980" s="905">
        <f>IFERROR(INDEX(G980:R980,1,MATCH(Parametres!$B$3,G$1:R$1,0)-1)*IF(OR(F980="L",F980="S",F980="I"),-1,1),"")</f>
        <v>16965.189999999999</v>
      </c>
      <c r="AM980" s="905">
        <f t="shared" si="94"/>
        <v>3921.7100000000028</v>
      </c>
      <c r="AN980" s="905">
        <f>INDEX(G980:R980,1,MATCH(Parametres!$B$3,G$1:R$1,0))*IF(OR(F980="L",F980="S",F980="I"),-1,1)</f>
        <v>20886.900000000001</v>
      </c>
      <c r="AO980" s="487" t="str">
        <f>+VLOOKUP($AJ980,Data_Validation!$A:$D,1,0)</f>
        <v>G67905</v>
      </c>
      <c r="AP980" s="487" t="str">
        <f>+VLOOKUP($AJ980,Data_Validation!$A:$D,3,0)</f>
        <v>Carrosserie</v>
      </c>
      <c r="AQ980" s="487" t="str">
        <f>+VLOOKUP($AJ980,Data_Validation!$A:$D,4,0)</f>
        <v>Carrosserie Concessions</v>
      </c>
      <c r="AR980" s="487" t="s">
        <v>299</v>
      </c>
      <c r="AS980" s="487">
        <f>+VLOOKUP($AJ980,Data_Validation!$A:$E,5,0)</f>
        <v>0</v>
      </c>
      <c r="AT980" s="904" t="str">
        <f t="shared" si="95"/>
        <v>G67905</v>
      </c>
      <c r="AU980" s="488" t="str">
        <f t="shared" si="96"/>
        <v>COUT - PEINT CONC-BODY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2934</v>
      </c>
      <c r="D981" s="706" t="s">
        <v>2935</v>
      </c>
      <c r="E981" s="706" t="s">
        <v>333</v>
      </c>
      <c r="F981" s="706" t="s">
        <v>1152</v>
      </c>
      <c r="G981" s="706">
        <v>0</v>
      </c>
      <c r="H981" s="706">
        <v>0</v>
      </c>
      <c r="I981" s="706">
        <v>0</v>
      </c>
      <c r="J981" s="706">
        <v>0</v>
      </c>
      <c r="K981" s="706">
        <v>2097.5500000000002</v>
      </c>
      <c r="L981" s="706">
        <v>7486.2</v>
      </c>
      <c r="M981" s="706">
        <v>10691.89</v>
      </c>
      <c r="N981" s="706">
        <v>13259.36</v>
      </c>
      <c r="O981" s="706">
        <v>17505.64</v>
      </c>
      <c r="P981" s="706">
        <v>0</v>
      </c>
      <c r="Q981" s="706">
        <v>0</v>
      </c>
      <c r="R981" s="706">
        <v>0</v>
      </c>
      <c r="S981" s="706">
        <v>1657.42</v>
      </c>
      <c r="T981" s="706">
        <v>1657.42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G67910</v>
      </c>
      <c r="AK981" s="905" t="str">
        <f t="shared" si="93"/>
        <v>COUT -M-ATELIER CLT-BODY</v>
      </c>
      <c r="AL981" s="905">
        <f>IFERROR(INDEX(G981:R981,1,MATCH(Parametres!$B$3,G$1:R$1,0)-1)*IF(OR(F981="L",F981="S",F981="I"),-1,1),"")</f>
        <v>10691.89</v>
      </c>
      <c r="AM981" s="905">
        <f t="shared" si="94"/>
        <v>2567.4700000000012</v>
      </c>
      <c r="AN981" s="905">
        <f>INDEX(G981:R981,1,MATCH(Parametres!$B$3,G$1:R$1,0))*IF(OR(F981="L",F981="S",F981="I"),-1,1)</f>
        <v>13259.36</v>
      </c>
      <c r="AO981" s="487" t="str">
        <f>+VLOOKUP($AJ981,Data_Validation!$A:$D,1,0)</f>
        <v>G67910</v>
      </c>
      <c r="AP981" s="487" t="str">
        <f>+VLOOKUP($AJ981,Data_Validation!$A:$D,3,0)</f>
        <v>Carrosserie</v>
      </c>
      <c r="AQ981" s="487" t="str">
        <f>+VLOOKUP($AJ981,Data_Validation!$A:$D,4,0)</f>
        <v>Carrosserie Clients</v>
      </c>
      <c r="AR981" s="487" t="s">
        <v>299</v>
      </c>
      <c r="AS981" s="487">
        <f>+VLOOKUP($AJ981,Data_Validation!$A:$E,5,0)</f>
        <v>0</v>
      </c>
      <c r="AT981" s="904" t="str">
        <f t="shared" si="95"/>
        <v>G67910</v>
      </c>
      <c r="AU981" s="488" t="str">
        <f t="shared" si="96"/>
        <v>COUT -M-ATELIER CLT-BODY</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2936</v>
      </c>
      <c r="D982" s="706" t="s">
        <v>2937</v>
      </c>
      <c r="E982" s="706" t="s">
        <v>333</v>
      </c>
      <c r="F982" s="706" t="s">
        <v>1152</v>
      </c>
      <c r="G982" s="706">
        <v>0</v>
      </c>
      <c r="H982" s="706">
        <v>0</v>
      </c>
      <c r="I982" s="706">
        <v>0</v>
      </c>
      <c r="J982" s="706">
        <v>0</v>
      </c>
      <c r="K982" s="706">
        <v>135.33000000000001</v>
      </c>
      <c r="L982" s="706">
        <v>430.08</v>
      </c>
      <c r="M982" s="706">
        <v>576.52</v>
      </c>
      <c r="N982" s="706">
        <v>1023.78</v>
      </c>
      <c r="O982" s="706">
        <v>1223.8800000000001</v>
      </c>
      <c r="P982" s="706">
        <v>0</v>
      </c>
      <c r="Q982" s="706">
        <v>0</v>
      </c>
      <c r="R982" s="706">
        <v>0</v>
      </c>
      <c r="S982" s="706">
        <v>127.97</v>
      </c>
      <c r="T982" s="706">
        <v>127.97</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G67913</v>
      </c>
      <c r="AK982" s="905" t="str">
        <f t="shared" si="93"/>
        <v>COUT -M. ATEL.INTERN-BODY</v>
      </c>
      <c r="AL982" s="905">
        <f>IFERROR(INDEX(G982:R982,1,MATCH(Parametres!$B$3,G$1:R$1,0)-1)*IF(OR(F982="L",F982="S",F982="I"),-1,1),"")</f>
        <v>576.52</v>
      </c>
      <c r="AM982" s="905">
        <f t="shared" si="94"/>
        <v>447.26</v>
      </c>
      <c r="AN982" s="905">
        <f>INDEX(G982:R982,1,MATCH(Parametres!$B$3,G$1:R$1,0))*IF(OR(F982="L",F982="S",F982="I"),-1,1)</f>
        <v>1023.78</v>
      </c>
      <c r="AO982" s="487" t="str">
        <f>+VLOOKUP($AJ982,Data_Validation!$A:$D,1,0)</f>
        <v>G67913</v>
      </c>
      <c r="AP982" s="487" t="str">
        <f>+VLOOKUP($AJ982,Data_Validation!$A:$D,3,0)</f>
        <v>Carrosserie</v>
      </c>
      <c r="AQ982" s="487" t="str">
        <f>+VLOOKUP($AJ982,Data_Validation!$A:$D,4,0)</f>
        <v>Carrosserie Interne</v>
      </c>
      <c r="AR982" s="487" t="s">
        <v>299</v>
      </c>
      <c r="AS982" s="487">
        <f>+VLOOKUP($AJ982,Data_Validation!$A:$E,5,0)</f>
        <v>0</v>
      </c>
      <c r="AT982" s="904" t="str">
        <f t="shared" si="95"/>
        <v>G67913</v>
      </c>
      <c r="AU982" s="488" t="str">
        <f t="shared" si="96"/>
        <v>COUT -M. ATEL.INTERN-BODY</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2938</v>
      </c>
      <c r="D983" s="706" t="s">
        <v>2939</v>
      </c>
      <c r="E983" s="706" t="s">
        <v>333</v>
      </c>
      <c r="F983" s="706" t="s">
        <v>1152</v>
      </c>
      <c r="G983" s="706">
        <v>0</v>
      </c>
      <c r="H983" s="706">
        <v>0</v>
      </c>
      <c r="I983" s="706">
        <v>0</v>
      </c>
      <c r="J983" s="706">
        <v>0</v>
      </c>
      <c r="K983" s="706">
        <v>917.14</v>
      </c>
      <c r="L983" s="706">
        <v>4198.8900000000003</v>
      </c>
      <c r="M983" s="706">
        <v>5956.44</v>
      </c>
      <c r="N983" s="706">
        <v>7822.78</v>
      </c>
      <c r="O983" s="706">
        <v>9084.4500000000007</v>
      </c>
      <c r="P983" s="706">
        <v>0</v>
      </c>
      <c r="Q983" s="706">
        <v>0</v>
      </c>
      <c r="R983" s="706">
        <v>0</v>
      </c>
      <c r="S983" s="706">
        <v>977.85</v>
      </c>
      <c r="T983" s="706">
        <v>977.85</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G67915</v>
      </c>
      <c r="AK983" s="905" t="str">
        <f t="shared" si="93"/>
        <v>COUT -M.A CONCES. BODY</v>
      </c>
      <c r="AL983" s="905">
        <f>IFERROR(INDEX(G983:R983,1,MATCH(Parametres!$B$3,G$1:R$1,0)-1)*IF(OR(F983="L",F983="S",F983="I"),-1,1),"")</f>
        <v>5956.44</v>
      </c>
      <c r="AM983" s="905">
        <f t="shared" si="94"/>
        <v>1866.3400000000001</v>
      </c>
      <c r="AN983" s="905">
        <f>INDEX(G983:R983,1,MATCH(Parametres!$B$3,G$1:R$1,0))*IF(OR(F983="L",F983="S",F983="I"),-1,1)</f>
        <v>7822.78</v>
      </c>
      <c r="AO983" s="487" t="str">
        <f>+VLOOKUP($AJ983,Data_Validation!$A:$D,1,0)</f>
        <v>G67915</v>
      </c>
      <c r="AP983" s="487" t="str">
        <f>+VLOOKUP($AJ983,Data_Validation!$A:$D,3,0)</f>
        <v>Carrosserie</v>
      </c>
      <c r="AQ983" s="487" t="str">
        <f>+VLOOKUP($AJ983,Data_Validation!$A:$D,4,0)</f>
        <v>Carrosserie Concessions</v>
      </c>
      <c r="AR983" s="487" t="s">
        <v>299</v>
      </c>
      <c r="AS983" s="487">
        <f>+VLOOKUP($AJ983,Data_Validation!$A:$E,5,0)</f>
        <v>0</v>
      </c>
      <c r="AT983" s="904" t="str">
        <f t="shared" si="95"/>
        <v>G67915</v>
      </c>
      <c r="AU983" s="488" t="str">
        <f t="shared" si="96"/>
        <v>COUT -M.A CONCES. BODY</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2940</v>
      </c>
      <c r="D984" s="706" t="s">
        <v>2941</v>
      </c>
      <c r="E984" s="706" t="s">
        <v>333</v>
      </c>
      <c r="F984" s="706" t="s">
        <v>1152</v>
      </c>
      <c r="G984" s="706">
        <v>39483.879999999997</v>
      </c>
      <c r="H984" s="706">
        <v>76073.990000000005</v>
      </c>
      <c r="I984" s="706">
        <v>130785.66</v>
      </c>
      <c r="J984" s="706">
        <v>172149.29</v>
      </c>
      <c r="K984" s="706">
        <v>191580.21</v>
      </c>
      <c r="L984" s="706">
        <v>255802.79</v>
      </c>
      <c r="M984" s="706">
        <v>294788.87</v>
      </c>
      <c r="N984" s="706">
        <v>356817.75</v>
      </c>
      <c r="O984" s="706">
        <v>373785.68</v>
      </c>
      <c r="P984" s="706">
        <v>0</v>
      </c>
      <c r="Q984" s="706">
        <v>0</v>
      </c>
      <c r="R984" s="706">
        <v>0</v>
      </c>
      <c r="S984" s="706">
        <v>44602.22</v>
      </c>
      <c r="T984" s="706">
        <v>44602.22</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G68000</v>
      </c>
      <c r="AK984" s="905" t="str">
        <f t="shared" ref="AK984:AK1023" si="99">D984</f>
        <v>COUT-PIECE GARANTIE</v>
      </c>
      <c r="AL984" s="905">
        <f>IFERROR(INDEX(G984:R984,1,MATCH(Parametres!$B$3,G$1:R$1,0)-1)*IF(OR(F984="L",F984="S",F984="I"),-1,1),"")</f>
        <v>294788.87</v>
      </c>
      <c r="AM984" s="905">
        <f t="shared" ref="AM984:AM1023" si="100">AN984-AL984</f>
        <v>62028.880000000005</v>
      </c>
      <c r="AN984" s="905">
        <f>INDEX(G984:R984,1,MATCH(Parametres!$B$3,G$1:R$1,0))*IF(OR(F984="L",F984="S",F984="I"),-1,1)</f>
        <v>356817.75</v>
      </c>
      <c r="AO984" s="487" t="str">
        <f>+VLOOKUP($AJ984,Data_Validation!$A:$D,1,0)</f>
        <v>G68000</v>
      </c>
      <c r="AP984" s="487" t="str">
        <f>+VLOOKUP($AJ984,Data_Validation!$A:$D,3,0)</f>
        <v>Pièces</v>
      </c>
      <c r="AQ984" s="487" t="str">
        <f>+VLOOKUP($AJ984,Data_Validation!$A:$D,4,0)</f>
        <v>P/A Garantie</v>
      </c>
      <c r="AR984" s="487" t="s">
        <v>299</v>
      </c>
      <c r="AS984" s="487">
        <f>+VLOOKUP($AJ984,Data_Validation!$A:$E,5,0)</f>
        <v>0</v>
      </c>
      <c r="AT984" s="904" t="str">
        <f t="shared" ref="AT984:AT1023" si="101">C984</f>
        <v>G68000</v>
      </c>
      <c r="AU984" s="488" t="str">
        <f t="shared" ref="AU984:AU1023" si="102">D984</f>
        <v>COUT-PIECE GARANTIE</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2942</v>
      </c>
      <c r="D985" s="706" t="s">
        <v>2943</v>
      </c>
      <c r="E985" s="706" t="s">
        <v>333</v>
      </c>
      <c r="F985" s="706" t="s">
        <v>1152</v>
      </c>
      <c r="G985" s="706">
        <v>0</v>
      </c>
      <c r="H985" s="706">
        <v>0</v>
      </c>
      <c r="I985" s="706">
        <v>0</v>
      </c>
      <c r="J985" s="706">
        <v>0</v>
      </c>
      <c r="K985" s="706">
        <v>0</v>
      </c>
      <c r="L985" s="706">
        <v>0</v>
      </c>
      <c r="M985" s="706">
        <v>0</v>
      </c>
      <c r="N985" s="706">
        <v>0</v>
      </c>
      <c r="O985" s="706">
        <v>0</v>
      </c>
      <c r="P985" s="706">
        <v>0</v>
      </c>
      <c r="Q985" s="706">
        <v>0</v>
      </c>
      <c r="R985" s="706">
        <v>0</v>
      </c>
      <c r="S985" s="706">
        <v>0</v>
      </c>
      <c r="T985" s="706">
        <v>0</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G68020</v>
      </c>
      <c r="AK985" s="905" t="str">
        <f t="shared" si="99"/>
        <v>COUT-P&amp;A RECLAM.CAM MOYEN</v>
      </c>
      <c r="AL985" s="905">
        <f>IFERROR(INDEX(G985:R985,1,MATCH(Parametres!$B$3,G$1:R$1,0)-1)*IF(OR(F985="L",F985="S",F985="I"),-1,1),"")</f>
        <v>0</v>
      </c>
      <c r="AM985" s="905">
        <f t="shared" si="100"/>
        <v>0</v>
      </c>
      <c r="AN985" s="905">
        <f>INDEX(G985:R985,1,MATCH(Parametres!$B$3,G$1:R$1,0))*IF(OR(F985="L",F985="S",F985="I"),-1,1)</f>
        <v>0</v>
      </c>
      <c r="AO985" s="487" t="str">
        <f>+VLOOKUP($AJ985,Data_Validation!$A:$D,1,0)</f>
        <v>G68020</v>
      </c>
      <c r="AP985" s="487" t="str">
        <f>+VLOOKUP($AJ985,Data_Validation!$A:$D,3,0)</f>
        <v>Pièces</v>
      </c>
      <c r="AQ985" s="487" t="str">
        <f>+VLOOKUP($AJ985,Data_Validation!$A:$D,4,0)</f>
        <v>P/A Garantie</v>
      </c>
      <c r="AR985" s="487" t="s">
        <v>299</v>
      </c>
      <c r="AS985" s="487">
        <f>+VLOOKUP($AJ985,Data_Validation!$A:$E,5,0)</f>
        <v>0</v>
      </c>
      <c r="AT985" s="904" t="str">
        <f t="shared" si="101"/>
        <v>G68020</v>
      </c>
      <c r="AU985" s="488" t="str">
        <f t="shared" si="102"/>
        <v>COUT-P&amp;A RECLAM.CAM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2944</v>
      </c>
      <c r="D986" s="706" t="s">
        <v>2945</v>
      </c>
      <c r="E986" s="706" t="s">
        <v>333</v>
      </c>
      <c r="F986" s="706" t="s">
        <v>1152</v>
      </c>
      <c r="G986" s="706">
        <v>29709.91</v>
      </c>
      <c r="H986" s="706">
        <v>68901.850000000006</v>
      </c>
      <c r="I986" s="706">
        <v>110629.82</v>
      </c>
      <c r="J986" s="706">
        <v>157545.79999999999</v>
      </c>
      <c r="K986" s="706">
        <v>185833.58</v>
      </c>
      <c r="L986" s="706">
        <v>218696.64</v>
      </c>
      <c r="M986" s="706">
        <v>248135.07</v>
      </c>
      <c r="N986" s="706">
        <v>274902.86</v>
      </c>
      <c r="O986" s="706">
        <v>292294.77</v>
      </c>
      <c r="P986" s="706">
        <v>0</v>
      </c>
      <c r="Q986" s="706">
        <v>0</v>
      </c>
      <c r="R986" s="706">
        <v>0</v>
      </c>
      <c r="S986" s="706">
        <v>34362.86</v>
      </c>
      <c r="T986" s="706">
        <v>34362.86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G68100</v>
      </c>
      <c r="AK986" s="905" t="str">
        <f t="shared" si="99"/>
        <v>COUT-PIECES INTERNE</v>
      </c>
      <c r="AL986" s="905">
        <f>IFERROR(INDEX(G986:R986,1,MATCH(Parametres!$B$3,G$1:R$1,0)-1)*IF(OR(F986="L",F986="S",F986="I"),-1,1),"")</f>
        <v>248135.07</v>
      </c>
      <c r="AM986" s="905">
        <f t="shared" si="100"/>
        <v>26767.789999999979</v>
      </c>
      <c r="AN986" s="905">
        <f>INDEX(G986:R986,1,MATCH(Parametres!$B$3,G$1:R$1,0))*IF(OR(F986="L",F986="S",F986="I"),-1,1)</f>
        <v>274902.86</v>
      </c>
      <c r="AO986" s="487" t="str">
        <f>+VLOOKUP($AJ986,Data_Validation!$A:$D,1,0)</f>
        <v>G68100</v>
      </c>
      <c r="AP986" s="487" t="str">
        <f>+VLOOKUP($AJ986,Data_Validation!$A:$D,3,0)</f>
        <v>Pièces</v>
      </c>
      <c r="AQ986" s="487" t="str">
        <f>+VLOOKUP($AJ986,Data_Validation!$A:$D,4,0)</f>
        <v>Ventes Internes</v>
      </c>
      <c r="AR986" s="487" t="s">
        <v>299</v>
      </c>
      <c r="AS986" s="487">
        <f>+VLOOKUP($AJ986,Data_Validation!$A:$E,5,0)</f>
        <v>0</v>
      </c>
      <c r="AT986" s="904" t="str">
        <f t="shared" si="101"/>
        <v>G68100</v>
      </c>
      <c r="AU986" s="488" t="str">
        <f t="shared" si="102"/>
        <v>COUT-PIECES INTERNE</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2946</v>
      </c>
      <c r="D987" s="706" t="s">
        <v>2947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G68120</v>
      </c>
      <c r="AK987" s="905" t="str">
        <f t="shared" si="99"/>
        <v>COUT-P&amp;A INTERN CAM MOYEN</v>
      </c>
      <c r="AL987" s="905">
        <f>IFERROR(INDEX(G987:R987,1,MATCH(Parametres!$B$3,G$1:R$1,0)-1)*IF(OR(F987="L",F987="S",F987="I"),-1,1),"")</f>
        <v>0</v>
      </c>
      <c r="AM987" s="905">
        <f t="shared" si="100"/>
        <v>0</v>
      </c>
      <c r="AN987" s="905">
        <f>INDEX(G987:R987,1,MATCH(Parametres!$B$3,G$1:R$1,0))*IF(OR(F987="L",F987="S",F987="I"),-1,1)</f>
        <v>0</v>
      </c>
      <c r="AO987" s="487" t="str">
        <f>+VLOOKUP($AJ987,Data_Validation!$A:$D,1,0)</f>
        <v>G68120</v>
      </c>
      <c r="AP987" s="487" t="str">
        <f>+VLOOKUP($AJ987,Data_Validation!$A:$D,3,0)</f>
        <v>Pièces</v>
      </c>
      <c r="AQ987" s="487" t="str">
        <f>+VLOOKUP($AJ987,Data_Validation!$A:$D,4,0)</f>
        <v>Ventes Internes</v>
      </c>
      <c r="AR987" s="487" t="s">
        <v>299</v>
      </c>
      <c r="AS987" s="487">
        <f>+VLOOKUP($AJ987,Data_Validation!$A:$E,5,0)</f>
        <v>0</v>
      </c>
      <c r="AT987" s="904" t="str">
        <f t="shared" si="101"/>
        <v>G68120</v>
      </c>
      <c r="AU987" s="488" t="str">
        <f t="shared" si="102"/>
        <v>COUT-P&amp;A INTERN CAM MOYEN</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2948</v>
      </c>
      <c r="D988" s="706" t="s">
        <v>2949</v>
      </c>
      <c r="E988" s="706" t="s">
        <v>333</v>
      </c>
      <c r="F988" s="706" t="s">
        <v>1152</v>
      </c>
      <c r="G988" s="706">
        <v>21304.98</v>
      </c>
      <c r="H988" s="706">
        <v>37077.14</v>
      </c>
      <c r="I988" s="706">
        <v>69456.759999999995</v>
      </c>
      <c r="J988" s="706">
        <v>99247.83</v>
      </c>
      <c r="K988" s="706">
        <v>128788.14</v>
      </c>
      <c r="L988" s="706">
        <v>167695.60999999999</v>
      </c>
      <c r="M988" s="706">
        <v>212830.63</v>
      </c>
      <c r="N988" s="706">
        <v>238127.33</v>
      </c>
      <c r="O988" s="706">
        <v>256693.63</v>
      </c>
      <c r="P988" s="706">
        <v>0</v>
      </c>
      <c r="Q988" s="706">
        <v>0</v>
      </c>
      <c r="R988" s="706">
        <v>0</v>
      </c>
      <c r="S988" s="706">
        <v>29765.919999999998</v>
      </c>
      <c r="T988" s="706">
        <v>29765.919999999998</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G68200</v>
      </c>
      <c r="AK988" s="905" t="str">
        <f t="shared" si="99"/>
        <v>COUT-PIECES AU DETAIL</v>
      </c>
      <c r="AL988" s="905">
        <f>IFERROR(INDEX(G988:R988,1,MATCH(Parametres!$B$3,G$1:R$1,0)-1)*IF(OR(F988="L",F988="S",F988="I"),-1,1),"")</f>
        <v>212830.63</v>
      </c>
      <c r="AM988" s="905">
        <f t="shared" si="100"/>
        <v>25296.699999999983</v>
      </c>
      <c r="AN988" s="905">
        <f>INDEX(G988:R988,1,MATCH(Parametres!$B$3,G$1:R$1,0))*IF(OR(F988="L",F988="S",F988="I"),-1,1)</f>
        <v>238127.33</v>
      </c>
      <c r="AO988" s="487" t="str">
        <f>+VLOOKUP($AJ988,Data_Validation!$A:$D,1,0)</f>
        <v>G68200</v>
      </c>
      <c r="AP988" s="487" t="str">
        <f>+VLOOKUP($AJ988,Data_Validation!$A:$D,3,0)</f>
        <v>Pièces</v>
      </c>
      <c r="AQ988" s="487" t="str">
        <f>+VLOOKUP($AJ988,Data_Validation!$A:$D,4,0)</f>
        <v>Ventes Détails</v>
      </c>
      <c r="AR988" s="487" t="s">
        <v>299</v>
      </c>
      <c r="AS988" s="487">
        <f>+VLOOKUP($AJ988,Data_Validation!$A:$E,5,0)</f>
        <v>0</v>
      </c>
      <c r="AT988" s="904" t="str">
        <f t="shared" si="101"/>
        <v>G68200</v>
      </c>
      <c r="AU988" s="488" t="str">
        <f t="shared" si="102"/>
        <v>COUT-PIECES AU DETAIL</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2950</v>
      </c>
      <c r="D989" s="706" t="s">
        <v>2951</v>
      </c>
      <c r="E989" s="706" t="s">
        <v>333</v>
      </c>
      <c r="F989" s="706" t="s">
        <v>1152</v>
      </c>
      <c r="G989" s="706">
        <v>147820.20000000001</v>
      </c>
      <c r="H989" s="706">
        <v>262818.71000000002</v>
      </c>
      <c r="I989" s="706">
        <v>371846.67</v>
      </c>
      <c r="J989" s="706">
        <v>447721.11</v>
      </c>
      <c r="K989" s="706">
        <v>553773.17000000004</v>
      </c>
      <c r="L989" s="706">
        <v>658467.67000000004</v>
      </c>
      <c r="M989" s="706">
        <v>772589.17</v>
      </c>
      <c r="N989" s="706">
        <v>865849.91</v>
      </c>
      <c r="O989" s="706">
        <v>965276.4</v>
      </c>
      <c r="P989" s="706">
        <v>0</v>
      </c>
      <c r="Q989" s="706">
        <v>0</v>
      </c>
      <c r="R989" s="706">
        <v>0</v>
      </c>
      <c r="S989" s="706">
        <v>108231.24</v>
      </c>
      <c r="T989" s="706">
        <v>108231.24</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G68300</v>
      </c>
      <c r="AK989" s="905" t="str">
        <f t="shared" si="99"/>
        <v>COUT-PIECES EN GROS</v>
      </c>
      <c r="AL989" s="905">
        <f>IFERROR(INDEX(G989:R989,1,MATCH(Parametres!$B$3,G$1:R$1,0)-1)*IF(OR(F989="L",F989="S",F989="I"),-1,1),"")</f>
        <v>772589.17</v>
      </c>
      <c r="AM989" s="905">
        <f t="shared" si="100"/>
        <v>93260.739999999991</v>
      </c>
      <c r="AN989" s="905">
        <f>INDEX(G989:R989,1,MATCH(Parametres!$B$3,G$1:R$1,0))*IF(OR(F989="L",F989="S",F989="I"),-1,1)</f>
        <v>865849.91</v>
      </c>
      <c r="AO989" s="487" t="str">
        <f>+VLOOKUP($AJ989,Data_Validation!$A:$D,1,0)</f>
        <v>G68300</v>
      </c>
      <c r="AP989" s="487" t="str">
        <f>+VLOOKUP($AJ989,Data_Validation!$A:$D,3,0)</f>
        <v>Pièces</v>
      </c>
      <c r="AQ989" s="487" t="str">
        <f>+VLOOKUP($AJ989,Data_Validation!$A:$D,4,0)</f>
        <v>Ventes de Gros</v>
      </c>
      <c r="AR989" s="487" t="s">
        <v>299</v>
      </c>
      <c r="AS989" s="487">
        <f>+VLOOKUP($AJ989,Data_Validation!$A:$E,5,0)</f>
        <v>0</v>
      </c>
      <c r="AT989" s="904" t="str">
        <f t="shared" si="101"/>
        <v>G68300</v>
      </c>
      <c r="AU989" s="488" t="str">
        <f t="shared" si="102"/>
        <v>COUT-PIECES EN GROS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2952</v>
      </c>
      <c r="D990" s="706" t="s">
        <v>2953</v>
      </c>
      <c r="E990" s="706" t="s">
        <v>333</v>
      </c>
      <c r="F990" s="706" t="s">
        <v>1152</v>
      </c>
      <c r="G990" s="706">
        <v>-20065.36</v>
      </c>
      <c r="H990" s="706">
        <v>-23303.48</v>
      </c>
      <c r="I990" s="706">
        <v>-26562.22</v>
      </c>
      <c r="J990" s="706">
        <v>-48976.1</v>
      </c>
      <c r="K990" s="706">
        <v>-59789.15</v>
      </c>
      <c r="L990" s="706">
        <v>-62199.199999999997</v>
      </c>
      <c r="M990" s="706">
        <v>-78658.5</v>
      </c>
      <c r="N990" s="706">
        <v>-84034.19</v>
      </c>
      <c r="O990" s="706">
        <v>-86815.05</v>
      </c>
      <c r="P990" s="706">
        <v>0</v>
      </c>
      <c r="Q990" s="706">
        <v>0</v>
      </c>
      <c r="R990" s="706">
        <v>0</v>
      </c>
      <c r="S990" s="706">
        <v>-10504.27</v>
      </c>
      <c r="T990" s="706">
        <v>-10504.27</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G68700</v>
      </c>
      <c r="AK990" s="905" t="str">
        <f t="shared" si="99"/>
        <v>ESCOMPTES DE VOLUME</v>
      </c>
      <c r="AL990" s="905">
        <f>IFERROR(INDEX(G990:R990,1,MATCH(Parametres!$B$3,G$1:R$1,0)-1)*IF(OR(F990="L",F990="S",F990="I"),-1,1),"")</f>
        <v>-78658.5</v>
      </c>
      <c r="AM990" s="905">
        <f t="shared" si="100"/>
        <v>-5375.6900000000023</v>
      </c>
      <c r="AN990" s="905">
        <f>INDEX(G990:R990,1,MATCH(Parametres!$B$3,G$1:R$1,0))*IF(OR(F990="L",F990="S",F990="I"),-1,1)</f>
        <v>-84034.19</v>
      </c>
      <c r="AO990" s="487" t="str">
        <f>+VLOOKUP($AJ990,Data_Validation!$A:$D,1,0)</f>
        <v>G68700</v>
      </c>
      <c r="AP990" s="487" t="str">
        <f>+VLOOKUP($AJ990,Data_Validation!$A:$D,3,0)</f>
        <v>Pièces</v>
      </c>
      <c r="AQ990" s="487" t="str">
        <f>+VLOOKUP($AJ990,Data_Validation!$A:$D,4,0)</f>
        <v>Escomptes</v>
      </c>
      <c r="AR990" s="487" t="s">
        <v>299</v>
      </c>
      <c r="AS990" s="487">
        <f>+VLOOKUP($AJ990,Data_Validation!$A:$E,5,0)</f>
        <v>0</v>
      </c>
      <c r="AT990" s="904" t="str">
        <f t="shared" si="101"/>
        <v>G68700</v>
      </c>
      <c r="AU990" s="488" t="str">
        <f t="shared" si="102"/>
        <v>ESCOMPTES DE VOLUME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2954</v>
      </c>
      <c r="D991" s="706" t="s">
        <v>2955</v>
      </c>
      <c r="E991" s="706" t="s">
        <v>333</v>
      </c>
      <c r="F991" s="706" t="s">
        <v>1152</v>
      </c>
      <c r="G991" s="706">
        <v>-3656.81</v>
      </c>
      <c r="H991" s="706">
        <v>-3884.38</v>
      </c>
      <c r="I991" s="706">
        <v>-5049.5</v>
      </c>
      <c r="J991" s="706">
        <v>-4993.82</v>
      </c>
      <c r="K991" s="706">
        <v>-6642.71</v>
      </c>
      <c r="L991" s="706">
        <v>-7079.42</v>
      </c>
      <c r="M991" s="706">
        <v>-8200.67</v>
      </c>
      <c r="N991" s="706">
        <v>-9681.15</v>
      </c>
      <c r="O991" s="706">
        <v>-10322.77</v>
      </c>
      <c r="P991" s="706">
        <v>0</v>
      </c>
      <c r="Q991" s="706">
        <v>0</v>
      </c>
      <c r="R991" s="706">
        <v>0</v>
      </c>
      <c r="S991" s="706">
        <v>-1210.1400000000001</v>
      </c>
      <c r="T991" s="706">
        <v>-1210.1400000000001</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G68800</v>
      </c>
      <c r="AK991" s="905" t="str">
        <f t="shared" si="99"/>
        <v>RECTIFIC.STOCK PIECES</v>
      </c>
      <c r="AL991" s="905">
        <f>IFERROR(INDEX(G991:R991,1,MATCH(Parametres!$B$3,G$1:R$1,0)-1)*IF(OR(F991="L",F991="S",F991="I"),-1,1),"")</f>
        <v>-8200.67</v>
      </c>
      <c r="AM991" s="905">
        <f t="shared" si="100"/>
        <v>-1480.4799999999996</v>
      </c>
      <c r="AN991" s="905">
        <f>INDEX(G991:R991,1,MATCH(Parametres!$B$3,G$1:R$1,0))*IF(OR(F991="L",F991="S",F991="I"),-1,1)</f>
        <v>-9681.15</v>
      </c>
      <c r="AO991" s="487" t="str">
        <f>+VLOOKUP($AJ991,Data_Validation!$A:$D,1,0)</f>
        <v>G68800</v>
      </c>
      <c r="AP991" s="487" t="str">
        <f>+VLOOKUP($AJ991,Data_Validation!$A:$D,3,0)</f>
        <v>Pièces</v>
      </c>
      <c r="AQ991" s="487" t="str">
        <f>+VLOOKUP($AJ991,Data_Validation!$A:$D,4,0)</f>
        <v>Rectif. Inventaire</v>
      </c>
      <c r="AR991" s="487" t="s">
        <v>299</v>
      </c>
      <c r="AS991" s="487">
        <f>+VLOOKUP($AJ991,Data_Validation!$A:$E,5,0)</f>
        <v>0</v>
      </c>
      <c r="AT991" s="904" t="str">
        <f t="shared" si="101"/>
        <v>G68800</v>
      </c>
      <c r="AU991" s="488" t="str">
        <f t="shared" si="102"/>
        <v>RECTIFIC.STOCK PIECES</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2956</v>
      </c>
      <c r="D992" s="706" t="s">
        <v>2957</v>
      </c>
      <c r="E992" s="706" t="s">
        <v>333</v>
      </c>
      <c r="F992" s="706" t="s">
        <v>1152</v>
      </c>
      <c r="G992" s="706">
        <v>34926.080000000002</v>
      </c>
      <c r="H992" s="706">
        <v>62121.599999999999</v>
      </c>
      <c r="I992" s="706">
        <v>76201.22</v>
      </c>
      <c r="J992" s="706">
        <v>97234.06</v>
      </c>
      <c r="K992" s="706">
        <v>110391.72</v>
      </c>
      <c r="L992" s="706">
        <v>124951.91</v>
      </c>
      <c r="M992" s="706">
        <v>135615.26</v>
      </c>
      <c r="N992" s="706">
        <v>151991.71</v>
      </c>
      <c r="O992" s="706">
        <v>170018.63</v>
      </c>
      <c r="P992" s="706">
        <v>0</v>
      </c>
      <c r="Q992" s="706">
        <v>0</v>
      </c>
      <c r="R992" s="706">
        <v>0</v>
      </c>
      <c r="S992" s="706">
        <v>18998.96</v>
      </c>
      <c r="T992" s="706">
        <v>18998.96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G69000</v>
      </c>
      <c r="AK992" s="905" t="str">
        <f t="shared" si="99"/>
        <v>COUT-PNEUS VENDUS</v>
      </c>
      <c r="AL992" s="905">
        <f>IFERROR(INDEX(G992:R992,1,MATCH(Parametres!$B$3,G$1:R$1,0)-1)*IF(OR(F992="L",F992="S",F992="I"),-1,1),"")</f>
        <v>135615.26</v>
      </c>
      <c r="AM992" s="905">
        <f t="shared" si="100"/>
        <v>16376.449999999983</v>
      </c>
      <c r="AN992" s="905">
        <f>INDEX(G992:R992,1,MATCH(Parametres!$B$3,G$1:R$1,0))*IF(OR(F992="L",F992="S",F992="I"),-1,1)</f>
        <v>151991.71</v>
      </c>
      <c r="AO992" s="487" t="str">
        <f>+VLOOKUP($AJ992,Data_Validation!$A:$D,1,0)</f>
        <v>G69000</v>
      </c>
      <c r="AP992" s="487" t="str">
        <f>+VLOOKUP($AJ992,Data_Validation!$A:$D,3,0)</f>
        <v>Pièces</v>
      </c>
      <c r="AQ992" s="487" t="str">
        <f>+VLOOKUP($AJ992,Data_Validation!$A:$D,4,0)</f>
        <v>Ventes Pneus</v>
      </c>
      <c r="AR992" s="487" t="s">
        <v>299</v>
      </c>
      <c r="AS992" s="487">
        <f>+VLOOKUP($AJ992,Data_Validation!$A:$E,5,0)</f>
        <v>0</v>
      </c>
      <c r="AT992" s="904" t="str">
        <f t="shared" si="101"/>
        <v>G69000</v>
      </c>
      <c r="AU992" s="488" t="str">
        <f t="shared" si="102"/>
        <v>COUT-PNEUS VENDUS</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customHeight="1">
      <c r="A993" s="706" t="s">
        <v>1148</v>
      </c>
      <c r="B993" s="706">
        <v>2026</v>
      </c>
      <c r="C993" s="706" t="s">
        <v>2958</v>
      </c>
      <c r="D993" s="706" t="s">
        <v>2959</v>
      </c>
      <c r="E993" s="706" t="s">
        <v>333</v>
      </c>
      <c r="F993" s="706" t="s">
        <v>1152</v>
      </c>
      <c r="G993" s="706">
        <v>6801.33</v>
      </c>
      <c r="H993" s="706">
        <v>13763.25</v>
      </c>
      <c r="I993" s="706">
        <v>23246.21</v>
      </c>
      <c r="J993" s="706">
        <v>31500.2</v>
      </c>
      <c r="K993" s="706">
        <v>39878.769999999997</v>
      </c>
      <c r="L993" s="706">
        <v>50694.1</v>
      </c>
      <c r="M993" s="706">
        <v>59900.86</v>
      </c>
      <c r="N993" s="706">
        <v>69965.3</v>
      </c>
      <c r="O993" s="706">
        <v>76180.19</v>
      </c>
      <c r="P993" s="706">
        <v>0</v>
      </c>
      <c r="Q993" s="706">
        <v>0</v>
      </c>
      <c r="R993" s="706">
        <v>0</v>
      </c>
      <c r="S993" s="706">
        <v>8745.66</v>
      </c>
      <c r="T993" s="706">
        <v>8745.66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G69100</v>
      </c>
      <c r="AK993" s="905" t="str">
        <f t="shared" si="99"/>
        <v>COUT-HUILES &amp; GRAISSE</v>
      </c>
      <c r="AL993" s="905">
        <f>IFERROR(INDEX(G993:R993,1,MATCH(Parametres!$B$3,G$1:R$1,0)-1)*IF(OR(F993="L",F993="S",F993="I"),-1,1),"")</f>
        <v>59900.86</v>
      </c>
      <c r="AM993" s="905">
        <f t="shared" si="100"/>
        <v>10064.440000000002</v>
      </c>
      <c r="AN993" s="905">
        <f>INDEX(G993:R993,1,MATCH(Parametres!$B$3,G$1:R$1,0))*IF(OR(F993="L",F993="S",F993="I"),-1,1)</f>
        <v>69965.3</v>
      </c>
      <c r="AO993" s="487" t="str">
        <f>+VLOOKUP($AJ993,Data_Validation!$A:$D,1,0)</f>
        <v>G69100</v>
      </c>
      <c r="AP993" s="487" t="str">
        <f>+VLOOKUP($AJ993,Data_Validation!$A:$D,3,0)</f>
        <v>Pièces</v>
      </c>
      <c r="AQ993" s="487" t="str">
        <f>+VLOOKUP($AJ993,Data_Validation!$A:$D,4,0)</f>
        <v>Huiles et Graisse</v>
      </c>
      <c r="AR993" s="487" t="s">
        <v>299</v>
      </c>
      <c r="AS993" s="487">
        <f>+VLOOKUP($AJ993,Data_Validation!$A:$E,5,0)</f>
        <v>0</v>
      </c>
      <c r="AT993" s="904" t="str">
        <f t="shared" si="101"/>
        <v>G69100</v>
      </c>
      <c r="AU993" s="488" t="str">
        <f t="shared" si="102"/>
        <v>COUT-HUILES &amp; GRAISSE</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customHeight="1">
      <c r="A994" s="706" t="s">
        <v>1148</v>
      </c>
      <c r="B994" s="706">
        <v>2026</v>
      </c>
      <c r="C994" s="706" t="s">
        <v>2960</v>
      </c>
      <c r="D994" s="706" t="s">
        <v>2961</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G711</v>
      </c>
      <c r="AK994" s="905" t="str">
        <f t="shared" si="99"/>
        <v>INTERETS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G711</v>
      </c>
      <c r="AU994" s="488" t="str">
        <f t="shared" si="102"/>
        <v>INTERETS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2962</v>
      </c>
      <c r="D995" s="706" t="s">
        <v>2963</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G712</v>
      </c>
      <c r="AK995" s="905" t="str">
        <f t="shared" si="99"/>
        <v>AMORTISSEMENT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G712</v>
      </c>
      <c r="AU995" s="488" t="str">
        <f t="shared" si="102"/>
        <v>AMORTISSEMENT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2964</v>
      </c>
      <c r="D996" s="706" t="s">
        <v>2965</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G713</v>
      </c>
      <c r="AK996" s="905" t="str">
        <f t="shared" si="99"/>
        <v>ASSUR.VEH EN SERV.-SIMPLE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G713</v>
      </c>
      <c r="AU996" s="488" t="str">
        <f t="shared" si="102"/>
        <v>ASSUR.VEH EN SERV.-SIMPLE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2966</v>
      </c>
      <c r="D997" s="706" t="s">
        <v>2967</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G714</v>
      </c>
      <c r="AK997" s="905" t="str">
        <f t="shared" si="99"/>
        <v>PLAQUE,TITRE,TAXES-SIMPLE</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G714</v>
      </c>
      <c r="AU997" s="488" t="str">
        <f t="shared" si="102"/>
        <v>PLAQUE,TITRE,TAXES-SIMPLE</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2968</v>
      </c>
      <c r="D998" s="706" t="s">
        <v>2969</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G715</v>
      </c>
      <c r="AK998" s="905" t="str">
        <f t="shared" si="99"/>
        <v>TRAVAUX GRACIEUX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G715</v>
      </c>
      <c r="AU998" s="488" t="str">
        <f t="shared" si="102"/>
        <v>TRAVAUX GRACIEUX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2970</v>
      </c>
      <c r="D999" s="706" t="s">
        <v>2971</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G716</v>
      </c>
      <c r="AK999" s="905" t="str">
        <f t="shared" si="99"/>
        <v>REPAR.&amp; ENTRETIEN -SIMPLE</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G716</v>
      </c>
      <c r="AU999" s="488" t="str">
        <f t="shared" si="102"/>
        <v>REPAR.&amp; ENTRETIEN -SIMPLE</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2972</v>
      </c>
      <c r="D1000" s="706" t="s">
        <v>2973</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G717</v>
      </c>
      <c r="AK1000" s="905" t="str">
        <f t="shared" si="99"/>
        <v>PRIX LOC.UNIT.S-LOUE-SIMP</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G717</v>
      </c>
      <c r="AU1000" s="488" t="str">
        <f t="shared" si="102"/>
        <v>PRIX LOC.UNIT.S-LOUE-SIMP</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2974</v>
      </c>
      <c r="D1001" s="706" t="s">
        <v>2975</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G718</v>
      </c>
      <c r="AK1001" s="905" t="str">
        <f t="shared" si="99"/>
        <v>AUTRES            -SIMPLE</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G718</v>
      </c>
      <c r="AU1001" s="488" t="str">
        <f t="shared" si="102"/>
        <v>AUTRES            -SIMPLE</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2976</v>
      </c>
      <c r="D1002" s="706" t="s">
        <v>2977</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G721</v>
      </c>
      <c r="AK1002" s="905" t="str">
        <f t="shared" si="99"/>
        <v>INTERETS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G721</v>
      </c>
      <c r="AU1002" s="488" t="str">
        <f t="shared" si="102"/>
        <v>INTERETS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2978</v>
      </c>
      <c r="D1003" s="706" t="s">
        <v>2979</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G722</v>
      </c>
      <c r="AK1003" s="905" t="str">
        <f t="shared" si="99"/>
        <v>AMORTISSEMENT     -ALEATO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G722</v>
      </c>
      <c r="AU1003" s="488" t="str">
        <f t="shared" si="102"/>
        <v>AMORTISSEMENT     -ALEATO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2980</v>
      </c>
      <c r="D1004" s="706" t="s">
        <v>2981</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G723</v>
      </c>
      <c r="AK1004" s="905" t="str">
        <f t="shared" si="99"/>
        <v>ASSUR.VEH EN SERV.-ALEATO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G723</v>
      </c>
      <c r="AU1004" s="488" t="str">
        <f t="shared" si="102"/>
        <v>ASSUR.VEH EN SERV.-ALEATO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2982</v>
      </c>
      <c r="D1005" s="706" t="s">
        <v>2983</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G724</v>
      </c>
      <c r="AK1005" s="905" t="str">
        <f t="shared" si="99"/>
        <v>PLAQUE,TITRE,TAXES-ALEATO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G724</v>
      </c>
      <c r="AU1005" s="488" t="str">
        <f t="shared" si="102"/>
        <v>PLAQUE,TITRE,TAXES-ALEATO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2984</v>
      </c>
      <c r="D1006" s="706" t="s">
        <v>2985</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G72402</v>
      </c>
      <c r="AK1006" s="905" t="str">
        <f t="shared" si="99"/>
        <v>ENTRETIEN COURT TERME</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G72402</v>
      </c>
      <c r="AU1006" s="488" t="str">
        <f t="shared" si="102"/>
        <v>ENTRETIEN COURT TERME</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2986</v>
      </c>
      <c r="D1007" s="706" t="s">
        <v>2987</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G725</v>
      </c>
      <c r="AK1007" s="905" t="str">
        <f t="shared" si="99"/>
        <v>TRAVAUX GRACIEUX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G725</v>
      </c>
      <c r="AU1007" s="488" t="str">
        <f t="shared" si="102"/>
        <v>TRAVAUX GRACIEUX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2988</v>
      </c>
      <c r="D1008" s="706" t="s">
        <v>2989</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G726</v>
      </c>
      <c r="AK1008" s="905" t="str">
        <f t="shared" si="99"/>
        <v>REPAR.&amp; ENTRETIEN -ALEATO</v>
      </c>
      <c r="AL1008" s="905">
        <f>IFERROR(INDEX(G1008:R1008,1,MATCH(Parametres!$B$3,G$1:R$1,0)-1)*IF(OR(F1008="L",F1008="S",F1008="I"),-1,1),"")</f>
        <v>0</v>
      </c>
      <c r="AM1008" s="905">
        <f t="shared" si="100"/>
        <v>0</v>
      </c>
      <c r="AN1008" s="905">
        <f>INDEX(G1008:R1008,1,MATCH(Parametres!$B$3,G$1:R$1,0))*IF(OR(F1008="L",F1008="S",F1008="I"),-1,1)</f>
        <v>0</v>
      </c>
      <c r="AO1008" s="487" t="e">
        <f>+VLOOKUP($AJ1008,Data_Validation!$A:$D,1,0)</f>
        <v>#N/A</v>
      </c>
      <c r="AP1008" s="487" t="e">
        <f>+VLOOKUP($AJ1008,Data_Validation!$A:$D,3,0)</f>
        <v>#N/A</v>
      </c>
      <c r="AQ1008" s="487" t="e">
        <f>+VLOOKUP($AJ1008,Data_Validation!$A:$D,4,0)</f>
        <v>#N/A</v>
      </c>
      <c r="AR1008" s="487" t="s">
        <v>299</v>
      </c>
      <c r="AS1008" s="487" t="e">
        <f>+VLOOKUP($AJ1008,Data_Validation!$A:$E,5,0)</f>
        <v>#N/A</v>
      </c>
      <c r="AT1008" s="904" t="str">
        <f t="shared" si="101"/>
        <v>G726</v>
      </c>
      <c r="AU1008" s="488" t="str">
        <f t="shared" si="102"/>
        <v>REPAR.&amp; ENTRETIEN -ALEATO</v>
      </c>
      <c r="AV1008" s="899">
        <f>IFERROR(INDEX(V1008:AG1008,1,MATCH(Parametres!$B$3,V$1:AG$1,0)-1)*IF(OR(C1008="L",C1008="S",C1008="I"),-1,1),"")</f>
        <v>0</v>
      </c>
      <c r="AW1008" s="899">
        <f t="shared" si="103"/>
        <v>0</v>
      </c>
      <c r="AX1008" s="899">
        <f>INDEX(V1008:AG1008,1,MATCH(Parametres!$B$3,V$1:AG$1,0))*IF(OR(C1008="L",C1008="S",C1008="I"),-1,1)</f>
        <v>0</v>
      </c>
      <c r="AY1008" s="487" t="s">
        <v>337</v>
      </c>
      <c r="AZ1008" s="487" t="e">
        <f>+VLOOKUP($AJ1008,Data_Validation!$A:$E,5,0)</f>
        <v>#N/A</v>
      </c>
    </row>
    <row r="1009" spans="1:52" ht="15" customHeight="1">
      <c r="A1009" s="706" t="s">
        <v>1148</v>
      </c>
      <c r="B1009" s="706">
        <v>2026</v>
      </c>
      <c r="C1009" s="706" t="s">
        <v>2990</v>
      </c>
      <c r="D1009" s="706" t="s">
        <v>2991</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G727</v>
      </c>
      <c r="AK1009" s="905" t="str">
        <f t="shared" si="99"/>
        <v>PRIX LOC.UNIT.S-LOUE-ALEA</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G727</v>
      </c>
      <c r="AU1009" s="488" t="str">
        <f t="shared" si="102"/>
        <v>PRIX LOC.UNIT.S-LOUE-ALEA</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2992</v>
      </c>
      <c r="D1010" s="706" t="s">
        <v>2993</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G728</v>
      </c>
      <c r="AK1010" s="905" t="str">
        <f t="shared" si="99"/>
        <v>AUTRES            -ALEATO</v>
      </c>
      <c r="AL1010" s="905">
        <f>IFERROR(INDEX(G1010:R1010,1,MATCH(Parametres!$B$3,G$1:R$1,0)-1)*IF(OR(F1010="L",F1010="S",F1010="I"),-1,1),"")</f>
        <v>0</v>
      </c>
      <c r="AM1010" s="905">
        <f t="shared" si="100"/>
        <v>0</v>
      </c>
      <c r="AN1010" s="905">
        <f>INDEX(G1010:R1010,1,MATCH(Parametres!$B$3,G$1:R$1,0))*IF(OR(F1010="L",F1010="S",F1010="I"),-1,1)</f>
        <v>0</v>
      </c>
      <c r="AO1010" s="487" t="e">
        <f>+VLOOKUP($AJ1010,Data_Validation!$A:$D,1,0)</f>
        <v>#N/A</v>
      </c>
      <c r="AP1010" s="487" t="e">
        <f>+VLOOKUP($AJ1010,Data_Validation!$A:$D,3,0)</f>
        <v>#N/A</v>
      </c>
      <c r="AQ1010" s="487" t="e">
        <f>+VLOOKUP($AJ1010,Data_Validation!$A:$D,4,0)</f>
        <v>#N/A</v>
      </c>
      <c r="AR1010" s="487" t="s">
        <v>299</v>
      </c>
      <c r="AS1010" s="487" t="e">
        <f>+VLOOKUP($AJ1010,Data_Validation!$A:$E,5,0)</f>
        <v>#N/A</v>
      </c>
      <c r="AT1010" s="904" t="str">
        <f t="shared" si="101"/>
        <v>G728</v>
      </c>
      <c r="AU1010" s="488" t="str">
        <f t="shared" si="102"/>
        <v>AUTRES            -ALEATO</v>
      </c>
      <c r="AV1010" s="899">
        <f>IFERROR(INDEX(V1010:AG1010,1,MATCH(Parametres!$B$3,V$1:AG$1,0)-1)*IF(OR(C1010="L",C1010="S",C1010="I"),-1,1),"")</f>
        <v>0</v>
      </c>
      <c r="AW1010" s="899">
        <f t="shared" si="103"/>
        <v>0</v>
      </c>
      <c r="AX1010" s="899">
        <f>INDEX(V1010:AG1010,1,MATCH(Parametres!$B$3,V$1:AG$1,0))*IF(OR(C1010="L",C1010="S",C1010="I"),-1,1)</f>
        <v>0</v>
      </c>
      <c r="AY1010" s="487" t="s">
        <v>337</v>
      </c>
      <c r="AZ1010" s="487" t="e">
        <f>+VLOOKUP($AJ1010,Data_Validation!$A:$E,5,0)</f>
        <v>#N/A</v>
      </c>
    </row>
    <row r="1011" spans="1:52" ht="15" customHeight="1">
      <c r="A1011" s="706" t="s">
        <v>1148</v>
      </c>
      <c r="B1011" s="706">
        <v>2026</v>
      </c>
      <c r="C1011" s="706" t="s">
        <v>2994</v>
      </c>
      <c r="D1011" s="706" t="s">
        <v>2995</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G73000</v>
      </c>
      <c r="AK1011" s="905" t="str">
        <f t="shared" si="99"/>
        <v>COUT VTES VEHICULES CEDES</v>
      </c>
      <c r="AL1011" s="905">
        <f>IFERROR(INDEX(G1011:R1011,1,MATCH(Parametres!$B$3,G$1:R$1,0)-1)*IF(OR(F1011="L",F1011="S",F1011="I"),-1,1),"")</f>
        <v>0</v>
      </c>
      <c r="AM1011" s="905">
        <f t="shared" si="100"/>
        <v>0</v>
      </c>
      <c r="AN1011" s="905">
        <f>INDEX(G1011:R1011,1,MATCH(Parametres!$B$3,G$1:R$1,0))*IF(OR(F1011="L",F1011="S",F1011="I"),-1,1)</f>
        <v>0</v>
      </c>
      <c r="AO1011" s="487" t="str">
        <f>+VLOOKUP($AJ1011,Data_Validation!$A:$D,1,0)</f>
        <v>G73000</v>
      </c>
      <c r="AP1011" s="487">
        <f>+VLOOKUP($AJ1011,Data_Validation!$A:$D,3,0)</f>
        <v>0</v>
      </c>
      <c r="AQ1011" s="487">
        <f>+VLOOKUP($AJ1011,Data_Validation!$A:$D,4,0)</f>
        <v>0</v>
      </c>
      <c r="AR1011" s="487" t="s">
        <v>299</v>
      </c>
      <c r="AS1011" s="487">
        <f>+VLOOKUP($AJ1011,Data_Validation!$A:$E,5,0)</f>
        <v>0</v>
      </c>
      <c r="AT1011" s="904" t="str">
        <f t="shared" si="101"/>
        <v>G73000</v>
      </c>
      <c r="AU1011" s="488" t="str">
        <f t="shared" si="102"/>
        <v>COUT VTES VEHICULES CEDES</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customHeight="1">
      <c r="A1012" s="706" t="s">
        <v>1148</v>
      </c>
      <c r="B1012" s="706">
        <v>2026</v>
      </c>
      <c r="C1012" s="706" t="s">
        <v>2996</v>
      </c>
      <c r="D1012" s="706" t="s">
        <v>2997</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G731</v>
      </c>
      <c r="AK1012" s="905" t="str">
        <f t="shared" si="99"/>
        <v>INTERETS             -C/T</v>
      </c>
      <c r="AL1012" s="905">
        <f>IFERROR(INDEX(G1012:R1012,1,MATCH(Parametres!$B$3,G$1:R$1,0)-1)*IF(OR(F1012="L",F1012="S",F1012="I"),-1,1),"")</f>
        <v>0</v>
      </c>
      <c r="AM1012" s="905">
        <f t="shared" si="100"/>
        <v>0</v>
      </c>
      <c r="AN1012" s="905">
        <f>INDEX(G1012:R1012,1,MATCH(Parametres!$B$3,G$1:R$1,0))*IF(OR(F1012="L",F1012="S",F1012="I"),-1,1)</f>
        <v>0</v>
      </c>
      <c r="AO1012" s="487" t="e">
        <f>+VLOOKUP($AJ1012,Data_Validation!$A:$D,1,0)</f>
        <v>#N/A</v>
      </c>
      <c r="AP1012" s="487" t="e">
        <f>+VLOOKUP($AJ1012,Data_Validation!$A:$D,3,0)</f>
        <v>#N/A</v>
      </c>
      <c r="AQ1012" s="487" t="e">
        <f>+VLOOKUP($AJ1012,Data_Validation!$A:$D,4,0)</f>
        <v>#N/A</v>
      </c>
      <c r="AR1012" s="487" t="s">
        <v>299</v>
      </c>
      <c r="AS1012" s="487" t="e">
        <f>+VLOOKUP($AJ1012,Data_Validation!$A:$E,5,0)</f>
        <v>#N/A</v>
      </c>
      <c r="AT1012" s="904" t="str">
        <f t="shared" si="101"/>
        <v>G731</v>
      </c>
      <c r="AU1012" s="488" t="str">
        <f t="shared" si="102"/>
        <v>INTERETS             -C/T</v>
      </c>
      <c r="AV1012" s="899">
        <f>IFERROR(INDEX(V1012:AG1012,1,MATCH(Parametres!$B$3,V$1:AG$1,0)-1)*IF(OR(C1012="L",C1012="S",C1012="I"),-1,1),"")</f>
        <v>0</v>
      </c>
      <c r="AW1012" s="899">
        <f t="shared" si="103"/>
        <v>0</v>
      </c>
      <c r="AX1012" s="899">
        <f>INDEX(V1012:AG1012,1,MATCH(Parametres!$B$3,V$1:AG$1,0))*IF(OR(C1012="L",C1012="S",C1012="I"),-1,1)</f>
        <v>0</v>
      </c>
      <c r="AY1012" s="487" t="s">
        <v>337</v>
      </c>
      <c r="AZ1012" s="487" t="e">
        <f>+VLOOKUP($AJ1012,Data_Validation!$A:$E,5,0)</f>
        <v>#N/A</v>
      </c>
    </row>
    <row r="1013" spans="1:52" ht="15" customHeight="1">
      <c r="A1013" s="706" t="s">
        <v>1148</v>
      </c>
      <c r="B1013" s="706">
        <v>2026</v>
      </c>
      <c r="C1013" s="706" t="s">
        <v>2998</v>
      </c>
      <c r="D1013" s="706" t="s">
        <v>2999</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G73100</v>
      </c>
      <c r="AK1013" s="905" t="str">
        <f t="shared" si="99"/>
        <v>INTERETS LOCATION C/TERME</v>
      </c>
      <c r="AL1013" s="905">
        <f>IFERROR(INDEX(G1013:R1013,1,MATCH(Parametres!$B$3,G$1:R$1,0)-1)*IF(OR(F1013="L",F1013="S",F1013="I"),-1,1),"")</f>
        <v>0</v>
      </c>
      <c r="AM1013" s="905">
        <f t="shared" si="100"/>
        <v>0</v>
      </c>
      <c r="AN1013" s="905">
        <f>INDEX(G1013:R1013,1,MATCH(Parametres!$B$3,G$1:R$1,0))*IF(OR(F1013="L",F1013="S",F1013="I"),-1,1)</f>
        <v>0</v>
      </c>
      <c r="AO1013" s="487" t="str">
        <f>+VLOOKUP($AJ1013,Data_Validation!$A:$D,1,0)</f>
        <v>G73100</v>
      </c>
      <c r="AP1013" s="487">
        <f>+VLOOKUP($AJ1013,Data_Validation!$A:$D,3,0)</f>
        <v>0</v>
      </c>
      <c r="AQ1013" s="487">
        <f>+VLOOKUP($AJ1013,Data_Validation!$A:$D,4,0)</f>
        <v>0</v>
      </c>
      <c r="AR1013" s="487" t="s">
        <v>299</v>
      </c>
      <c r="AS1013" s="487">
        <f>+VLOOKUP($AJ1013,Data_Validation!$A:$E,5,0)</f>
        <v>0</v>
      </c>
      <c r="AT1013" s="904" t="str">
        <f t="shared" si="101"/>
        <v>G73100</v>
      </c>
      <c r="AU1013" s="488" t="str">
        <f t="shared" si="102"/>
        <v>INTERETS LOCATION C/TERME</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customHeight="1">
      <c r="A1014" s="706" t="s">
        <v>1148</v>
      </c>
      <c r="B1014" s="706">
        <v>2026</v>
      </c>
      <c r="C1014" s="706" t="s">
        <v>3000</v>
      </c>
      <c r="D1014" s="706" t="s">
        <v>3001</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G732</v>
      </c>
      <c r="AK1014" s="905" t="str">
        <f t="shared" si="99"/>
        <v>AMORTISSEMENT        -C/T</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G732</v>
      </c>
      <c r="AU1014" s="488" t="str">
        <f t="shared" si="102"/>
        <v>AMORTISSEMENT        -C/T</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3002</v>
      </c>
      <c r="D1015" s="706" t="s">
        <v>3003</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G73200</v>
      </c>
      <c r="AK1015" s="905" t="str">
        <f t="shared" si="99"/>
        <v>AMORT. LOCATION C/TERME</v>
      </c>
      <c r="AL1015" s="905">
        <f>IFERROR(INDEX(G1015:R1015,1,MATCH(Parametres!$B$3,G$1:R$1,0)-1)*IF(OR(F1015="L",F1015="S",F1015="I"),-1,1),"")</f>
        <v>0</v>
      </c>
      <c r="AM1015" s="905">
        <f t="shared" si="100"/>
        <v>0</v>
      </c>
      <c r="AN1015" s="905">
        <f>INDEX(G1015:R1015,1,MATCH(Parametres!$B$3,G$1:R$1,0))*IF(OR(F1015="L",F1015="S",F1015="I"),-1,1)</f>
        <v>0</v>
      </c>
      <c r="AO1015" s="487" t="str">
        <f>+VLOOKUP($AJ1015,Data_Validation!$A:$D,1,0)</f>
        <v>G73200</v>
      </c>
      <c r="AP1015" s="487">
        <f>+VLOOKUP($AJ1015,Data_Validation!$A:$D,3,0)</f>
        <v>0</v>
      </c>
      <c r="AQ1015" s="487">
        <f>+VLOOKUP($AJ1015,Data_Validation!$A:$D,4,0)</f>
        <v>0</v>
      </c>
      <c r="AR1015" s="487" t="s">
        <v>299</v>
      </c>
      <c r="AS1015" s="487">
        <f>+VLOOKUP($AJ1015,Data_Validation!$A:$E,5,0)</f>
        <v>0</v>
      </c>
      <c r="AT1015" s="904" t="str">
        <f t="shared" si="101"/>
        <v>G73200</v>
      </c>
      <c r="AU1015" s="488" t="str">
        <f t="shared" si="102"/>
        <v>AMORT. LOCATION C/TERME</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customHeight="1">
      <c r="A1016" s="706" t="s">
        <v>1148</v>
      </c>
      <c r="B1016" s="706">
        <v>2026</v>
      </c>
      <c r="C1016" s="706" t="s">
        <v>3004</v>
      </c>
      <c r="D1016" s="706" t="s">
        <v>3005</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G733</v>
      </c>
      <c r="AK1016" s="905" t="str">
        <f t="shared" si="99"/>
        <v>ASSUR.VEH EN SERV.   -C/T</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G733</v>
      </c>
      <c r="AU1016" s="488" t="str">
        <f t="shared" si="102"/>
        <v>ASSUR.VEH EN SERV.   -C/T</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customHeight="1">
      <c r="A1017" s="706" t="s">
        <v>1148</v>
      </c>
      <c r="B1017" s="706">
        <v>2026</v>
      </c>
      <c r="C1017" s="706" t="s">
        <v>3006</v>
      </c>
      <c r="D1017" s="706" t="s">
        <v>3007</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G73300</v>
      </c>
      <c r="AK1017" s="905" t="str">
        <f t="shared" si="99"/>
        <v>ASSURANCES COURTOISIES</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G73300</v>
      </c>
      <c r="AU1017" s="488" t="str">
        <f t="shared" si="102"/>
        <v>ASSURANCES COURTOISIES</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3008</v>
      </c>
      <c r="D1018" s="706" t="s">
        <v>3009</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G734</v>
      </c>
      <c r="AK1018" s="905" t="str">
        <f t="shared" si="99"/>
        <v>PLAQUE,TITRE,TAXES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G734</v>
      </c>
      <c r="AU1018" s="488" t="str">
        <f t="shared" si="102"/>
        <v>PLAQUE,TITRE,TAXES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customHeight="1">
      <c r="A1019" s="706" t="s">
        <v>1148</v>
      </c>
      <c r="B1019" s="706">
        <v>2026</v>
      </c>
      <c r="C1019" s="706" t="s">
        <v>3010</v>
      </c>
      <c r="D1019" s="706" t="s">
        <v>3011</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G73400</v>
      </c>
      <c r="AK1019" s="905" t="str">
        <f t="shared" si="99"/>
        <v>PLAQUES TITRES LOC.C/TERM</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G73400</v>
      </c>
      <c r="AP1019" s="487">
        <f>+VLOOKUP($AJ1019,Data_Validation!$A:$D,3,0)</f>
        <v>0</v>
      </c>
      <c r="AQ1019" s="487">
        <f>+VLOOKUP($AJ1019,Data_Validation!$A:$D,4,0)</f>
        <v>0</v>
      </c>
      <c r="AR1019" s="487" t="s">
        <v>299</v>
      </c>
      <c r="AS1019" s="487">
        <f>+VLOOKUP($AJ1019,Data_Validation!$A:$E,5,0)</f>
        <v>0</v>
      </c>
      <c r="AT1019" s="904" t="str">
        <f t="shared" si="101"/>
        <v>G73400</v>
      </c>
      <c r="AU1019" s="488" t="str">
        <f t="shared" si="102"/>
        <v>PLAQUES TITRES LOC.C/TERM</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3012</v>
      </c>
      <c r="D1020" s="706" t="s">
        <v>3013</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G735</v>
      </c>
      <c r="AK1020" s="905" t="str">
        <f t="shared" si="99"/>
        <v>TRAVAUX GRACIEUX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G735</v>
      </c>
      <c r="AU1020" s="488" t="str">
        <f t="shared" si="102"/>
        <v>TRAVAUX GRACIEUX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3014</v>
      </c>
      <c r="D1021" s="706" t="s">
        <v>3015</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G736</v>
      </c>
      <c r="AK1021" s="905" t="str">
        <f t="shared" si="99"/>
        <v>REPAR.&amp; ENTRETIEN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G736</v>
      </c>
      <c r="AU1021" s="488" t="str">
        <f t="shared" si="102"/>
        <v>REPAR.&amp; ENTRETIEN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3016</v>
      </c>
      <c r="D1022" s="706" t="s">
        <v>3017</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G73600</v>
      </c>
      <c r="AK1022" s="905" t="str">
        <f t="shared" si="99"/>
        <v>REPAR. ENTRETIEN LOC C/T</v>
      </c>
      <c r="AL1022" s="905">
        <f>IFERROR(INDEX(G1022:R1022,1,MATCH(Parametres!$B$3,G$1:R$1,0)-1)*IF(OR(F1022="L",F1022="S",F1022="I"),-1,1),"")</f>
        <v>0</v>
      </c>
      <c r="AM1022" s="905">
        <f t="shared" si="100"/>
        <v>0</v>
      </c>
      <c r="AN1022" s="905">
        <f>INDEX(G1022:R1022,1,MATCH(Parametres!$B$3,G$1:R$1,0))*IF(OR(F1022="L",F1022="S",F1022="I"),-1,1)</f>
        <v>0</v>
      </c>
      <c r="AO1022" s="487" t="str">
        <f>+VLOOKUP($AJ1022,Data_Validation!$A:$D,1,0)</f>
        <v>G73600</v>
      </c>
      <c r="AP1022" s="487">
        <f>+VLOOKUP($AJ1022,Data_Validation!$A:$D,3,0)</f>
        <v>0</v>
      </c>
      <c r="AQ1022" s="487">
        <f>+VLOOKUP($AJ1022,Data_Validation!$A:$D,4,0)</f>
        <v>0</v>
      </c>
      <c r="AR1022" s="487" t="s">
        <v>299</v>
      </c>
      <c r="AS1022" s="487">
        <f>+VLOOKUP($AJ1022,Data_Validation!$A:$E,5,0)</f>
        <v>0</v>
      </c>
      <c r="AT1022" s="904" t="str">
        <f t="shared" si="101"/>
        <v>G73600</v>
      </c>
      <c r="AU1022" s="488" t="str">
        <f t="shared" si="102"/>
        <v>REPAR. ENTRETIEN LOC C/T</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customHeight="1">
      <c r="A1023" s="706" t="s">
        <v>1148</v>
      </c>
      <c r="B1023" s="706">
        <v>2026</v>
      </c>
      <c r="C1023" s="706" t="s">
        <v>3018</v>
      </c>
      <c r="D1023" s="706" t="s">
        <v>3019</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G737</v>
      </c>
      <c r="AK1023" s="905" t="str">
        <f t="shared" si="99"/>
        <v>PRIX LOC.UNIT.S-LOUE -C/T</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G737</v>
      </c>
      <c r="AU1023" s="488" t="str">
        <f t="shared" si="102"/>
        <v>PRIX LOC.UNIT.S-LOUE -C/T</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3020</v>
      </c>
      <c r="D1024" s="706" t="s">
        <v>3021</v>
      </c>
      <c r="E1024" s="706" t="s">
        <v>333</v>
      </c>
      <c r="F1024" s="706" t="s">
        <v>1104</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G738</v>
      </c>
      <c r="AK1024" s="905" t="str">
        <f t="shared" ref="AK1024:AK1025" si="105">D1024</f>
        <v>AUTRES               -C/T</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G738</v>
      </c>
      <c r="AU1024" s="488" t="str">
        <f t="shared" ref="AU1024:AU1025" si="108">D1024</f>
        <v>AUTRES               -C/T</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3022</v>
      </c>
      <c r="D1025" s="706" t="s">
        <v>3023</v>
      </c>
      <c r="E1025" s="706" t="s">
        <v>333</v>
      </c>
      <c r="F1025" s="706" t="s">
        <v>1104</v>
      </c>
      <c r="G1025" s="706">
        <v>0</v>
      </c>
      <c r="H1025" s="706">
        <v>0</v>
      </c>
      <c r="I1025" s="706">
        <v>0</v>
      </c>
      <c r="J1025" s="706">
        <v>0</v>
      </c>
      <c r="K1025" s="706">
        <v>0</v>
      </c>
      <c r="L1025" s="706">
        <v>0</v>
      </c>
      <c r="M1025" s="706">
        <v>0</v>
      </c>
      <c r="N1025" s="706">
        <v>0</v>
      </c>
      <c r="O1025" s="706">
        <v>0</v>
      </c>
      <c r="P1025" s="706">
        <v>0</v>
      </c>
      <c r="Q1025" s="706">
        <v>0</v>
      </c>
      <c r="R1025" s="706">
        <v>0</v>
      </c>
      <c r="S1025" s="706">
        <v>0</v>
      </c>
      <c r="T1025" s="706">
        <v>0</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G740</v>
      </c>
      <c r="AK1025" s="905" t="str">
        <f t="shared" si="105"/>
        <v>COMM.DIRECT.F&amp;A LOC C&amp;L</v>
      </c>
      <c r="AL1025" s="905">
        <f>IFERROR(INDEX(G1025:R1025,1,MATCH(Parametres!$B$3,G$1:R$1,0)-1)*IF(OR(F1025="L",F1025="S",F1025="I"),-1,1),"")</f>
        <v>0</v>
      </c>
      <c r="AM1025" s="905">
        <f t="shared" si="106"/>
        <v>0</v>
      </c>
      <c r="AN1025" s="905">
        <f>INDEX(G1025:R1025,1,MATCH(Parametres!$B$3,G$1:R$1,0))*IF(OR(F1025="L",F1025="S",F1025="I"),-1,1)</f>
        <v>0</v>
      </c>
      <c r="AO1025" s="487" t="e">
        <f>+VLOOKUP($AJ1025,Data_Validation!$A:$D,1,0)</f>
        <v>#N/A</v>
      </c>
      <c r="AP1025" s="487" t="e">
        <f>+VLOOKUP($AJ1025,Data_Validation!$A:$D,3,0)</f>
        <v>#N/A</v>
      </c>
      <c r="AQ1025" s="487" t="e">
        <f>+VLOOKUP($AJ1025,Data_Validation!$A:$D,4,0)</f>
        <v>#N/A</v>
      </c>
      <c r="AR1025" s="487" t="s">
        <v>299</v>
      </c>
      <c r="AS1025" s="487" t="e">
        <f>+VLOOKUP($AJ1025,Data_Validation!$A:$E,5,0)</f>
        <v>#N/A</v>
      </c>
      <c r="AT1025" s="904" t="str">
        <f t="shared" si="107"/>
        <v>G740</v>
      </c>
      <c r="AU1025" s="488" t="str">
        <f t="shared" si="108"/>
        <v>COMM.DIRECT.F&amp;A LOC C&amp;L</v>
      </c>
      <c r="AV1025" s="899">
        <f>IFERROR(INDEX(V1025:AG1025,1,MATCH(Parametres!$B$3,V$1:AG$1,0)-1)*IF(OR(C1025="L",C1025="S",C1025="I"),-1,1),"")</f>
        <v>0</v>
      </c>
      <c r="AW1025" s="899">
        <f t="shared" si="109"/>
        <v>0</v>
      </c>
      <c r="AX1025" s="899">
        <f>INDEX(V1025:AG1025,1,MATCH(Parametres!$B$3,V$1:AG$1,0))*IF(OR(C1025="L",C1025="S",C1025="I"),-1,1)</f>
        <v>0</v>
      </c>
      <c r="AY1025" s="487" t="s">
        <v>337</v>
      </c>
      <c r="AZ1025" s="487" t="e">
        <f>+VLOOKUP($AJ1025,Data_Validation!$A:$E,5,0)</f>
        <v>#N/A</v>
      </c>
    </row>
    <row r="1026" spans="1:52" ht="15" customHeight="1">
      <c r="A1026" s="706" t="s">
        <v>1148</v>
      </c>
      <c r="B1026" s="706">
        <v>2026</v>
      </c>
      <c r="C1026" s="706" t="s">
        <v>3024</v>
      </c>
      <c r="D1026" s="706" t="s">
        <v>3025</v>
      </c>
      <c r="E1026" s="706" t="s">
        <v>333</v>
      </c>
      <c r="F1026" s="706" t="s">
        <v>1104</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G741</v>
      </c>
      <c r="AK1026" s="905" t="str">
        <f t="shared" ref="AK1026:AK1076" si="111">D1026</f>
        <v>RETROFACT.F&amp;A LOC C&amp;L TER</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G741</v>
      </c>
      <c r="AU1026" s="488" t="str">
        <f t="shared" ref="AU1026:AU1076" si="114">D1026</f>
        <v>RETROFACT.F&amp;A LOC C&amp;L TER</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3026</v>
      </c>
      <c r="D1027" s="706" t="s">
        <v>3027</v>
      </c>
      <c r="E1027" s="706" t="s">
        <v>333</v>
      </c>
      <c r="F1027" s="706" t="s">
        <v>1150</v>
      </c>
      <c r="G1027" s="706">
        <v>0</v>
      </c>
      <c r="H1027" s="706">
        <v>0</v>
      </c>
      <c r="I1027" s="706">
        <v>0</v>
      </c>
      <c r="J1027" s="706">
        <v>0</v>
      </c>
      <c r="K1027" s="706">
        <v>0</v>
      </c>
      <c r="L1027" s="706">
        <v>0</v>
      </c>
      <c r="M1027" s="706">
        <v>0</v>
      </c>
      <c r="N1027" s="706">
        <v>0</v>
      </c>
      <c r="O1027" s="706">
        <v>0</v>
      </c>
      <c r="P1027" s="706">
        <v>0</v>
      </c>
      <c r="Q1027" s="706">
        <v>0</v>
      </c>
      <c r="R1027" s="706">
        <v>0</v>
      </c>
      <c r="S1027" s="706">
        <v>0</v>
      </c>
      <c r="T1027" s="706">
        <v>0</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G806</v>
      </c>
      <c r="AK1027" s="905" t="str">
        <f t="shared" si="111"/>
        <v>REVENU FINANCE - NEUF</v>
      </c>
      <c r="AL1027" s="905">
        <f>IFERROR(INDEX(G1027:R1027,1,MATCH(Parametres!$B$3,G$1:R$1,0)-1)*IF(OR(F1027="L",F1027="S",F1027="I"),-1,1),"")</f>
        <v>0</v>
      </c>
      <c r="AM1027" s="905">
        <f t="shared" si="112"/>
        <v>0</v>
      </c>
      <c r="AN1027" s="905">
        <f>INDEX(G1027:R1027,1,MATCH(Parametres!$B$3,G$1:R$1,0))*IF(OR(F1027="L",F1027="S",F1027="I"),-1,1)</f>
        <v>0</v>
      </c>
      <c r="AO1027" s="487" t="e">
        <f>+VLOOKUP($AJ1027,Data_Validation!$A:$D,1,0)</f>
        <v>#N/A</v>
      </c>
      <c r="AP1027" s="487" t="e">
        <f>+VLOOKUP($AJ1027,Data_Validation!$A:$D,3,0)</f>
        <v>#N/A</v>
      </c>
      <c r="AQ1027" s="487" t="e">
        <f>+VLOOKUP($AJ1027,Data_Validation!$A:$D,4,0)</f>
        <v>#N/A</v>
      </c>
      <c r="AR1027" s="487" t="s">
        <v>299</v>
      </c>
      <c r="AS1027" s="487" t="e">
        <f>+VLOOKUP($AJ1027,Data_Validation!$A:$E,5,0)</f>
        <v>#N/A</v>
      </c>
      <c r="AT1027" s="904" t="str">
        <f t="shared" si="113"/>
        <v>G806</v>
      </c>
      <c r="AU1027" s="488" t="str">
        <f t="shared" si="114"/>
        <v>REVENU FINANCE - NEUF</v>
      </c>
      <c r="AV1027" s="899">
        <f>IFERROR(INDEX(V1027:AG1027,1,MATCH(Parametres!$B$3,V$1:AG$1,0)-1)*IF(OR(C1027="L",C1027="S",C1027="I"),-1,1),"")</f>
        <v>0</v>
      </c>
      <c r="AW1027" s="899">
        <f t="shared" si="115"/>
        <v>0</v>
      </c>
      <c r="AX1027" s="899">
        <f>INDEX(V1027:AG1027,1,MATCH(Parametres!$B$3,V$1:AG$1,0))*IF(OR(C1027="L",C1027="S",C1027="I"),-1,1)</f>
        <v>0</v>
      </c>
      <c r="AY1027" s="487" t="s">
        <v>337</v>
      </c>
      <c r="AZ1027" s="487" t="e">
        <f>+VLOOKUP($AJ1027,Data_Validation!$A:$E,5,0)</f>
        <v>#N/A</v>
      </c>
    </row>
    <row r="1028" spans="1:52" ht="15" customHeight="1">
      <c r="A1028" s="706" t="s">
        <v>1148</v>
      </c>
      <c r="B1028" s="706">
        <v>2026</v>
      </c>
      <c r="C1028" s="706" t="s">
        <v>3028</v>
      </c>
      <c r="D1028" s="706" t="s">
        <v>3029</v>
      </c>
      <c r="E1028" s="706" t="s">
        <v>333</v>
      </c>
      <c r="F1028" s="706" t="s">
        <v>1150</v>
      </c>
      <c r="G1028" s="706">
        <v>0</v>
      </c>
      <c r="H1028" s="706">
        <v>-291.51</v>
      </c>
      <c r="I1028" s="706">
        <v>1158.49</v>
      </c>
      <c r="J1028" s="706">
        <v>6748.1</v>
      </c>
      <c r="K1028" s="706">
        <v>8664.1200000000008</v>
      </c>
      <c r="L1028" s="706">
        <v>11124.29</v>
      </c>
      <c r="M1028" s="706">
        <v>12124.29</v>
      </c>
      <c r="N1028" s="706">
        <v>12124.29</v>
      </c>
      <c r="O1028" s="706">
        <v>13622.79</v>
      </c>
      <c r="P1028" s="706">
        <v>0</v>
      </c>
      <c r="Q1028" s="706">
        <v>0</v>
      </c>
      <c r="R1028" s="706">
        <v>0</v>
      </c>
      <c r="S1028" s="706">
        <v>1515.54</v>
      </c>
      <c r="T1028" s="706">
        <v>1515.54</v>
      </c>
      <c r="U1028" s="706">
        <v>0</v>
      </c>
      <c r="V1028" s="706">
        <v>0</v>
      </c>
      <c r="W1028" s="706">
        <v>-1</v>
      </c>
      <c r="X1028" s="706">
        <v>1</v>
      </c>
      <c r="Y1028" s="706">
        <v>8</v>
      </c>
      <c r="Z1028" s="706">
        <v>9</v>
      </c>
      <c r="AA1028" s="706">
        <v>10</v>
      </c>
      <c r="AB1028" s="706">
        <v>11</v>
      </c>
      <c r="AC1028" s="706">
        <v>11</v>
      </c>
      <c r="AD1028" s="706">
        <v>13</v>
      </c>
      <c r="AE1028" s="706">
        <v>0</v>
      </c>
      <c r="AF1028" s="706">
        <v>0</v>
      </c>
      <c r="AG1028" s="706">
        <v>0</v>
      </c>
      <c r="AH1028" s="706">
        <v>1</v>
      </c>
      <c r="AI1028" s="706">
        <v>1</v>
      </c>
      <c r="AJ1028" s="905" t="str">
        <f t="shared" si="110"/>
        <v>G80600</v>
      </c>
      <c r="AK1028" s="905" t="str">
        <f t="shared" si="111"/>
        <v>REVENUS FINANCE VEH. NEUF</v>
      </c>
      <c r="AL1028" s="905">
        <f>IFERROR(INDEX(G1028:R1028,1,MATCH(Parametres!$B$3,G$1:R$1,0)-1)*IF(OR(F1028="L",F1028="S",F1028="I"),-1,1),"")</f>
        <v>-12124.29</v>
      </c>
      <c r="AM1028" s="905">
        <f t="shared" si="112"/>
        <v>0</v>
      </c>
      <c r="AN1028" s="905">
        <f>INDEX(G1028:R1028,1,MATCH(Parametres!$B$3,G$1:R$1,0))*IF(OR(F1028="L",F1028="S",F1028="I"),-1,1)</f>
        <v>-12124.29</v>
      </c>
      <c r="AO1028" s="487" t="str">
        <f>+VLOOKUP($AJ1028,Data_Validation!$A:$D,1,0)</f>
        <v>G80600</v>
      </c>
      <c r="AP1028" s="487" t="str">
        <f>+VLOOKUP($AJ1028,Data_Validation!$A:$D,3,0)</f>
        <v>Véhicules neufs</v>
      </c>
      <c r="AQ1028" s="487" t="str">
        <f>+VLOOKUP($AJ1028,Data_Validation!$A:$D,4,0)</f>
        <v>Rev. Finances</v>
      </c>
      <c r="AR1028" s="487" t="s">
        <v>299</v>
      </c>
      <c r="AS1028" s="487" t="str">
        <f>+VLOOKUP($AJ1028,Data_Validation!$A:$E,5,0)</f>
        <v>Oui</v>
      </c>
      <c r="AT1028" s="904" t="str">
        <f t="shared" si="113"/>
        <v>G80600</v>
      </c>
      <c r="AU1028" s="488" t="str">
        <f t="shared" si="114"/>
        <v>REVENUS FINANCE VEH. NEUF</v>
      </c>
      <c r="AV1028" s="899">
        <f>IFERROR(INDEX(V1028:AG1028,1,MATCH(Parametres!$B$3,V$1:AG$1,0)-1)*IF(OR(C1028="L",C1028="S",C1028="I"),-1,1),"")</f>
        <v>11</v>
      </c>
      <c r="AW1028" s="899">
        <f t="shared" si="115"/>
        <v>0</v>
      </c>
      <c r="AX1028" s="899">
        <f>INDEX(V1028:AG1028,1,MATCH(Parametres!$B$3,V$1:AG$1,0))*IF(OR(C1028="L",C1028="S",C1028="I"),-1,1)</f>
        <v>11</v>
      </c>
      <c r="AY1028" s="487" t="s">
        <v>337</v>
      </c>
      <c r="AZ1028" s="487" t="str">
        <f>+VLOOKUP($AJ1028,Data_Validation!$A:$E,5,0)</f>
        <v>Oui</v>
      </c>
    </row>
    <row r="1029" spans="1:52" ht="15" customHeight="1">
      <c r="A1029" s="706" t="s">
        <v>1148</v>
      </c>
      <c r="B1029" s="706">
        <v>2026</v>
      </c>
      <c r="C1029" s="706" t="s">
        <v>3030</v>
      </c>
      <c r="D1029" s="706" t="s">
        <v>3031</v>
      </c>
      <c r="E1029" s="706" t="s">
        <v>333</v>
      </c>
      <c r="F1029" s="706" t="s">
        <v>1150</v>
      </c>
      <c r="G1029" s="706">
        <v>0</v>
      </c>
      <c r="H1029" s="706">
        <v>0</v>
      </c>
      <c r="I1029" s="706">
        <v>0</v>
      </c>
      <c r="J1029" s="706">
        <v>0</v>
      </c>
      <c r="K1029" s="706">
        <v>0</v>
      </c>
      <c r="L1029" s="706">
        <v>0</v>
      </c>
      <c r="M1029" s="706">
        <v>0</v>
      </c>
      <c r="N1029" s="706">
        <v>0</v>
      </c>
      <c r="O1029" s="706">
        <v>0</v>
      </c>
      <c r="P1029" s="706">
        <v>0</v>
      </c>
      <c r="Q1029" s="706">
        <v>0</v>
      </c>
      <c r="R1029" s="706">
        <v>0</v>
      </c>
      <c r="S1029" s="706">
        <v>0</v>
      </c>
      <c r="T1029" s="706">
        <v>0</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G807</v>
      </c>
      <c r="AK1029" s="905" t="str">
        <f t="shared" si="111"/>
        <v>COMM/ASSURANCE - NEUF</v>
      </c>
      <c r="AL1029" s="905">
        <f>IFERROR(INDEX(G1029:R1029,1,MATCH(Parametres!$B$3,G$1:R$1,0)-1)*IF(OR(F1029="L",F1029="S",F1029="I"),-1,1),"")</f>
        <v>0</v>
      </c>
      <c r="AM1029" s="905">
        <f t="shared" si="112"/>
        <v>0</v>
      </c>
      <c r="AN1029" s="905">
        <f>INDEX(G1029:R1029,1,MATCH(Parametres!$B$3,G$1:R$1,0))*IF(OR(F1029="L",F1029="S",F1029="I"),-1,1)</f>
        <v>0</v>
      </c>
      <c r="AO1029" s="487" t="e">
        <f>+VLOOKUP($AJ1029,Data_Validation!$A:$D,1,0)</f>
        <v>#N/A</v>
      </c>
      <c r="AP1029" s="487" t="e">
        <f>+VLOOKUP($AJ1029,Data_Validation!$A:$D,3,0)</f>
        <v>#N/A</v>
      </c>
      <c r="AQ1029" s="487" t="e">
        <f>+VLOOKUP($AJ1029,Data_Validation!$A:$D,4,0)</f>
        <v>#N/A</v>
      </c>
      <c r="AR1029" s="487" t="s">
        <v>299</v>
      </c>
      <c r="AS1029" s="487" t="e">
        <f>+VLOOKUP($AJ1029,Data_Validation!$A:$E,5,0)</f>
        <v>#N/A</v>
      </c>
      <c r="AT1029" s="904" t="str">
        <f t="shared" si="113"/>
        <v>G807</v>
      </c>
      <c r="AU1029" s="488" t="str">
        <f t="shared" si="114"/>
        <v>COMM/ASSURANCE - NEUF</v>
      </c>
      <c r="AV1029" s="899">
        <f>IFERROR(INDEX(V1029:AG1029,1,MATCH(Parametres!$B$3,V$1:AG$1,0)-1)*IF(OR(C1029="L",C1029="S",C1029="I"),-1,1),"")</f>
        <v>0</v>
      </c>
      <c r="AW1029" s="899">
        <f t="shared" si="115"/>
        <v>0</v>
      </c>
      <c r="AX1029" s="899">
        <f>INDEX(V1029:AG1029,1,MATCH(Parametres!$B$3,V$1:AG$1,0))*IF(OR(C1029="L",C1029="S",C1029="I"),-1,1)</f>
        <v>0</v>
      </c>
      <c r="AY1029" s="487" t="s">
        <v>337</v>
      </c>
      <c r="AZ1029" s="487" t="e">
        <f>+VLOOKUP($AJ1029,Data_Validation!$A:$E,5,0)</f>
        <v>#N/A</v>
      </c>
    </row>
    <row r="1030" spans="1:52" ht="15" customHeight="1">
      <c r="A1030" s="706" t="s">
        <v>1148</v>
      </c>
      <c r="B1030" s="706">
        <v>2026</v>
      </c>
      <c r="C1030" s="706" t="s">
        <v>3032</v>
      </c>
      <c r="D1030" s="706" t="s">
        <v>3033</v>
      </c>
      <c r="E1030" s="706" t="s">
        <v>333</v>
      </c>
      <c r="F1030" s="706" t="s">
        <v>1150</v>
      </c>
      <c r="G1030" s="706">
        <v>2016.14</v>
      </c>
      <c r="H1030" s="706">
        <v>6065.08</v>
      </c>
      <c r="I1030" s="706">
        <v>6065.08</v>
      </c>
      <c r="J1030" s="706">
        <v>9866.18</v>
      </c>
      <c r="K1030" s="706">
        <v>9866.18</v>
      </c>
      <c r="L1030" s="706">
        <v>23237.93</v>
      </c>
      <c r="M1030" s="706">
        <v>23237.93</v>
      </c>
      <c r="N1030" s="706">
        <v>23237.93</v>
      </c>
      <c r="O1030" s="706">
        <v>24019.73</v>
      </c>
      <c r="P1030" s="706">
        <v>0</v>
      </c>
      <c r="Q1030" s="706">
        <v>0</v>
      </c>
      <c r="R1030" s="706">
        <v>0</v>
      </c>
      <c r="S1030" s="706">
        <v>2904.74</v>
      </c>
      <c r="T1030" s="706">
        <v>2904.74</v>
      </c>
      <c r="U1030" s="706">
        <v>0</v>
      </c>
      <c r="V1030" s="706">
        <v>0</v>
      </c>
      <c r="W1030" s="706">
        <v>0</v>
      </c>
      <c r="X1030" s="706">
        <v>0</v>
      </c>
      <c r="Y1030" s="706">
        <v>-1</v>
      </c>
      <c r="Z1030" s="706">
        <v>-1</v>
      </c>
      <c r="AA1030" s="706">
        <v>-1</v>
      </c>
      <c r="AB1030" s="706">
        <v>-1</v>
      </c>
      <c r="AC1030" s="706">
        <v>-1</v>
      </c>
      <c r="AD1030" s="706">
        <v>0</v>
      </c>
      <c r="AE1030" s="706">
        <v>0</v>
      </c>
      <c r="AF1030" s="706">
        <v>0</v>
      </c>
      <c r="AG1030" s="706">
        <v>0</v>
      </c>
      <c r="AH1030" s="706">
        <v>0</v>
      </c>
      <c r="AI1030" s="706">
        <v>0</v>
      </c>
      <c r="AJ1030" s="905" t="str">
        <f t="shared" si="110"/>
        <v>G80700</v>
      </c>
      <c r="AK1030" s="905" t="str">
        <f t="shared" si="111"/>
        <v>REV. ASS-VIE INVAL. NEUF</v>
      </c>
      <c r="AL1030" s="905">
        <f>IFERROR(INDEX(G1030:R1030,1,MATCH(Parametres!$B$3,G$1:R$1,0)-1)*IF(OR(F1030="L",F1030="S",F1030="I"),-1,1),"")</f>
        <v>-23237.93</v>
      </c>
      <c r="AM1030" s="905">
        <f t="shared" si="112"/>
        <v>0</v>
      </c>
      <c r="AN1030" s="905">
        <f>INDEX(G1030:R1030,1,MATCH(Parametres!$B$3,G$1:R$1,0))*IF(OR(F1030="L",F1030="S",F1030="I"),-1,1)</f>
        <v>-23237.93</v>
      </c>
      <c r="AO1030" s="487" t="str">
        <f>+VLOOKUP($AJ1030,Data_Validation!$A:$D,1,0)</f>
        <v>G80700</v>
      </c>
      <c r="AP1030" s="487" t="str">
        <f>+VLOOKUP($AJ1030,Data_Validation!$A:$D,3,0)</f>
        <v>Véhicules neufs</v>
      </c>
      <c r="AQ1030" s="487" t="str">
        <f>+VLOOKUP($AJ1030,Data_Validation!$A:$D,4,0)</f>
        <v>Rev. Protections</v>
      </c>
      <c r="AR1030" s="487" t="s">
        <v>299</v>
      </c>
      <c r="AS1030" s="487" t="str">
        <f>+VLOOKUP($AJ1030,Data_Validation!$A:$E,5,0)</f>
        <v>Oui</v>
      </c>
      <c r="AT1030" s="904" t="str">
        <f t="shared" si="113"/>
        <v>G80700</v>
      </c>
      <c r="AU1030" s="488" t="str">
        <f t="shared" si="114"/>
        <v>REV. ASS-VIE INVAL. NEUF</v>
      </c>
      <c r="AV1030" s="899">
        <f>IFERROR(INDEX(V1030:AG1030,1,MATCH(Parametres!$B$3,V$1:AG$1,0)-1)*IF(OR(C1030="L",C1030="S",C1030="I"),-1,1),"")</f>
        <v>-1</v>
      </c>
      <c r="AW1030" s="899">
        <f t="shared" si="115"/>
        <v>0</v>
      </c>
      <c r="AX1030" s="899">
        <f>INDEX(V1030:AG1030,1,MATCH(Parametres!$B$3,V$1:AG$1,0))*IF(OR(C1030="L",C1030="S",C1030="I"),-1,1)</f>
        <v>-1</v>
      </c>
      <c r="AY1030" s="487" t="s">
        <v>337</v>
      </c>
      <c r="AZ1030" s="487" t="str">
        <f>+VLOOKUP($AJ1030,Data_Validation!$A:$E,5,0)</f>
        <v>Oui</v>
      </c>
    </row>
    <row r="1031" spans="1:52" ht="15" customHeight="1">
      <c r="A1031" s="706" t="s">
        <v>1148</v>
      </c>
      <c r="B1031" s="706">
        <v>2026</v>
      </c>
      <c r="C1031" s="706" t="s">
        <v>3034</v>
      </c>
      <c r="D1031" s="706" t="s">
        <v>3035</v>
      </c>
      <c r="E1031" s="706" t="s">
        <v>333</v>
      </c>
      <c r="F1031" s="706" t="s">
        <v>1150</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G808</v>
      </c>
      <c r="AK1031" s="905" t="str">
        <f t="shared" si="111"/>
        <v>REVENU FINANCEMENT USAGES</v>
      </c>
      <c r="AL1031" s="905">
        <f>IFERROR(INDEX(G1031:R1031,1,MATCH(Parametres!$B$3,G$1:R$1,0)-1)*IF(OR(F1031="L",F1031="S",F1031="I"),-1,1),"")</f>
        <v>0</v>
      </c>
      <c r="AM1031" s="905">
        <f t="shared" si="112"/>
        <v>0</v>
      </c>
      <c r="AN1031" s="905">
        <f>INDEX(G1031:R1031,1,MATCH(Parametres!$B$3,G$1:R$1,0))*IF(OR(F1031="L",F1031="S",F1031="I"),-1,1)</f>
        <v>0</v>
      </c>
      <c r="AO1031" s="487" t="e">
        <f>+VLOOKUP($AJ1031,Data_Validation!$A:$D,1,0)</f>
        <v>#N/A</v>
      </c>
      <c r="AP1031" s="487" t="e">
        <f>+VLOOKUP($AJ1031,Data_Validation!$A:$D,3,0)</f>
        <v>#N/A</v>
      </c>
      <c r="AQ1031" s="487" t="e">
        <f>+VLOOKUP($AJ1031,Data_Validation!$A:$D,4,0)</f>
        <v>#N/A</v>
      </c>
      <c r="AR1031" s="487" t="s">
        <v>299</v>
      </c>
      <c r="AS1031" s="487" t="e">
        <f>+VLOOKUP($AJ1031,Data_Validation!$A:$E,5,0)</f>
        <v>#N/A</v>
      </c>
      <c r="AT1031" s="904" t="str">
        <f t="shared" si="113"/>
        <v>G808</v>
      </c>
      <c r="AU1031" s="488" t="str">
        <f t="shared" si="114"/>
        <v>REVENU FINANCEMENT USAGES</v>
      </c>
      <c r="AV1031" s="899">
        <f>IFERROR(INDEX(V1031:AG1031,1,MATCH(Parametres!$B$3,V$1:AG$1,0)-1)*IF(OR(C1031="L",C1031="S",C1031="I"),-1,1),"")</f>
        <v>0</v>
      </c>
      <c r="AW1031" s="899">
        <f t="shared" si="115"/>
        <v>0</v>
      </c>
      <c r="AX1031" s="899">
        <f>INDEX(V1031:AG1031,1,MATCH(Parametres!$B$3,V$1:AG$1,0))*IF(OR(C1031="L",C1031="S",C1031="I"),-1,1)</f>
        <v>0</v>
      </c>
      <c r="AY1031" s="487" t="s">
        <v>337</v>
      </c>
      <c r="AZ1031" s="487" t="e">
        <f>+VLOOKUP($AJ1031,Data_Validation!$A:$E,5,0)</f>
        <v>#N/A</v>
      </c>
    </row>
    <row r="1032" spans="1:52" ht="15" customHeight="1">
      <c r="A1032" s="706" t="s">
        <v>1148</v>
      </c>
      <c r="B1032" s="706">
        <v>2026</v>
      </c>
      <c r="C1032" s="706" t="s">
        <v>3036</v>
      </c>
      <c r="D1032" s="706" t="s">
        <v>3037</v>
      </c>
      <c r="E1032" s="706" t="s">
        <v>333</v>
      </c>
      <c r="F1032" s="706" t="s">
        <v>1150</v>
      </c>
      <c r="G1032" s="706">
        <v>6932.74</v>
      </c>
      <c r="H1032" s="706">
        <v>12944.93</v>
      </c>
      <c r="I1032" s="706">
        <v>25188.84</v>
      </c>
      <c r="J1032" s="706">
        <v>34384.089999999997</v>
      </c>
      <c r="K1032" s="706">
        <v>43238.29</v>
      </c>
      <c r="L1032" s="706">
        <v>45460.49</v>
      </c>
      <c r="M1032" s="706">
        <v>62450.49</v>
      </c>
      <c r="N1032" s="706">
        <v>77788.59</v>
      </c>
      <c r="O1032" s="706">
        <v>78500.03</v>
      </c>
      <c r="P1032" s="706">
        <v>0</v>
      </c>
      <c r="Q1032" s="706">
        <v>0</v>
      </c>
      <c r="R1032" s="706">
        <v>0</v>
      </c>
      <c r="S1032" s="706">
        <v>9723.57</v>
      </c>
      <c r="T1032" s="706">
        <v>9723.57</v>
      </c>
      <c r="U1032" s="706">
        <v>0</v>
      </c>
      <c r="V1032" s="706">
        <v>7</v>
      </c>
      <c r="W1032" s="706">
        <v>11</v>
      </c>
      <c r="X1032" s="706">
        <v>21</v>
      </c>
      <c r="Y1032" s="706">
        <v>29</v>
      </c>
      <c r="Z1032" s="706">
        <v>41</v>
      </c>
      <c r="AA1032" s="706">
        <v>44</v>
      </c>
      <c r="AB1032" s="706">
        <v>59</v>
      </c>
      <c r="AC1032" s="706">
        <v>75</v>
      </c>
      <c r="AD1032" s="706">
        <v>76</v>
      </c>
      <c r="AE1032" s="706">
        <v>0</v>
      </c>
      <c r="AF1032" s="706">
        <v>0</v>
      </c>
      <c r="AG1032" s="706">
        <v>0</v>
      </c>
      <c r="AH1032" s="706">
        <v>9</v>
      </c>
      <c r="AI1032" s="706">
        <v>9</v>
      </c>
      <c r="AJ1032" s="905" t="str">
        <f t="shared" si="110"/>
        <v>G80800</v>
      </c>
      <c r="AK1032" s="905" t="str">
        <f t="shared" si="111"/>
        <v>REVENUS FINANCE VEH.USAGE</v>
      </c>
      <c r="AL1032" s="905">
        <f>IFERROR(INDEX(G1032:R1032,1,MATCH(Parametres!$B$3,G$1:R$1,0)-1)*IF(OR(F1032="L",F1032="S",F1032="I"),-1,1),"")</f>
        <v>-62450.49</v>
      </c>
      <c r="AM1032" s="905">
        <f t="shared" si="112"/>
        <v>-15338.099999999999</v>
      </c>
      <c r="AN1032" s="905">
        <f>INDEX(G1032:R1032,1,MATCH(Parametres!$B$3,G$1:R$1,0))*IF(OR(F1032="L",F1032="S",F1032="I"),-1,1)</f>
        <v>-77788.59</v>
      </c>
      <c r="AO1032" s="487" t="str">
        <f>+VLOOKUP($AJ1032,Data_Validation!$A:$D,1,0)</f>
        <v>G80800</v>
      </c>
      <c r="AP1032" s="487" t="str">
        <f>+VLOOKUP($AJ1032,Data_Validation!$A:$D,3,0)</f>
        <v>Véhicules usagés</v>
      </c>
      <c r="AQ1032" s="487" t="str">
        <f>+VLOOKUP($AJ1032,Data_Validation!$A:$D,4,0)</f>
        <v>Rev. Finances</v>
      </c>
      <c r="AR1032" s="487" t="s">
        <v>299</v>
      </c>
      <c r="AS1032" s="487" t="str">
        <f>+VLOOKUP($AJ1032,Data_Validation!$A:$E,5,0)</f>
        <v>Oui</v>
      </c>
      <c r="AT1032" s="904" t="str">
        <f t="shared" si="113"/>
        <v>G80800</v>
      </c>
      <c r="AU1032" s="488" t="str">
        <f t="shared" si="114"/>
        <v>REVENUS FINANCE VEH.USAGE</v>
      </c>
      <c r="AV1032" s="899">
        <f>IFERROR(INDEX(V1032:AG1032,1,MATCH(Parametres!$B$3,V$1:AG$1,0)-1)*IF(OR(C1032="L",C1032="S",C1032="I"),-1,1),"")</f>
        <v>59</v>
      </c>
      <c r="AW1032" s="899">
        <f t="shared" si="115"/>
        <v>16</v>
      </c>
      <c r="AX1032" s="899">
        <f>INDEX(V1032:AG1032,1,MATCH(Parametres!$B$3,V$1:AG$1,0))*IF(OR(C1032="L",C1032="S",C1032="I"),-1,1)</f>
        <v>75</v>
      </c>
      <c r="AY1032" s="487" t="s">
        <v>337</v>
      </c>
      <c r="AZ1032" s="487" t="str">
        <f>+VLOOKUP($AJ1032,Data_Validation!$A:$E,5,0)</f>
        <v>Oui</v>
      </c>
    </row>
    <row r="1033" spans="1:52" ht="15" customHeight="1">
      <c r="A1033" s="706" t="s">
        <v>1148</v>
      </c>
      <c r="B1033" s="706">
        <v>2026</v>
      </c>
      <c r="C1033" s="706" t="s">
        <v>3038</v>
      </c>
      <c r="D1033" s="706" t="s">
        <v>3039</v>
      </c>
      <c r="E1033" s="706" t="s">
        <v>333</v>
      </c>
      <c r="F1033" s="706" t="s">
        <v>1150</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G809</v>
      </c>
      <c r="AK1033" s="905" t="str">
        <f t="shared" si="111"/>
        <v>COMM/ASSURANCE USAGES</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G809</v>
      </c>
      <c r="AU1033" s="488" t="str">
        <f t="shared" si="114"/>
        <v>COMM/ASSURANCE USAGES</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3040</v>
      </c>
      <c r="D1034" s="706" t="s">
        <v>3041</v>
      </c>
      <c r="E1034" s="706" t="s">
        <v>333</v>
      </c>
      <c r="F1034" s="706" t="s">
        <v>1150</v>
      </c>
      <c r="G1034" s="706">
        <v>969.88</v>
      </c>
      <c r="H1034" s="706">
        <v>969.88</v>
      </c>
      <c r="I1034" s="706">
        <v>969.88</v>
      </c>
      <c r="J1034" s="706">
        <v>3540.5</v>
      </c>
      <c r="K1034" s="706">
        <v>3540.5</v>
      </c>
      <c r="L1034" s="706">
        <v>3540.5</v>
      </c>
      <c r="M1034" s="706">
        <v>3540.5</v>
      </c>
      <c r="N1034" s="706">
        <v>3540.5</v>
      </c>
      <c r="O1034" s="706">
        <v>3540.5</v>
      </c>
      <c r="P1034" s="706">
        <v>0</v>
      </c>
      <c r="Q1034" s="706">
        <v>0</v>
      </c>
      <c r="R1034" s="706">
        <v>0</v>
      </c>
      <c r="S1034" s="706">
        <v>442.56</v>
      </c>
      <c r="T1034" s="706">
        <v>442.56</v>
      </c>
      <c r="U1034" s="706">
        <v>0</v>
      </c>
      <c r="V1034" s="706">
        <v>0</v>
      </c>
      <c r="W1034" s="706">
        <v>0</v>
      </c>
      <c r="X1034" s="706">
        <v>0</v>
      </c>
      <c r="Y1034" s="706">
        <v>-1</v>
      </c>
      <c r="Z1034" s="706">
        <v>-1</v>
      </c>
      <c r="AA1034" s="706">
        <v>-1</v>
      </c>
      <c r="AB1034" s="706">
        <v>-1</v>
      </c>
      <c r="AC1034" s="706">
        <v>-1</v>
      </c>
      <c r="AD1034" s="706">
        <v>-1</v>
      </c>
      <c r="AE1034" s="706">
        <v>0</v>
      </c>
      <c r="AF1034" s="706">
        <v>0</v>
      </c>
      <c r="AG1034" s="706">
        <v>0</v>
      </c>
      <c r="AH1034" s="706">
        <v>0</v>
      </c>
      <c r="AI1034" s="706">
        <v>0</v>
      </c>
      <c r="AJ1034" s="905" t="str">
        <f t="shared" si="110"/>
        <v>G80900</v>
      </c>
      <c r="AK1034" s="905" t="str">
        <f t="shared" si="111"/>
        <v>REV. ASS-VIE INVAL. USAGE</v>
      </c>
      <c r="AL1034" s="905">
        <f>IFERROR(INDEX(G1034:R1034,1,MATCH(Parametres!$B$3,G$1:R$1,0)-1)*IF(OR(F1034="L",F1034="S",F1034="I"),-1,1),"")</f>
        <v>-3540.5</v>
      </c>
      <c r="AM1034" s="905">
        <f t="shared" si="112"/>
        <v>0</v>
      </c>
      <c r="AN1034" s="905">
        <f>INDEX(G1034:R1034,1,MATCH(Parametres!$B$3,G$1:R$1,0))*IF(OR(F1034="L",F1034="S",F1034="I"),-1,1)</f>
        <v>-3540.5</v>
      </c>
      <c r="AO1034" s="487" t="str">
        <f>+VLOOKUP($AJ1034,Data_Validation!$A:$D,1,0)</f>
        <v>G80900</v>
      </c>
      <c r="AP1034" s="487" t="str">
        <f>+VLOOKUP($AJ1034,Data_Validation!$A:$D,3,0)</f>
        <v>Véhicules usagés</v>
      </c>
      <c r="AQ1034" s="487" t="str">
        <f>+VLOOKUP($AJ1034,Data_Validation!$A:$D,4,0)</f>
        <v>Rev. Protections</v>
      </c>
      <c r="AR1034" s="487" t="s">
        <v>299</v>
      </c>
      <c r="AS1034" s="487" t="str">
        <f>+VLOOKUP($AJ1034,Data_Validation!$A:$E,5,0)</f>
        <v>Oui</v>
      </c>
      <c r="AT1034" s="904" t="str">
        <f t="shared" si="113"/>
        <v>G80900</v>
      </c>
      <c r="AU1034" s="488" t="str">
        <f t="shared" si="114"/>
        <v>REV. ASS-VIE INVAL. USAGE</v>
      </c>
      <c r="AV1034" s="899">
        <f>IFERROR(INDEX(V1034:AG1034,1,MATCH(Parametres!$B$3,V$1:AG$1,0)-1)*IF(OR(C1034="L",C1034="S",C1034="I"),-1,1),"")</f>
        <v>-1</v>
      </c>
      <c r="AW1034" s="899">
        <f t="shared" si="115"/>
        <v>0</v>
      </c>
      <c r="AX1034" s="899">
        <f>INDEX(V1034:AG1034,1,MATCH(Parametres!$B$3,V$1:AG$1,0))*IF(OR(C1034="L",C1034="S",C1034="I"),-1,1)</f>
        <v>-1</v>
      </c>
      <c r="AY1034" s="487" t="s">
        <v>337</v>
      </c>
      <c r="AZ1034" s="487" t="str">
        <f>+VLOOKUP($AJ1034,Data_Validation!$A:$E,5,0)</f>
        <v>Oui</v>
      </c>
    </row>
    <row r="1035" spans="1:52" ht="15" customHeight="1">
      <c r="A1035" s="706" t="s">
        <v>1148</v>
      </c>
      <c r="B1035" s="706">
        <v>2026</v>
      </c>
      <c r="C1035" s="706" t="s">
        <v>3042</v>
      </c>
      <c r="D1035" s="706" t="s">
        <v>3043</v>
      </c>
      <c r="E1035" s="706" t="s">
        <v>333</v>
      </c>
      <c r="F1035" s="706" t="s">
        <v>1149</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G810</v>
      </c>
      <c r="AK1035" s="905" t="str">
        <f t="shared" si="111"/>
        <v>VTES-ACCESSOIRES NEUF</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G810</v>
      </c>
      <c r="AU1035" s="488" t="str">
        <f t="shared" si="114"/>
        <v>VTES-ACCESSOIRES NEUF</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3044</v>
      </c>
      <c r="D1036" s="706" t="s">
        <v>3045</v>
      </c>
      <c r="E1036" s="706" t="s">
        <v>333</v>
      </c>
      <c r="F1036" s="706" t="s">
        <v>1152</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G810C</v>
      </c>
      <c r="AK1036" s="905" t="str">
        <f t="shared" si="111"/>
        <v>COUT-ACCESSOIRES NEUF</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G810C</v>
      </c>
      <c r="AU1036" s="488" t="str">
        <f t="shared" si="114"/>
        <v>COUT-ACCESSOIRES NEUF</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3046</v>
      </c>
      <c r="D1037" s="706" t="s">
        <v>3047</v>
      </c>
      <c r="E1037" s="706" t="s">
        <v>333</v>
      </c>
      <c r="F1037" s="706" t="s">
        <v>1149</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G811</v>
      </c>
      <c r="AK1037" s="905" t="str">
        <f t="shared" si="111"/>
        <v>VTES-ACCESSOIRES USAGE</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G811</v>
      </c>
      <c r="AU1037" s="488" t="str">
        <f t="shared" si="114"/>
        <v>VTES-ACCESSOIRES USAGE</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3048</v>
      </c>
      <c r="D1038" s="706" t="s">
        <v>3049</v>
      </c>
      <c r="E1038" s="706" t="s">
        <v>333</v>
      </c>
      <c r="F1038" s="706" t="s">
        <v>1152</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G811C</v>
      </c>
      <c r="AK1038" s="905" t="str">
        <f t="shared" si="111"/>
        <v>COUT-ACCESSOIRES USAGE</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G811C</v>
      </c>
      <c r="AU1038" s="488" t="str">
        <f t="shared" si="114"/>
        <v>COUT-ACCESSOIRES USAGE</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3050</v>
      </c>
      <c r="D1039" s="706" t="s">
        <v>3051</v>
      </c>
      <c r="E1039" s="706" t="s">
        <v>333</v>
      </c>
      <c r="F1039" s="706" t="s">
        <v>1150</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G82200</v>
      </c>
      <c r="AK1039" s="905" t="str">
        <f t="shared" si="111"/>
        <v>AUTRES REVENUS VEH. NEUFS</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G82200</v>
      </c>
      <c r="AU1039" s="488" t="str">
        <f t="shared" si="114"/>
        <v>AUTRES REVENUS VEH. NEUFS</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3052</v>
      </c>
      <c r="D1040" s="706" t="s">
        <v>3053</v>
      </c>
      <c r="E1040" s="706" t="s">
        <v>333</v>
      </c>
      <c r="F1040" s="706" t="s">
        <v>1150</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G82300</v>
      </c>
      <c r="AK1040" s="905" t="str">
        <f t="shared" si="111"/>
        <v>AUTRES REVENUS VEH.USAGÉS</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G82300</v>
      </c>
      <c r="AU1040" s="488" t="str">
        <f t="shared" si="114"/>
        <v>AUTRES REVENUS VEH.USAGÉS</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3054</v>
      </c>
      <c r="D1041" s="706" t="s">
        <v>3055</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G850</v>
      </c>
      <c r="AK1041" s="905" t="str">
        <f t="shared" si="111"/>
        <v>RETROFACTURATION F&amp;A NEUF</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G850</v>
      </c>
      <c r="AU1041" s="488" t="str">
        <f t="shared" si="114"/>
        <v>RETROFACTURATION F&amp;A NEUF</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3056</v>
      </c>
      <c r="D1042" s="706" t="s">
        <v>3057</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G851</v>
      </c>
      <c r="AK1042" s="905" t="str">
        <f t="shared" si="111"/>
        <v>RETROFACTURATION F&amp;A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G851</v>
      </c>
      <c r="AU1042" s="488" t="str">
        <f t="shared" si="114"/>
        <v>RETROFACTURATION F&amp;A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3058</v>
      </c>
      <c r="D1043" s="706" t="s">
        <v>3059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G853</v>
      </c>
      <c r="AK1043" s="905" t="str">
        <f t="shared" si="111"/>
        <v>PERTE REPOSSESSION NEUF</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G853</v>
      </c>
      <c r="AU1043" s="488" t="str">
        <f t="shared" si="114"/>
        <v>PERTE REPOSSESSION NEUF</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customHeight="1">
      <c r="A1044" s="706" t="s">
        <v>1148</v>
      </c>
      <c r="B1044" s="706">
        <v>2026</v>
      </c>
      <c r="C1044" s="706" t="s">
        <v>3060</v>
      </c>
      <c r="D1044" s="706" t="s">
        <v>3059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G85300</v>
      </c>
      <c r="AK1044" s="905" t="str">
        <f t="shared" si="111"/>
        <v>PERTE REPOSSESSION NEUF</v>
      </c>
      <c r="AL1044" s="905">
        <f>IFERROR(INDEX(G1044:R1044,1,MATCH(Parametres!$B$3,G$1:R$1,0)-1)*IF(OR(F1044="L",F1044="S",F1044="I"),-1,1),"")</f>
        <v>0</v>
      </c>
      <c r="AM1044" s="905">
        <f t="shared" si="112"/>
        <v>0</v>
      </c>
      <c r="AN1044" s="905">
        <f>INDEX(G1044:R1044,1,MATCH(Parametres!$B$3,G$1:R$1,0))*IF(OR(F1044="L",F1044="S",F1044="I"),-1,1)</f>
        <v>0</v>
      </c>
      <c r="AO1044" s="487" t="str">
        <f>+VLOOKUP($AJ1044,Data_Validation!$A:$D,1,0)</f>
        <v>G85300</v>
      </c>
      <c r="AP1044" s="487">
        <f>+VLOOKUP($AJ1044,Data_Validation!$A:$D,3,0)</f>
        <v>0</v>
      </c>
      <c r="AQ1044" s="487">
        <f>+VLOOKUP($AJ1044,Data_Validation!$A:$D,4,0)</f>
        <v>0</v>
      </c>
      <c r="AR1044" s="487" t="s">
        <v>299</v>
      </c>
      <c r="AS1044" s="487">
        <f>+VLOOKUP($AJ1044,Data_Validation!$A:$E,5,0)</f>
        <v>0</v>
      </c>
      <c r="AT1044" s="904" t="str">
        <f t="shared" si="113"/>
        <v>G85300</v>
      </c>
      <c r="AU1044" s="488" t="str">
        <f t="shared" si="114"/>
        <v>PERTE REPOSSESSION NEUF</v>
      </c>
      <c r="AV1044" s="899">
        <f>IFERROR(INDEX(V1044:AG1044,1,MATCH(Parametres!$B$3,V$1:AG$1,0)-1)*IF(OR(C1044="L",C1044="S",C1044="I"),-1,1),"")</f>
        <v>0</v>
      </c>
      <c r="AW1044" s="899">
        <f t="shared" si="115"/>
        <v>0</v>
      </c>
      <c r="AX1044" s="899">
        <f>INDEX(V1044:AG1044,1,MATCH(Parametres!$B$3,V$1:AG$1,0))*IF(OR(C1044="L",C1044="S",C1044="I"),-1,1)</f>
        <v>0</v>
      </c>
      <c r="AY1044" s="487" t="s">
        <v>337</v>
      </c>
      <c r="AZ1044" s="487">
        <f>+VLOOKUP($AJ1044,Data_Validation!$A:$E,5,0)</f>
        <v>0</v>
      </c>
    </row>
    <row r="1045" spans="1:52" ht="15" customHeight="1">
      <c r="A1045" s="706" t="s">
        <v>1148</v>
      </c>
      <c r="B1045" s="706">
        <v>2026</v>
      </c>
      <c r="C1045" s="706" t="s">
        <v>3061</v>
      </c>
      <c r="D1045" s="706" t="s">
        <v>3062</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G854</v>
      </c>
      <c r="AK1045" s="905" t="str">
        <f t="shared" si="111"/>
        <v>PERTE REPOSSESSION USAG</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G854</v>
      </c>
      <c r="AU1045" s="488" t="str">
        <f t="shared" si="114"/>
        <v>PERTE REPOSSESSION USAG</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customHeight="1">
      <c r="A1046" s="706" t="s">
        <v>1148</v>
      </c>
      <c r="B1046" s="706">
        <v>2026</v>
      </c>
      <c r="C1046" s="706" t="s">
        <v>3063</v>
      </c>
      <c r="D1046" s="706" t="s">
        <v>3064</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G85400</v>
      </c>
      <c r="AK1046" s="905" t="str">
        <f t="shared" si="111"/>
        <v>PERTE REPOSSESSION USAGE</v>
      </c>
      <c r="AL1046" s="905">
        <f>IFERROR(INDEX(G1046:R1046,1,MATCH(Parametres!$B$3,G$1:R$1,0)-1)*IF(OR(F1046="L",F1046="S",F1046="I"),-1,1),"")</f>
        <v>0</v>
      </c>
      <c r="AM1046" s="905">
        <f t="shared" si="112"/>
        <v>0</v>
      </c>
      <c r="AN1046" s="905">
        <f>INDEX(G1046:R1046,1,MATCH(Parametres!$B$3,G$1:R$1,0))*IF(OR(F1046="L",F1046="S",F1046="I"),-1,1)</f>
        <v>0</v>
      </c>
      <c r="AO1046" s="487" t="str">
        <f>+VLOOKUP($AJ1046,Data_Validation!$A:$D,1,0)</f>
        <v>G85400</v>
      </c>
      <c r="AP1046" s="487">
        <f>+VLOOKUP($AJ1046,Data_Validation!$A:$D,3,0)</f>
        <v>0</v>
      </c>
      <c r="AQ1046" s="487">
        <f>+VLOOKUP($AJ1046,Data_Validation!$A:$D,4,0)</f>
        <v>0</v>
      </c>
      <c r="AR1046" s="487" t="s">
        <v>299</v>
      </c>
      <c r="AS1046" s="487">
        <f>+VLOOKUP($AJ1046,Data_Validation!$A:$E,5,0)</f>
        <v>0</v>
      </c>
      <c r="AT1046" s="904" t="str">
        <f t="shared" si="113"/>
        <v>G85400</v>
      </c>
      <c r="AU1046" s="488" t="str">
        <f t="shared" si="114"/>
        <v>PERTE REPOSSESSION USAGE</v>
      </c>
      <c r="AV1046" s="899">
        <f>IFERROR(INDEX(V1046:AG1046,1,MATCH(Parametres!$B$3,V$1:AG$1,0)-1)*IF(OR(C1046="L",C1046="S",C1046="I"),-1,1),"")</f>
        <v>0</v>
      </c>
      <c r="AW1046" s="899">
        <f t="shared" si="115"/>
        <v>0</v>
      </c>
      <c r="AX1046" s="899">
        <f>INDEX(V1046:AG1046,1,MATCH(Parametres!$B$3,V$1:AG$1,0))*IF(OR(C1046="L",C1046="S",C1046="I"),-1,1)</f>
        <v>0</v>
      </c>
      <c r="AY1046" s="487" t="s">
        <v>337</v>
      </c>
      <c r="AZ1046" s="487">
        <f>+VLOOKUP($AJ1046,Data_Validation!$A:$E,5,0)</f>
        <v>0</v>
      </c>
    </row>
    <row r="1047" spans="1:52" ht="15" customHeight="1">
      <c r="A1047" s="706" t="s">
        <v>1148</v>
      </c>
      <c r="B1047" s="706">
        <v>2026</v>
      </c>
      <c r="C1047" s="706" t="s">
        <v>3065</v>
      </c>
      <c r="D1047" s="706" t="s">
        <v>3066</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G855</v>
      </c>
      <c r="AK1047" s="905" t="str">
        <f t="shared" si="111"/>
        <v>REMUNERATION F&amp;A NEUF</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G855</v>
      </c>
      <c r="AU1047" s="488" t="str">
        <f t="shared" si="114"/>
        <v>REMUNERATION F&amp;A NEUF</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customHeight="1">
      <c r="A1048" s="706" t="s">
        <v>1148</v>
      </c>
      <c r="B1048" s="706">
        <v>2026</v>
      </c>
      <c r="C1048" s="706" t="s">
        <v>3067</v>
      </c>
      <c r="D1048" s="706" t="s">
        <v>3068</v>
      </c>
      <c r="E1048" s="706" t="s">
        <v>333</v>
      </c>
      <c r="F1048" s="706" t="s">
        <v>1104</v>
      </c>
      <c r="G1048" s="706">
        <v>12958.69</v>
      </c>
      <c r="H1048" s="706">
        <v>21768.99</v>
      </c>
      <c r="I1048" s="706">
        <v>32787.4</v>
      </c>
      <c r="J1048" s="706">
        <v>57498.720000000001</v>
      </c>
      <c r="K1048" s="706">
        <v>68000.55</v>
      </c>
      <c r="L1048" s="706">
        <v>83684.160000000003</v>
      </c>
      <c r="M1048" s="706">
        <v>96110.74</v>
      </c>
      <c r="N1048" s="706">
        <v>105171.33</v>
      </c>
      <c r="O1048" s="706">
        <v>114061.64</v>
      </c>
      <c r="P1048" s="706">
        <v>0</v>
      </c>
      <c r="Q1048" s="706">
        <v>0</v>
      </c>
      <c r="R1048" s="706">
        <v>0</v>
      </c>
      <c r="S1048" s="706">
        <v>13146.42</v>
      </c>
      <c r="T1048" s="706">
        <v>13146.42</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G85500</v>
      </c>
      <c r="AK1048" s="905" t="str">
        <f t="shared" si="111"/>
        <v>REMUNERATION F&amp;I NEUF</v>
      </c>
      <c r="AL1048" s="905">
        <f>IFERROR(INDEX(G1048:R1048,1,MATCH(Parametres!$B$3,G$1:R$1,0)-1)*IF(OR(F1048="L",F1048="S",F1048="I"),-1,1),"")</f>
        <v>96110.74</v>
      </c>
      <c r="AM1048" s="905">
        <f t="shared" si="112"/>
        <v>9060.5899999999965</v>
      </c>
      <c r="AN1048" s="905">
        <f>INDEX(G1048:R1048,1,MATCH(Parametres!$B$3,G$1:R$1,0))*IF(OR(F1048="L",F1048="S",F1048="I"),-1,1)</f>
        <v>105171.33</v>
      </c>
      <c r="AO1048" s="487" t="str">
        <f>+VLOOKUP($AJ1048,Data_Validation!$A:$D,1,0)</f>
        <v>G85500</v>
      </c>
      <c r="AP1048" s="487" t="str">
        <f>+VLOOKUP($AJ1048,Data_Validation!$A:$D,3,0)</f>
        <v>Véhicules neufs</v>
      </c>
      <c r="AQ1048" s="487" t="str">
        <f>+VLOOKUP($AJ1048,Data_Validation!$A:$D,4,0)</f>
        <v>Comm. F&amp;I</v>
      </c>
      <c r="AR1048" s="487" t="s">
        <v>299</v>
      </c>
      <c r="AS1048" s="487">
        <f>+VLOOKUP($AJ1048,Data_Validation!$A:$E,5,0)</f>
        <v>0</v>
      </c>
      <c r="AT1048" s="904" t="str">
        <f t="shared" si="113"/>
        <v>G85500</v>
      </c>
      <c r="AU1048" s="488" t="str">
        <f t="shared" si="114"/>
        <v>REMUNERATION F&amp;I NEUF</v>
      </c>
      <c r="AV1048" s="899">
        <f>IFERROR(INDEX(V1048:AG1048,1,MATCH(Parametres!$B$3,V$1:AG$1,0)-1)*IF(OR(C1048="L",C1048="S",C1048="I"),-1,1),"")</f>
        <v>0</v>
      </c>
      <c r="AW1048" s="899">
        <f t="shared" si="115"/>
        <v>0</v>
      </c>
      <c r="AX1048" s="899">
        <f>INDEX(V1048:AG1048,1,MATCH(Parametres!$B$3,V$1:AG$1,0))*IF(OR(C1048="L",C1048="S",C1048="I"),-1,1)</f>
        <v>0</v>
      </c>
      <c r="AY1048" s="487" t="s">
        <v>337</v>
      </c>
      <c r="AZ1048" s="487">
        <f>+VLOOKUP($AJ1048,Data_Validation!$A:$E,5,0)</f>
        <v>0</v>
      </c>
    </row>
    <row r="1049" spans="1:52" ht="15" customHeight="1">
      <c r="A1049" s="706" t="s">
        <v>1148</v>
      </c>
      <c r="B1049" s="706">
        <v>2026</v>
      </c>
      <c r="C1049" s="706" t="s">
        <v>3069</v>
      </c>
      <c r="D1049" s="706" t="s">
        <v>3070</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G856</v>
      </c>
      <c r="AK1049" s="905" t="str">
        <f t="shared" si="111"/>
        <v>REMUNERATION F&amp;A USAGE</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G856</v>
      </c>
      <c r="AU1049" s="488" t="str">
        <f t="shared" si="114"/>
        <v>REMUNERATION F&amp;A USAGE</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3071</v>
      </c>
      <c r="D1050" s="706" t="s">
        <v>3072</v>
      </c>
      <c r="E1050" s="706" t="s">
        <v>333</v>
      </c>
      <c r="F1050" s="706" t="s">
        <v>1104</v>
      </c>
      <c r="G1050" s="706">
        <v>6574.65</v>
      </c>
      <c r="H1050" s="706">
        <v>9305.9500000000007</v>
      </c>
      <c r="I1050" s="706">
        <v>13960.22</v>
      </c>
      <c r="J1050" s="706">
        <v>21591.39</v>
      </c>
      <c r="K1050" s="706">
        <v>27429.56</v>
      </c>
      <c r="L1050" s="706">
        <v>31922.66</v>
      </c>
      <c r="M1050" s="706">
        <v>36714.019999999997</v>
      </c>
      <c r="N1050" s="706">
        <v>42473.25</v>
      </c>
      <c r="O1050" s="706">
        <v>42919.86</v>
      </c>
      <c r="P1050" s="706">
        <v>0</v>
      </c>
      <c r="Q1050" s="706">
        <v>0</v>
      </c>
      <c r="R1050" s="706">
        <v>0</v>
      </c>
      <c r="S1050" s="706">
        <v>5309.16</v>
      </c>
      <c r="T1050" s="706">
        <v>5309.16</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G85600</v>
      </c>
      <c r="AK1050" s="905" t="str">
        <f t="shared" si="111"/>
        <v>REMUNERATION F&amp;I USAGE</v>
      </c>
      <c r="AL1050" s="905">
        <f>IFERROR(INDEX(G1050:R1050,1,MATCH(Parametres!$B$3,G$1:R$1,0)-1)*IF(OR(F1050="L",F1050="S",F1050="I"),-1,1),"")</f>
        <v>36714.019999999997</v>
      </c>
      <c r="AM1050" s="905">
        <f t="shared" si="112"/>
        <v>5759.2300000000032</v>
      </c>
      <c r="AN1050" s="905">
        <f>INDEX(G1050:R1050,1,MATCH(Parametres!$B$3,G$1:R$1,0))*IF(OR(F1050="L",F1050="S",F1050="I"),-1,1)</f>
        <v>42473.25</v>
      </c>
      <c r="AO1050" s="487" t="str">
        <f>+VLOOKUP($AJ1050,Data_Validation!$A:$D,1,0)</f>
        <v>G85600</v>
      </c>
      <c r="AP1050" s="487" t="str">
        <f>+VLOOKUP($AJ1050,Data_Validation!$A:$D,3,0)</f>
        <v>Véhicules usagés</v>
      </c>
      <c r="AQ1050" s="487" t="str">
        <f>+VLOOKUP($AJ1050,Data_Validation!$A:$D,4,0)</f>
        <v>Comm. F&amp;I</v>
      </c>
      <c r="AR1050" s="487" t="s">
        <v>299</v>
      </c>
      <c r="AS1050" s="487">
        <f>+VLOOKUP($AJ1050,Data_Validation!$A:$E,5,0)</f>
        <v>0</v>
      </c>
      <c r="AT1050" s="904" t="str">
        <f t="shared" si="113"/>
        <v>G85600</v>
      </c>
      <c r="AU1050" s="488" t="str">
        <f t="shared" si="114"/>
        <v>REMUNERATION F&amp;I USAGE</v>
      </c>
      <c r="AV1050" s="899">
        <f>IFERROR(INDEX(V1050:AG1050,1,MATCH(Parametres!$B$3,V$1:AG$1,0)-1)*IF(OR(C1050="L",C1050="S",C1050="I"),-1,1),"")</f>
        <v>0</v>
      </c>
      <c r="AW1050" s="899">
        <f t="shared" si="115"/>
        <v>0</v>
      </c>
      <c r="AX1050" s="899">
        <f>INDEX(V1050:AG1050,1,MATCH(Parametres!$B$3,V$1:AG$1,0))*IF(OR(C1050="L",C1050="S",C1050="I"),-1,1)</f>
        <v>0</v>
      </c>
      <c r="AY1050" s="487" t="s">
        <v>337</v>
      </c>
      <c r="AZ1050" s="487">
        <f>+VLOOKUP($AJ1050,Data_Validation!$A:$E,5,0)</f>
        <v>0</v>
      </c>
    </row>
    <row r="1051" spans="1:52" ht="15" customHeight="1">
      <c r="A1051" s="706" t="s">
        <v>1148</v>
      </c>
      <c r="B1051" s="706">
        <v>2026</v>
      </c>
      <c r="C1051" s="706" t="s">
        <v>3073</v>
      </c>
      <c r="D1051" s="706" t="s">
        <v>3051</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G87200</v>
      </c>
      <c r="AK1051" s="905" t="str">
        <f t="shared" si="111"/>
        <v>AUTRES REVENUS VEH. NEUFS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G87200</v>
      </c>
      <c r="AU1051" s="488" t="str">
        <f t="shared" si="114"/>
        <v>AUTRES REVENUS VEH. NEUFS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3074</v>
      </c>
      <c r="D1052" s="706" t="s">
        <v>3075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G87300</v>
      </c>
      <c r="AK1052" s="905" t="str">
        <f t="shared" si="111"/>
        <v>AUTRES REVENUS VEH.USAGES</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G87300</v>
      </c>
      <c r="AU1052" s="488" t="str">
        <f t="shared" si="114"/>
        <v>AUTRES REVENUS VEH.USAGES</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3076</v>
      </c>
      <c r="D1053" s="706" t="s">
        <v>1153</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G902</v>
      </c>
      <c r="AK1053" s="905" t="str">
        <f t="shared" si="111"/>
        <v>MAUVAISES CREANCES RECOUV</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G902</v>
      </c>
      <c r="AU1053" s="488" t="str">
        <f t="shared" si="114"/>
        <v>MAUVAISES CREANCES RECOUV</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3077</v>
      </c>
      <c r="D1054" s="706" t="s">
        <v>3078</v>
      </c>
      <c r="E1054" s="706" t="s">
        <v>333</v>
      </c>
      <c r="F1054" s="706" t="s">
        <v>1150</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G90200</v>
      </c>
      <c r="AK1054" s="905" t="str">
        <f t="shared" si="111"/>
        <v>RENTREES CREANCES RADIEES</v>
      </c>
      <c r="AL1054" s="905">
        <f>IFERROR(INDEX(G1054:R1054,1,MATCH(Parametres!$B$3,G$1:R$1,0)-1)*IF(OR(F1054="L",F1054="S",F1054="I"),-1,1),"")</f>
        <v>0</v>
      </c>
      <c r="AM1054" s="905">
        <f t="shared" si="112"/>
        <v>0</v>
      </c>
      <c r="AN1054" s="905">
        <f>INDEX(G1054:R1054,1,MATCH(Parametres!$B$3,G$1:R$1,0))*IF(OR(F1054="L",F1054="S",F1054="I"),-1,1)</f>
        <v>0</v>
      </c>
      <c r="AO1054" s="487" t="str">
        <f>+VLOOKUP($AJ1054,Data_Validation!$A:$D,1,0)</f>
        <v>G90200</v>
      </c>
      <c r="AP1054" s="487">
        <f>+VLOOKUP($AJ1054,Data_Validation!$A:$D,3,0)</f>
        <v>0</v>
      </c>
      <c r="AQ1054" s="487">
        <f>+VLOOKUP($AJ1054,Data_Validation!$A:$D,4,0)</f>
        <v>0</v>
      </c>
      <c r="AR1054" s="487" t="s">
        <v>299</v>
      </c>
      <c r="AS1054" s="487">
        <f>+VLOOKUP($AJ1054,Data_Validation!$A:$E,5,0)</f>
        <v>0</v>
      </c>
      <c r="AT1054" s="904" t="str">
        <f t="shared" si="113"/>
        <v>G90200</v>
      </c>
      <c r="AU1054" s="488" t="str">
        <f t="shared" si="114"/>
        <v>RENTREES CREANCES RADIEES</v>
      </c>
      <c r="AV1054" s="899">
        <f>IFERROR(INDEX(V1054:AG1054,1,MATCH(Parametres!$B$3,V$1:AG$1,0)-1)*IF(OR(C1054="L",C1054="S",C1054="I"),-1,1),"")</f>
        <v>0</v>
      </c>
      <c r="AW1054" s="899">
        <f t="shared" si="115"/>
        <v>0</v>
      </c>
      <c r="AX1054" s="899">
        <f>INDEX(V1054:AG1054,1,MATCH(Parametres!$B$3,V$1:AG$1,0))*IF(OR(C1054="L",C1054="S",C1054="I"),-1,1)</f>
        <v>0</v>
      </c>
      <c r="AY1054" s="487" t="s">
        <v>337</v>
      </c>
      <c r="AZ1054" s="487">
        <f>+VLOOKUP($AJ1054,Data_Validation!$A:$E,5,0)</f>
        <v>0</v>
      </c>
    </row>
    <row r="1055" spans="1:52" ht="15" customHeight="1">
      <c r="A1055" s="706" t="s">
        <v>1148</v>
      </c>
      <c r="B1055" s="706">
        <v>2026</v>
      </c>
      <c r="C1055" s="706" t="s">
        <v>3079</v>
      </c>
      <c r="D1055" s="706" t="s">
        <v>3080</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G903</v>
      </c>
      <c r="AK1055" s="905" t="str">
        <f t="shared" si="111"/>
        <v>ESCOMPTE DE CAISSE GAGNE</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G903</v>
      </c>
      <c r="AU1055" s="488" t="str">
        <f t="shared" si="114"/>
        <v>ESCOMPTE DE CAISSE GAGNE</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3081</v>
      </c>
      <c r="D1056" s="706" t="s">
        <v>3082</v>
      </c>
      <c r="E1056" s="706" t="s">
        <v>333</v>
      </c>
      <c r="F1056" s="706" t="s">
        <v>1150</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G905</v>
      </c>
      <c r="AK1056" s="905" t="str">
        <f t="shared" si="111"/>
        <v>AUTRES REVENUS DIVERS</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G905</v>
      </c>
      <c r="AU1056" s="488" t="str">
        <f t="shared" si="114"/>
        <v>AUTRES REVENUS DIVERS</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customHeight="1">
      <c r="A1057" s="706" t="s">
        <v>1148</v>
      </c>
      <c r="B1057" s="706">
        <v>2026</v>
      </c>
      <c r="C1057" s="706" t="s">
        <v>3083</v>
      </c>
      <c r="D1057" s="706" t="s">
        <v>3082</v>
      </c>
      <c r="E1057" s="706" t="s">
        <v>333</v>
      </c>
      <c r="F1057" s="706" t="s">
        <v>1150</v>
      </c>
      <c r="G1057" s="706">
        <v>2822.27</v>
      </c>
      <c r="H1057" s="706">
        <v>17220.16</v>
      </c>
      <c r="I1057" s="706">
        <v>42749.61</v>
      </c>
      <c r="J1057" s="706">
        <v>65183.51</v>
      </c>
      <c r="K1057" s="706">
        <v>26545.14</v>
      </c>
      <c r="L1057" s="706">
        <v>31155.05</v>
      </c>
      <c r="M1057" s="706">
        <v>42868.43</v>
      </c>
      <c r="N1057" s="706">
        <v>47093.88</v>
      </c>
      <c r="O1057" s="706">
        <v>54868</v>
      </c>
      <c r="P1057" s="706">
        <v>0</v>
      </c>
      <c r="Q1057" s="706">
        <v>0</v>
      </c>
      <c r="R1057" s="706">
        <v>0</v>
      </c>
      <c r="S1057" s="706">
        <v>5886.74</v>
      </c>
      <c r="T1057" s="706">
        <v>5886.74</v>
      </c>
      <c r="U1057" s="706">
        <v>0</v>
      </c>
      <c r="V1057" s="706">
        <v>-1</v>
      </c>
      <c r="W1057" s="706">
        <v>-2</v>
      </c>
      <c r="X1057" s="706">
        <v>-12</v>
      </c>
      <c r="Y1057" s="706">
        <v>-20</v>
      </c>
      <c r="Z1057" s="706">
        <v>-25</v>
      </c>
      <c r="AA1057" s="706">
        <v>-34</v>
      </c>
      <c r="AB1057" s="706">
        <v>-48</v>
      </c>
      <c r="AC1057" s="706">
        <v>-49</v>
      </c>
      <c r="AD1057" s="706">
        <v>-56</v>
      </c>
      <c r="AE1057" s="706">
        <v>0</v>
      </c>
      <c r="AF1057" s="706">
        <v>0</v>
      </c>
      <c r="AG1057" s="706">
        <v>0</v>
      </c>
      <c r="AH1057" s="706">
        <v>-6</v>
      </c>
      <c r="AI1057" s="706">
        <v>-6</v>
      </c>
      <c r="AJ1057" s="905" t="str">
        <f t="shared" si="110"/>
        <v>G90500</v>
      </c>
      <c r="AK1057" s="905" t="str">
        <f t="shared" si="111"/>
        <v>AUTRES REVENUS DIVERS</v>
      </c>
      <c r="AL1057" s="905">
        <f>IFERROR(INDEX(G1057:R1057,1,MATCH(Parametres!$B$3,G$1:R$1,0)-1)*IF(OR(F1057="L",F1057="S",F1057="I"),-1,1),"")</f>
        <v>-42868.43</v>
      </c>
      <c r="AM1057" s="905">
        <f t="shared" si="112"/>
        <v>-4225.4499999999971</v>
      </c>
      <c r="AN1057" s="905">
        <f>INDEX(G1057:R1057,1,MATCH(Parametres!$B$3,G$1:R$1,0))*IF(OR(F1057="L",F1057="S",F1057="I"),-1,1)</f>
        <v>-47093.88</v>
      </c>
      <c r="AO1057" s="487" t="str">
        <f>+VLOOKUP($AJ1057,Data_Validation!$A:$D,1,0)</f>
        <v>G90500</v>
      </c>
      <c r="AP1057" s="487" t="str">
        <f>+VLOOKUP($AJ1057,Data_Validation!$A:$D,3,0)</f>
        <v>TOTAL DES REVENUS ET DÉPENSES</v>
      </c>
      <c r="AQ1057" s="487" t="str">
        <f>+VLOOKUP($AJ1057,Data_Validation!$A:$D,4,0)</f>
        <v>Revenus autres</v>
      </c>
      <c r="AR1057" s="487" t="s">
        <v>299</v>
      </c>
      <c r="AS1057" s="487">
        <f>+VLOOKUP($AJ1057,Data_Validation!$A:$E,5,0)</f>
        <v>0</v>
      </c>
      <c r="AT1057" s="904" t="str">
        <f t="shared" si="113"/>
        <v>G90500</v>
      </c>
      <c r="AU1057" s="488" t="str">
        <f t="shared" si="114"/>
        <v>AUTRES REVENUS DIVERS</v>
      </c>
      <c r="AV1057" s="899">
        <f>IFERROR(INDEX(V1057:AG1057,1,MATCH(Parametres!$B$3,V$1:AG$1,0)-1)*IF(OR(C1057="L",C1057="S",C1057="I"),-1,1),"")</f>
        <v>-48</v>
      </c>
      <c r="AW1057" s="899">
        <f t="shared" si="115"/>
        <v>-1</v>
      </c>
      <c r="AX1057" s="899">
        <f>INDEX(V1057:AG1057,1,MATCH(Parametres!$B$3,V$1:AG$1,0))*IF(OR(C1057="L",C1057="S",C1057="I"),-1,1)</f>
        <v>-49</v>
      </c>
      <c r="AY1057" s="487" t="s">
        <v>337</v>
      </c>
      <c r="AZ1057" s="487">
        <f>+VLOOKUP($AJ1057,Data_Validation!$A:$E,5,0)</f>
        <v>0</v>
      </c>
    </row>
    <row r="1058" spans="1:52" ht="15" customHeight="1">
      <c r="A1058" s="706" t="s">
        <v>1148</v>
      </c>
      <c r="B1058" s="706">
        <v>2026</v>
      </c>
      <c r="C1058" s="706" t="s">
        <v>3410</v>
      </c>
      <c r="D1058" s="706" t="s">
        <v>3411</v>
      </c>
      <c r="E1058" s="706" t="s">
        <v>333</v>
      </c>
      <c r="F1058" s="706" t="s">
        <v>1150</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G90550</v>
      </c>
      <c r="AK1058" s="905" t="str">
        <f t="shared" si="111"/>
        <v>DEALER FINANCE - SPLIT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G90550</v>
      </c>
      <c r="AU1058" s="488" t="str">
        <f t="shared" si="114"/>
        <v>DEALER FINANCE - SPLIT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customHeight="1">
      <c r="A1059" s="706" t="s">
        <v>1148</v>
      </c>
      <c r="B1059" s="706">
        <v>2026</v>
      </c>
      <c r="C1059" s="706" t="s">
        <v>3148</v>
      </c>
      <c r="D1059" s="706" t="s">
        <v>3149</v>
      </c>
      <c r="E1059" s="706" t="s">
        <v>333</v>
      </c>
      <c r="F1059" s="706" t="s">
        <v>1150</v>
      </c>
      <c r="G1059" s="706">
        <v>0</v>
      </c>
      <c r="H1059" s="706">
        <v>0</v>
      </c>
      <c r="I1059" s="706">
        <v>0</v>
      </c>
      <c r="J1059" s="706">
        <v>0</v>
      </c>
      <c r="K1059" s="706">
        <v>41353.94</v>
      </c>
      <c r="L1059" s="706">
        <v>55228.639999999999</v>
      </c>
      <c r="M1059" s="706">
        <v>66487.56</v>
      </c>
      <c r="N1059" s="706">
        <v>76787.350000000006</v>
      </c>
      <c r="O1059" s="706">
        <v>76787.350000000006</v>
      </c>
      <c r="P1059" s="706">
        <v>0</v>
      </c>
      <c r="Q1059" s="706">
        <v>0</v>
      </c>
      <c r="R1059" s="706">
        <v>0</v>
      </c>
      <c r="S1059" s="706">
        <v>9598.42</v>
      </c>
      <c r="T1059" s="706">
        <v>9598.42</v>
      </c>
      <c r="U1059" s="706">
        <v>0</v>
      </c>
      <c r="V1059" s="706">
        <v>0</v>
      </c>
      <c r="W1059" s="706">
        <v>0</v>
      </c>
      <c r="X1059" s="706">
        <v>0</v>
      </c>
      <c r="Y1059" s="706">
        <v>0</v>
      </c>
      <c r="Z1059" s="706">
        <v>3</v>
      </c>
      <c r="AA1059" s="706">
        <v>4</v>
      </c>
      <c r="AB1059" s="706">
        <v>5</v>
      </c>
      <c r="AC1059" s="706">
        <v>6</v>
      </c>
      <c r="AD1059" s="706">
        <v>6</v>
      </c>
      <c r="AE1059" s="706">
        <v>0</v>
      </c>
      <c r="AF1059" s="706">
        <v>0</v>
      </c>
      <c r="AG1059" s="706">
        <v>0</v>
      </c>
      <c r="AH1059" s="706">
        <v>1</v>
      </c>
      <c r="AI1059" s="706">
        <v>1</v>
      </c>
      <c r="AJ1059" s="905" t="str">
        <f t="shared" si="110"/>
        <v>G90551</v>
      </c>
      <c r="AK1059" s="905" t="str">
        <f t="shared" si="111"/>
        <v>DEALER FINANCE - NEUF</v>
      </c>
      <c r="AL1059" s="905">
        <f>IFERROR(INDEX(G1059:R1059,1,MATCH(Parametres!$B$3,G$1:R$1,0)-1)*IF(OR(F1059="L",F1059="S",F1059="I"),-1,1),"")</f>
        <v>-66487.56</v>
      </c>
      <c r="AM1059" s="905">
        <f t="shared" si="112"/>
        <v>-10299.790000000008</v>
      </c>
      <c r="AN1059" s="905">
        <f>INDEX(G1059:R1059,1,MATCH(Parametres!$B$3,G$1:R$1,0))*IF(OR(F1059="L",F1059="S",F1059="I"),-1,1)</f>
        <v>-76787.350000000006</v>
      </c>
      <c r="AO1059" s="487" t="str">
        <f>+VLOOKUP($AJ1059,Data_Validation!$A:$D,1,0)</f>
        <v>G90551</v>
      </c>
      <c r="AP1059" s="487" t="str">
        <f>+VLOOKUP($AJ1059,Data_Validation!$A:$D,3,0)</f>
        <v>Véhicules neufs</v>
      </c>
      <c r="AQ1059" s="487" t="str">
        <f>+VLOOKUP($AJ1059,Data_Validation!$A:$D,4,0)</f>
        <v>Crédit Boni TD</v>
      </c>
      <c r="AR1059" s="487" t="s">
        <v>299</v>
      </c>
      <c r="AS1059" s="487">
        <f>+VLOOKUP($AJ1059,Data_Validation!$A:$E,5,0)</f>
        <v>0</v>
      </c>
      <c r="AT1059" s="904" t="str">
        <f t="shared" si="113"/>
        <v>G90551</v>
      </c>
      <c r="AU1059" s="488" t="str">
        <f t="shared" si="114"/>
        <v>DEALER FINANCE - NEUF</v>
      </c>
      <c r="AV1059" s="899">
        <f>IFERROR(INDEX(V1059:AG1059,1,MATCH(Parametres!$B$3,V$1:AG$1,0)-1)*IF(OR(C1059="L",C1059="S",C1059="I"),-1,1),"")</f>
        <v>5</v>
      </c>
      <c r="AW1059" s="899">
        <f t="shared" si="115"/>
        <v>1</v>
      </c>
      <c r="AX1059" s="899">
        <f>INDEX(V1059:AG1059,1,MATCH(Parametres!$B$3,V$1:AG$1,0))*IF(OR(C1059="L",C1059="S",C1059="I"),-1,1)</f>
        <v>6</v>
      </c>
      <c r="AY1059" s="487" t="s">
        <v>337</v>
      </c>
      <c r="AZ1059" s="487">
        <f>+VLOOKUP($AJ1059,Data_Validation!$A:$E,5,0)</f>
        <v>0</v>
      </c>
    </row>
    <row r="1060" spans="1:52" ht="15" customHeight="1">
      <c r="A1060" s="706" t="s">
        <v>1148</v>
      </c>
      <c r="B1060" s="706">
        <v>2026</v>
      </c>
      <c r="C1060" s="706" t="s">
        <v>3150</v>
      </c>
      <c r="D1060" s="706" t="s">
        <v>3151</v>
      </c>
      <c r="E1060" s="706" t="s">
        <v>333</v>
      </c>
      <c r="F1060" s="706" t="s">
        <v>1150</v>
      </c>
      <c r="G1060" s="706">
        <v>0</v>
      </c>
      <c r="H1060" s="706">
        <v>0</v>
      </c>
      <c r="I1060" s="706">
        <v>0</v>
      </c>
      <c r="J1060" s="706">
        <v>0</v>
      </c>
      <c r="K1060" s="706">
        <v>27569.29</v>
      </c>
      <c r="L1060" s="706">
        <v>34506.639999999999</v>
      </c>
      <c r="M1060" s="706">
        <v>35329.78</v>
      </c>
      <c r="N1060" s="706">
        <v>36949.339999999997</v>
      </c>
      <c r="O1060" s="706">
        <v>36949.339999999997</v>
      </c>
      <c r="P1060" s="706">
        <v>0</v>
      </c>
      <c r="Q1060" s="706">
        <v>0</v>
      </c>
      <c r="R1060" s="706">
        <v>0</v>
      </c>
      <c r="S1060" s="706">
        <v>4618.67</v>
      </c>
      <c r="T1060" s="706">
        <v>4618.67</v>
      </c>
      <c r="U1060" s="706">
        <v>0</v>
      </c>
      <c r="V1060" s="706">
        <v>0</v>
      </c>
      <c r="W1060" s="706">
        <v>0</v>
      </c>
      <c r="X1060" s="706">
        <v>0</v>
      </c>
      <c r="Y1060" s="706">
        <v>0</v>
      </c>
      <c r="Z1060" s="706">
        <v>3</v>
      </c>
      <c r="AA1060" s="706">
        <v>4</v>
      </c>
      <c r="AB1060" s="706">
        <v>5</v>
      </c>
      <c r="AC1060" s="706">
        <v>6</v>
      </c>
      <c r="AD1060" s="706">
        <v>6</v>
      </c>
      <c r="AE1060" s="706">
        <v>0</v>
      </c>
      <c r="AF1060" s="706">
        <v>0</v>
      </c>
      <c r="AG1060" s="706">
        <v>0</v>
      </c>
      <c r="AH1060" s="706">
        <v>1</v>
      </c>
      <c r="AI1060" s="706">
        <v>1</v>
      </c>
      <c r="AJ1060" s="905" t="str">
        <f t="shared" si="110"/>
        <v>G90552</v>
      </c>
      <c r="AK1060" s="905" t="str">
        <f t="shared" si="111"/>
        <v>DEALER FINANCE - USAGE</v>
      </c>
      <c r="AL1060" s="905">
        <f>IFERROR(INDEX(G1060:R1060,1,MATCH(Parametres!$B$3,G$1:R$1,0)-1)*IF(OR(F1060="L",F1060="S",F1060="I"),-1,1),"")</f>
        <v>-35329.78</v>
      </c>
      <c r="AM1060" s="905">
        <f t="shared" si="112"/>
        <v>-1619.5599999999977</v>
      </c>
      <c r="AN1060" s="905">
        <f>INDEX(G1060:R1060,1,MATCH(Parametres!$B$3,G$1:R$1,0))*IF(OR(F1060="L",F1060="S",F1060="I"),-1,1)</f>
        <v>-36949.339999999997</v>
      </c>
      <c r="AO1060" s="487" t="str">
        <f>+VLOOKUP($AJ1060,Data_Validation!$A:$D,1,0)</f>
        <v>G90552</v>
      </c>
      <c r="AP1060" s="487" t="str">
        <f>+VLOOKUP($AJ1060,Data_Validation!$A:$D,3,0)</f>
        <v>Véhicules usagés</v>
      </c>
      <c r="AQ1060" s="487" t="str">
        <f>+VLOOKUP($AJ1060,Data_Validation!$A:$D,4,0)</f>
        <v>Crédit Boni TD</v>
      </c>
      <c r="AR1060" s="487" t="s">
        <v>299</v>
      </c>
      <c r="AS1060" s="487">
        <f>+VLOOKUP($AJ1060,Data_Validation!$A:$E,5,0)</f>
        <v>0</v>
      </c>
      <c r="AT1060" s="904" t="str">
        <f t="shared" si="113"/>
        <v>G90552</v>
      </c>
      <c r="AU1060" s="488" t="str">
        <f t="shared" si="114"/>
        <v>DEALER FINANCE - USAGE</v>
      </c>
      <c r="AV1060" s="899">
        <f>IFERROR(INDEX(V1060:AG1060,1,MATCH(Parametres!$B$3,V$1:AG$1,0)-1)*IF(OR(C1060="L",C1060="S",C1060="I"),-1,1),"")</f>
        <v>5</v>
      </c>
      <c r="AW1060" s="899">
        <f t="shared" si="115"/>
        <v>1</v>
      </c>
      <c r="AX1060" s="899">
        <f>INDEX(V1060:AG1060,1,MATCH(Parametres!$B$3,V$1:AG$1,0))*IF(OR(C1060="L",C1060="S",C1060="I"),-1,1)</f>
        <v>6</v>
      </c>
      <c r="AY1060" s="487" t="s">
        <v>337</v>
      </c>
      <c r="AZ1060" s="487">
        <f>+VLOOKUP($AJ1060,Data_Validation!$A:$E,5,0)</f>
        <v>0</v>
      </c>
    </row>
    <row r="1061" spans="1:52" ht="15" customHeight="1">
      <c r="A1061" s="706" t="s">
        <v>1148</v>
      </c>
      <c r="B1061" s="706">
        <v>2026</v>
      </c>
      <c r="C1061" s="706" t="s">
        <v>3412</v>
      </c>
      <c r="D1061" s="706" t="s">
        <v>3413</v>
      </c>
      <c r="E1061" s="706" t="s">
        <v>333</v>
      </c>
      <c r="F1061" s="706" t="s">
        <v>1150</v>
      </c>
      <c r="G1061" s="706">
        <v>0</v>
      </c>
      <c r="H1061" s="706">
        <v>0</v>
      </c>
      <c r="I1061" s="706">
        <v>0</v>
      </c>
      <c r="J1061" s="706">
        <v>0</v>
      </c>
      <c r="K1061" s="706">
        <v>0</v>
      </c>
      <c r="L1061" s="706">
        <v>0</v>
      </c>
      <c r="M1061" s="706">
        <v>4744.12</v>
      </c>
      <c r="N1061" s="706">
        <v>6676.04</v>
      </c>
      <c r="O1061" s="706">
        <v>6676.04</v>
      </c>
      <c r="P1061" s="706">
        <v>0</v>
      </c>
      <c r="Q1061" s="706">
        <v>0</v>
      </c>
      <c r="R1061" s="706">
        <v>0</v>
      </c>
      <c r="S1061" s="706">
        <v>834.51</v>
      </c>
      <c r="T1061" s="706">
        <v>834.51</v>
      </c>
      <c r="U1061" s="706">
        <v>0</v>
      </c>
      <c r="V1061" s="706">
        <v>0</v>
      </c>
      <c r="W1061" s="706">
        <v>0</v>
      </c>
      <c r="X1061" s="706">
        <v>0</v>
      </c>
      <c r="Y1061" s="706">
        <v>0</v>
      </c>
      <c r="Z1061" s="706">
        <v>0</v>
      </c>
      <c r="AA1061" s="706">
        <v>0</v>
      </c>
      <c r="AB1061" s="706">
        <v>1</v>
      </c>
      <c r="AC1061" s="706">
        <v>2</v>
      </c>
      <c r="AD1061" s="706">
        <v>2</v>
      </c>
      <c r="AE1061" s="706">
        <v>0</v>
      </c>
      <c r="AF1061" s="706">
        <v>0</v>
      </c>
      <c r="AG1061" s="706">
        <v>0</v>
      </c>
      <c r="AH1061" s="706">
        <v>0</v>
      </c>
      <c r="AI1061" s="706">
        <v>0</v>
      </c>
      <c r="AJ1061" s="905" t="str">
        <f t="shared" si="110"/>
        <v>G90553</v>
      </c>
      <c r="AK1061" s="905" t="str">
        <f t="shared" si="111"/>
        <v>DEALER FINANCE - USA</v>
      </c>
      <c r="AL1061" s="905">
        <f>IFERROR(INDEX(G1061:R1061,1,MATCH(Parametres!$B$3,G$1:R$1,0)-1)*IF(OR(F1061="L",F1061="S",F1061="I"),-1,1),"")</f>
        <v>-4744.12</v>
      </c>
      <c r="AM1061" s="905">
        <f t="shared" si="112"/>
        <v>-1931.92</v>
      </c>
      <c r="AN1061" s="905">
        <f>INDEX(G1061:R1061,1,MATCH(Parametres!$B$3,G$1:R$1,0))*IF(OR(F1061="L",F1061="S",F1061="I"),-1,1)</f>
        <v>-6676.04</v>
      </c>
      <c r="AO1061" s="487" t="str">
        <f>+VLOOKUP($AJ1061,Data_Validation!$A:$D,1,0)</f>
        <v>G90553</v>
      </c>
      <c r="AP1061" s="487" t="str">
        <f>+VLOOKUP($AJ1061,Data_Validation!$A:$D,3,0)</f>
        <v>Wholesale autres</v>
      </c>
      <c r="AQ1061" s="487" t="str">
        <f>+VLOOKUP($AJ1061,Data_Validation!$A:$D,4,0)</f>
        <v>Crédit Boni TD</v>
      </c>
      <c r="AR1061" s="487" t="s">
        <v>299</v>
      </c>
      <c r="AS1061" s="487">
        <f>+VLOOKUP($AJ1061,Data_Validation!$A:$E,5,0)</f>
        <v>0</v>
      </c>
      <c r="AT1061" s="904" t="str">
        <f t="shared" si="113"/>
        <v>G90553</v>
      </c>
      <c r="AU1061" s="488" t="str">
        <f t="shared" si="114"/>
        <v>DEALER FINANCE - USA</v>
      </c>
      <c r="AV1061" s="899">
        <f>IFERROR(INDEX(V1061:AG1061,1,MATCH(Parametres!$B$3,V$1:AG$1,0)-1)*IF(OR(C1061="L",C1061="S",C1061="I"),-1,1),"")</f>
        <v>1</v>
      </c>
      <c r="AW1061" s="899">
        <f t="shared" si="115"/>
        <v>1</v>
      </c>
      <c r="AX1061" s="899">
        <f>INDEX(V1061:AG1061,1,MATCH(Parametres!$B$3,V$1:AG$1,0))*IF(OR(C1061="L",C1061="S",C1061="I"),-1,1)</f>
        <v>2</v>
      </c>
      <c r="AY1061" s="487" t="s">
        <v>337</v>
      </c>
      <c r="AZ1061" s="487">
        <f>+VLOOKUP($AJ1061,Data_Validation!$A:$E,5,0)</f>
        <v>0</v>
      </c>
    </row>
    <row r="1062" spans="1:52" ht="15" customHeight="1">
      <c r="A1062" s="706" t="s">
        <v>1148</v>
      </c>
      <c r="B1062" s="706">
        <v>2026</v>
      </c>
      <c r="C1062" s="706" t="s">
        <v>3084</v>
      </c>
      <c r="D1062" s="706" t="s">
        <v>3085</v>
      </c>
      <c r="E1062" s="706" t="s">
        <v>333</v>
      </c>
      <c r="F1062" s="706" t="s">
        <v>1150</v>
      </c>
      <c r="G1062" s="706">
        <v>0</v>
      </c>
      <c r="H1062" s="706">
        <v>0</v>
      </c>
      <c r="I1062" s="706">
        <v>37199.85</v>
      </c>
      <c r="J1062" s="706">
        <v>50434.879999999997</v>
      </c>
      <c r="K1062" s="706">
        <v>63583.76</v>
      </c>
      <c r="L1062" s="706">
        <v>76646.100000000006</v>
      </c>
      <c r="M1062" s="706">
        <v>89621.54</v>
      </c>
      <c r="N1062" s="706">
        <v>102509.7</v>
      </c>
      <c r="O1062" s="706">
        <v>102509.7</v>
      </c>
      <c r="P1062" s="706">
        <v>0</v>
      </c>
      <c r="Q1062" s="706">
        <v>0</v>
      </c>
      <c r="R1062" s="706">
        <v>0</v>
      </c>
      <c r="S1062" s="706">
        <v>12813.71</v>
      </c>
      <c r="T1062" s="706">
        <v>12813.71</v>
      </c>
      <c r="U1062" s="706">
        <v>0</v>
      </c>
      <c r="V1062" s="706">
        <v>0</v>
      </c>
      <c r="W1062" s="706">
        <v>0</v>
      </c>
      <c r="X1062" s="706">
        <v>2</v>
      </c>
      <c r="Y1062" s="706">
        <v>4</v>
      </c>
      <c r="Z1062" s="706">
        <v>6</v>
      </c>
      <c r="AA1062" s="706">
        <v>8</v>
      </c>
      <c r="AB1062" s="706">
        <v>10</v>
      </c>
      <c r="AC1062" s="706">
        <v>12</v>
      </c>
      <c r="AD1062" s="706">
        <v>12</v>
      </c>
      <c r="AE1062" s="706">
        <v>0</v>
      </c>
      <c r="AF1062" s="706">
        <v>0</v>
      </c>
      <c r="AG1062" s="706">
        <v>0</v>
      </c>
      <c r="AH1062" s="706">
        <v>2</v>
      </c>
      <c r="AI1062" s="706">
        <v>2</v>
      </c>
      <c r="AJ1062" s="905" t="str">
        <f t="shared" si="110"/>
        <v>G90800</v>
      </c>
      <c r="AK1062" s="905" t="str">
        <f t="shared" si="111"/>
        <v>REVENU INTERET (PRETS)</v>
      </c>
      <c r="AL1062" s="905">
        <f>IFERROR(INDEX(G1062:R1062,1,MATCH(Parametres!$B$3,G$1:R$1,0)-1)*IF(OR(F1062="L",F1062="S",F1062="I"),-1,1),"")</f>
        <v>-89621.54</v>
      </c>
      <c r="AM1062" s="905">
        <f t="shared" si="112"/>
        <v>-12888.160000000003</v>
      </c>
      <c r="AN1062" s="905">
        <f>INDEX(G1062:R1062,1,MATCH(Parametres!$B$3,G$1:R$1,0))*IF(OR(F1062="L",F1062="S",F1062="I"),-1,1)</f>
        <v>-102509.7</v>
      </c>
      <c r="AO1062" s="487" t="str">
        <f>+VLOOKUP($AJ1062,Data_Validation!$A:$D,1,0)</f>
        <v>G90800</v>
      </c>
      <c r="AP1062" s="487" t="str">
        <f>+VLOOKUP($AJ1062,Data_Validation!$A:$D,3,0)</f>
        <v>TOTAL DES REVENUS ET DÉPENSES</v>
      </c>
      <c r="AQ1062" s="487" t="str">
        <f>+VLOOKUP($AJ1062,Data_Validation!$A:$D,4,0)</f>
        <v>Intérêts sur prêt</v>
      </c>
      <c r="AR1062" s="487" t="s">
        <v>299</v>
      </c>
      <c r="AS1062" s="487">
        <f>+VLOOKUP($AJ1062,Data_Validation!$A:$E,5,0)</f>
        <v>0</v>
      </c>
      <c r="AT1062" s="904" t="str">
        <f t="shared" si="113"/>
        <v>G90800</v>
      </c>
      <c r="AU1062" s="488" t="str">
        <f t="shared" si="114"/>
        <v>REVENU INTERET (PRETS)</v>
      </c>
      <c r="AV1062" s="899">
        <f>IFERROR(INDEX(V1062:AG1062,1,MATCH(Parametres!$B$3,V$1:AG$1,0)-1)*IF(OR(C1062="L",C1062="S",C1062="I"),-1,1),"")</f>
        <v>10</v>
      </c>
      <c r="AW1062" s="899">
        <f t="shared" si="115"/>
        <v>2</v>
      </c>
      <c r="AX1062" s="899">
        <f>INDEX(V1062:AG1062,1,MATCH(Parametres!$B$3,V$1:AG$1,0))*IF(OR(C1062="L",C1062="S",C1062="I"),-1,1)</f>
        <v>12</v>
      </c>
      <c r="AY1062" s="487" t="s">
        <v>337</v>
      </c>
      <c r="AZ1062" s="487">
        <f>+VLOOKUP($AJ1062,Data_Validation!$A:$E,5,0)</f>
        <v>0</v>
      </c>
    </row>
    <row r="1063" spans="1:52" ht="15" customHeight="1">
      <c r="A1063" s="706" t="s">
        <v>1148</v>
      </c>
      <c r="B1063" s="706">
        <v>2026</v>
      </c>
      <c r="C1063" s="706" t="s">
        <v>3086</v>
      </c>
      <c r="D1063" s="706" t="s">
        <v>3087</v>
      </c>
      <c r="E1063" s="706" t="s">
        <v>333</v>
      </c>
      <c r="F1063" s="706" t="s">
        <v>1150</v>
      </c>
      <c r="G1063" s="706">
        <v>0</v>
      </c>
      <c r="H1063" s="706">
        <v>0</v>
      </c>
      <c r="I1063" s="706">
        <v>0</v>
      </c>
      <c r="J1063" s="706">
        <v>810.96</v>
      </c>
      <c r="K1063" s="706">
        <v>3953.43</v>
      </c>
      <c r="L1063" s="706">
        <v>5930.14</v>
      </c>
      <c r="M1063" s="706">
        <v>5980.82</v>
      </c>
      <c r="N1063" s="706">
        <v>5980.82</v>
      </c>
      <c r="O1063" s="706">
        <v>5980.82</v>
      </c>
      <c r="P1063" s="706">
        <v>0</v>
      </c>
      <c r="Q1063" s="706">
        <v>0</v>
      </c>
      <c r="R1063" s="706">
        <v>0</v>
      </c>
      <c r="S1063" s="706">
        <v>747.6</v>
      </c>
      <c r="T1063" s="706">
        <v>747.6</v>
      </c>
      <c r="U1063" s="706">
        <v>0</v>
      </c>
      <c r="V1063" s="706">
        <v>0</v>
      </c>
      <c r="W1063" s="706">
        <v>0</v>
      </c>
      <c r="X1063" s="706">
        <v>0</v>
      </c>
      <c r="Y1063" s="706">
        <v>1</v>
      </c>
      <c r="Z1063" s="706">
        <v>2</v>
      </c>
      <c r="AA1063" s="706">
        <v>3</v>
      </c>
      <c r="AB1063" s="706">
        <v>4</v>
      </c>
      <c r="AC1063" s="706">
        <v>4</v>
      </c>
      <c r="AD1063" s="706">
        <v>4</v>
      </c>
      <c r="AE1063" s="706">
        <v>0</v>
      </c>
      <c r="AF1063" s="706">
        <v>0</v>
      </c>
      <c r="AG1063" s="706">
        <v>0</v>
      </c>
      <c r="AH1063" s="706">
        <v>1</v>
      </c>
      <c r="AI1063" s="706">
        <v>1</v>
      </c>
      <c r="AJ1063" s="905" t="str">
        <f t="shared" si="110"/>
        <v>G90810</v>
      </c>
      <c r="AK1063" s="905" t="str">
        <f t="shared" si="111"/>
        <v>REVENU INTERET (BULK)</v>
      </c>
      <c r="AL1063" s="905">
        <f>IFERROR(INDEX(G1063:R1063,1,MATCH(Parametres!$B$3,G$1:R$1,0)-1)*IF(OR(F1063="L",F1063="S",F1063="I"),-1,1),"")</f>
        <v>-5980.82</v>
      </c>
      <c r="AM1063" s="905">
        <f t="shared" si="112"/>
        <v>0</v>
      </c>
      <c r="AN1063" s="905">
        <f>INDEX(G1063:R1063,1,MATCH(Parametres!$B$3,G$1:R$1,0))*IF(OR(F1063="L",F1063="S",F1063="I"),-1,1)</f>
        <v>-5980.82</v>
      </c>
      <c r="AO1063" s="487" t="str">
        <f>+VLOOKUP($AJ1063,Data_Validation!$A:$D,1,0)</f>
        <v>G90810</v>
      </c>
      <c r="AP1063" s="487" t="str">
        <f>+VLOOKUP($AJ1063,Data_Validation!$A:$D,3,0)</f>
        <v>TOTAL DES REVENUS ET DÉPENSES</v>
      </c>
      <c r="AQ1063" s="487" t="str">
        <f>+VLOOKUP($AJ1063,Data_Validation!$A:$D,4,0)</f>
        <v>Revenus d'intérêts Floor plan</v>
      </c>
      <c r="AR1063" s="487" t="s">
        <v>299</v>
      </c>
      <c r="AS1063" s="487">
        <f>+VLOOKUP($AJ1063,Data_Validation!$A:$E,5,0)</f>
        <v>0</v>
      </c>
      <c r="AT1063" s="904" t="str">
        <f t="shared" si="113"/>
        <v>G90810</v>
      </c>
      <c r="AU1063" s="488" t="str">
        <f t="shared" si="114"/>
        <v>REVENU INTERET (BULK)</v>
      </c>
      <c r="AV1063" s="899">
        <f>IFERROR(INDEX(V1063:AG1063,1,MATCH(Parametres!$B$3,V$1:AG$1,0)-1)*IF(OR(C1063="L",C1063="S",C1063="I"),-1,1),"")</f>
        <v>4</v>
      </c>
      <c r="AW1063" s="899">
        <f t="shared" si="115"/>
        <v>0</v>
      </c>
      <c r="AX1063" s="899">
        <f>INDEX(V1063:AG1063,1,MATCH(Parametres!$B$3,V$1:AG$1,0))*IF(OR(C1063="L",C1063="S",C1063="I"),-1,1)</f>
        <v>4</v>
      </c>
      <c r="AY1063" s="487" t="s">
        <v>337</v>
      </c>
      <c r="AZ1063" s="487">
        <f>+VLOOKUP($AJ1063,Data_Validation!$A:$E,5,0)</f>
        <v>0</v>
      </c>
    </row>
    <row r="1064" spans="1:52" ht="15" customHeight="1">
      <c r="A1064" s="706" t="s">
        <v>1148</v>
      </c>
      <c r="B1064" s="706">
        <v>2026</v>
      </c>
      <c r="C1064" s="706" t="s">
        <v>3446</v>
      </c>
      <c r="D1064" s="706" t="s">
        <v>3447</v>
      </c>
      <c r="E1064" s="706" t="s">
        <v>333</v>
      </c>
      <c r="F1064" s="706" t="s">
        <v>1150</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G90820</v>
      </c>
      <c r="AK1064" s="905" t="str">
        <f t="shared" si="111"/>
        <v>REVENU INTERETS DIVERS</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G90820</v>
      </c>
      <c r="AU1064" s="488" t="str">
        <f t="shared" si="114"/>
        <v>REVENU INTERETS DIVERS</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customHeight="1">
      <c r="A1065" s="706" t="s">
        <v>1148</v>
      </c>
      <c r="B1065" s="706">
        <v>2026</v>
      </c>
      <c r="C1065" s="706" t="s">
        <v>3088</v>
      </c>
      <c r="D1065" s="706" t="s">
        <v>3089</v>
      </c>
      <c r="E1065" s="706" t="s">
        <v>333</v>
      </c>
      <c r="F1065" s="706" t="s">
        <v>1150</v>
      </c>
      <c r="G1065" s="706">
        <v>31433.86</v>
      </c>
      <c r="H1065" s="706">
        <v>29413.86</v>
      </c>
      <c r="I1065" s="706">
        <v>29146.86</v>
      </c>
      <c r="J1065" s="706">
        <v>37628.720000000001</v>
      </c>
      <c r="K1065" s="706">
        <v>69120.7</v>
      </c>
      <c r="L1065" s="706">
        <v>93472.23</v>
      </c>
      <c r="M1065" s="706">
        <v>96266.62</v>
      </c>
      <c r="N1065" s="706">
        <v>131508.06</v>
      </c>
      <c r="O1065" s="706">
        <v>135576.69</v>
      </c>
      <c r="P1065" s="706">
        <v>0</v>
      </c>
      <c r="Q1065" s="706">
        <v>0</v>
      </c>
      <c r="R1065" s="706">
        <v>0</v>
      </c>
      <c r="S1065" s="706">
        <v>16438.509999999998</v>
      </c>
      <c r="T1065" s="706">
        <v>16438.509999999998</v>
      </c>
      <c r="U1065" s="706">
        <v>0</v>
      </c>
      <c r="V1065" s="706">
        <v>3</v>
      </c>
      <c r="W1065" s="706">
        <v>1</v>
      </c>
      <c r="X1065" s="706">
        <v>0</v>
      </c>
      <c r="Y1065" s="706">
        <v>1</v>
      </c>
      <c r="Z1065" s="706">
        <v>7</v>
      </c>
      <c r="AA1065" s="706">
        <v>25</v>
      </c>
      <c r="AB1065" s="706">
        <v>33</v>
      </c>
      <c r="AC1065" s="706">
        <v>40</v>
      </c>
      <c r="AD1065" s="706">
        <v>54</v>
      </c>
      <c r="AE1065" s="706">
        <v>0</v>
      </c>
      <c r="AF1065" s="706">
        <v>0</v>
      </c>
      <c r="AG1065" s="706">
        <v>0</v>
      </c>
      <c r="AH1065" s="706">
        <v>5</v>
      </c>
      <c r="AI1065" s="706">
        <v>5</v>
      </c>
      <c r="AJ1065" s="905" t="str">
        <f t="shared" si="110"/>
        <v>G90900</v>
      </c>
      <c r="AK1065" s="905" t="str">
        <f t="shared" si="111"/>
        <v>REMBOURSEMENTS DE GMCL</v>
      </c>
      <c r="AL1065" s="905">
        <f>IFERROR(INDEX(G1065:R1065,1,MATCH(Parametres!$B$3,G$1:R$1,0)-1)*IF(OR(F1065="L",F1065="S",F1065="I"),-1,1),"")</f>
        <v>-96266.62</v>
      </c>
      <c r="AM1065" s="905">
        <f t="shared" si="112"/>
        <v>-35241.440000000002</v>
      </c>
      <c r="AN1065" s="905">
        <f>INDEX(G1065:R1065,1,MATCH(Parametres!$B$3,G$1:R$1,0))*IF(OR(F1065="L",F1065="S",F1065="I"),-1,1)</f>
        <v>-131508.06</v>
      </c>
      <c r="AO1065" s="487" t="str">
        <f>+VLOOKUP($AJ1065,Data_Validation!$A:$D,1,0)</f>
        <v>G90900</v>
      </c>
      <c r="AP1065" s="487" t="str">
        <f>+VLOOKUP($AJ1065,Data_Validation!$A:$D,3,0)</f>
        <v>Véhicules neufs</v>
      </c>
      <c r="AQ1065" s="487" t="str">
        <f>+VLOOKUP($AJ1065,Data_Validation!$A:$D,4,0)</f>
        <v>Programme Excellence</v>
      </c>
      <c r="AR1065" s="487" t="s">
        <v>299</v>
      </c>
      <c r="AS1065" s="487">
        <f>+VLOOKUP($AJ1065,Data_Validation!$A:$E,5,0)</f>
        <v>0</v>
      </c>
      <c r="AT1065" s="904" t="str">
        <f t="shared" si="113"/>
        <v>G90900</v>
      </c>
      <c r="AU1065" s="488" t="str">
        <f t="shared" si="114"/>
        <v>REMBOURSEMENTS DE GMCL</v>
      </c>
      <c r="AV1065" s="899">
        <f>IFERROR(INDEX(V1065:AG1065,1,MATCH(Parametres!$B$3,V$1:AG$1,0)-1)*IF(OR(C1065="L",C1065="S",C1065="I"),-1,1),"")</f>
        <v>33</v>
      </c>
      <c r="AW1065" s="899">
        <f t="shared" si="115"/>
        <v>7</v>
      </c>
      <c r="AX1065" s="899">
        <f>INDEX(V1065:AG1065,1,MATCH(Parametres!$B$3,V$1:AG$1,0))*IF(OR(C1065="L",C1065="S",C1065="I"),-1,1)</f>
        <v>40</v>
      </c>
      <c r="AY1065" s="487" t="s">
        <v>337</v>
      </c>
      <c r="AZ1065" s="487">
        <f>+VLOOKUP($AJ1065,Data_Validation!$A:$E,5,0)</f>
        <v>0</v>
      </c>
    </row>
    <row r="1066" spans="1:52" ht="15" customHeight="1">
      <c r="A1066" s="706" t="s">
        <v>1148</v>
      </c>
      <c r="B1066" s="706">
        <v>2026</v>
      </c>
      <c r="C1066" s="706" t="s">
        <v>3090</v>
      </c>
      <c r="D1066" s="706" t="s">
        <v>3091</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G953</v>
      </c>
      <c r="AK1066" s="905" t="str">
        <f t="shared" si="111"/>
        <v>ESCOMPTE ACCORDE</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G953</v>
      </c>
      <c r="AU1066" s="488" t="str">
        <f t="shared" si="114"/>
        <v>ESCOMPTE ACCORDE</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3092</v>
      </c>
      <c r="D1067" s="706" t="s">
        <v>3093</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G955</v>
      </c>
      <c r="AK1067" s="905" t="str">
        <f t="shared" si="111"/>
        <v>AUTRES DEDUCTIONS</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G955</v>
      </c>
      <c r="AU1067" s="488" t="str">
        <f t="shared" si="114"/>
        <v>AUTRES DEDUCTIONS</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customHeight="1">
      <c r="A1068" s="706" t="s">
        <v>1148</v>
      </c>
      <c r="B1068" s="706">
        <v>2026</v>
      </c>
      <c r="C1068" s="706" t="s">
        <v>3094</v>
      </c>
      <c r="D1068" s="706" t="s">
        <v>3093</v>
      </c>
      <c r="E1068" s="706" t="s">
        <v>333</v>
      </c>
      <c r="F1068" s="706" t="s">
        <v>1104</v>
      </c>
      <c r="G1068" s="706">
        <v>40.75</v>
      </c>
      <c r="H1068" s="706">
        <v>305.54000000000002</v>
      </c>
      <c r="I1068" s="706">
        <v>-1036.4000000000001</v>
      </c>
      <c r="J1068" s="706">
        <v>-1010.84</v>
      </c>
      <c r="K1068" s="706">
        <v>49163.08</v>
      </c>
      <c r="L1068" s="706">
        <v>49240.4</v>
      </c>
      <c r="M1068" s="706">
        <v>51449.07</v>
      </c>
      <c r="N1068" s="706">
        <v>51496.87</v>
      </c>
      <c r="O1068" s="706">
        <v>51532.47</v>
      </c>
      <c r="P1068" s="706">
        <v>0</v>
      </c>
      <c r="Q1068" s="706">
        <v>0</v>
      </c>
      <c r="R1068" s="706">
        <v>0</v>
      </c>
      <c r="S1068" s="706">
        <v>6437.11</v>
      </c>
      <c r="T1068" s="706">
        <v>6437.11</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G95500</v>
      </c>
      <c r="AK1068" s="905" t="str">
        <f t="shared" si="111"/>
        <v>AUTRES DEDUCTIONS</v>
      </c>
      <c r="AL1068" s="905">
        <f>IFERROR(INDEX(G1068:R1068,1,MATCH(Parametres!$B$3,G$1:R$1,0)-1)*IF(OR(F1068="L",F1068="S",F1068="I"),-1,1),"")</f>
        <v>51449.07</v>
      </c>
      <c r="AM1068" s="905">
        <f t="shared" si="112"/>
        <v>47.80000000000291</v>
      </c>
      <c r="AN1068" s="905">
        <f>INDEX(G1068:R1068,1,MATCH(Parametres!$B$3,G$1:R$1,0))*IF(OR(F1068="L",F1068="S",F1068="I"),-1,1)</f>
        <v>51496.87</v>
      </c>
      <c r="AO1068" s="487" t="str">
        <f>+VLOOKUP($AJ1068,Data_Validation!$A:$D,1,0)</f>
        <v>G95500</v>
      </c>
      <c r="AP1068" s="487" t="str">
        <f>+VLOOKUP($AJ1068,Data_Validation!$A:$D,3,0)</f>
        <v>TOTAL DES REVENUS ET DÉPENSES</v>
      </c>
      <c r="AQ1068" s="487" t="str">
        <f>+VLOOKUP($AJ1068,Data_Validation!$A:$D,4,0)</f>
        <v>Revenus autres</v>
      </c>
      <c r="AR1068" s="487" t="s">
        <v>299</v>
      </c>
      <c r="AS1068" s="487">
        <f>+VLOOKUP($AJ1068,Data_Validation!$A:$E,5,0)</f>
        <v>0</v>
      </c>
      <c r="AT1068" s="904" t="str">
        <f t="shared" si="113"/>
        <v>G95500</v>
      </c>
      <c r="AU1068" s="488" t="str">
        <f t="shared" si="114"/>
        <v>AUTRES DEDUCTIONS</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3095</v>
      </c>
      <c r="D1069" s="706" t="s">
        <v>3096</v>
      </c>
      <c r="E1069" s="706" t="s">
        <v>333</v>
      </c>
      <c r="F1069" s="706" t="s">
        <v>1104</v>
      </c>
      <c r="G1069" s="706">
        <v>0</v>
      </c>
      <c r="H1069" s="706">
        <v>0</v>
      </c>
      <c r="I1069" s="706">
        <v>37199.85</v>
      </c>
      <c r="J1069" s="706">
        <v>58589.83</v>
      </c>
      <c r="K1069" s="706">
        <v>79840.570000000007</v>
      </c>
      <c r="L1069" s="706">
        <v>100951.46</v>
      </c>
      <c r="M1069" s="706">
        <v>121921.9</v>
      </c>
      <c r="N1069" s="706">
        <v>142751.28</v>
      </c>
      <c r="O1069" s="706">
        <v>142751.28</v>
      </c>
      <c r="P1069" s="706">
        <v>0</v>
      </c>
      <c r="Q1069" s="706">
        <v>0</v>
      </c>
      <c r="R1069" s="706">
        <v>0</v>
      </c>
      <c r="S1069" s="706">
        <v>17843.91</v>
      </c>
      <c r="T1069" s="706">
        <v>17843.91</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G95800</v>
      </c>
      <c r="AK1069" s="905" t="str">
        <f t="shared" si="111"/>
        <v>DEPENSES D'INTERET</v>
      </c>
      <c r="AL1069" s="905">
        <f>IFERROR(INDEX(G1069:R1069,1,MATCH(Parametres!$B$3,G$1:R$1,0)-1)*IF(OR(F1069="L",F1069="S",F1069="I"),-1,1),"")</f>
        <v>121921.9</v>
      </c>
      <c r="AM1069" s="905">
        <f t="shared" si="112"/>
        <v>20829.380000000005</v>
      </c>
      <c r="AN1069" s="905">
        <f>INDEX(G1069:R1069,1,MATCH(Parametres!$B$3,G$1:R$1,0))*IF(OR(F1069="L",F1069="S",F1069="I"),-1,1)</f>
        <v>142751.28</v>
      </c>
      <c r="AO1069" s="487" t="str">
        <f>+VLOOKUP($AJ1069,Data_Validation!$A:$D,1,0)</f>
        <v>G95800</v>
      </c>
      <c r="AP1069" s="487" t="str">
        <f>+VLOOKUP($AJ1069,Data_Validation!$A:$D,3,0)</f>
        <v>TOTAL DES REVENUS ET DÉPENSES</v>
      </c>
      <c r="AQ1069" s="487" t="str">
        <f>+VLOOKUP($AJ1069,Data_Validation!$A:$D,4,0)</f>
        <v>Intérêts sur prêt</v>
      </c>
      <c r="AR1069" s="487" t="s">
        <v>299</v>
      </c>
      <c r="AS1069" s="487">
        <f>+VLOOKUP($AJ1069,Data_Validation!$A:$E,5,0)</f>
        <v>0</v>
      </c>
      <c r="AT1069" s="904" t="str">
        <f t="shared" si="113"/>
        <v>G95800</v>
      </c>
      <c r="AU1069" s="488" t="str">
        <f t="shared" si="114"/>
        <v>DEPENSES D'INTERET</v>
      </c>
      <c r="AV1069" s="899">
        <f>IFERROR(INDEX(V1069:AG1069,1,MATCH(Parametres!$B$3,V$1:AG$1,0)-1)*IF(OR(C1069="L",C1069="S",C1069="I"),-1,1),"")</f>
        <v>0</v>
      </c>
      <c r="AW1069" s="899">
        <f t="shared" si="115"/>
        <v>0</v>
      </c>
      <c r="AX1069" s="899">
        <f>INDEX(V1069:AG1069,1,MATCH(Parametres!$B$3,V$1:AG$1,0))*IF(OR(C1069="L",C1069="S",C1069="I"),-1,1)</f>
        <v>0</v>
      </c>
      <c r="AY1069" s="487" t="s">
        <v>337</v>
      </c>
      <c r="AZ1069" s="487">
        <f>+VLOOKUP($AJ1069,Data_Validation!$A:$E,5,0)</f>
        <v>0</v>
      </c>
    </row>
    <row r="1070" spans="1:52" ht="15" customHeight="1">
      <c r="A1070" s="706" t="s">
        <v>1148</v>
      </c>
      <c r="B1070" s="706">
        <v>2026</v>
      </c>
      <c r="C1070" s="706" t="s">
        <v>3448</v>
      </c>
      <c r="D1070" s="706" t="s">
        <v>3449</v>
      </c>
      <c r="E1070" s="706" t="s">
        <v>333</v>
      </c>
      <c r="F1070" s="706" t="s">
        <v>1104</v>
      </c>
      <c r="G1070" s="706">
        <v>0</v>
      </c>
      <c r="H1070" s="706">
        <v>0</v>
      </c>
      <c r="I1070" s="706">
        <v>0</v>
      </c>
      <c r="J1070" s="706">
        <v>0</v>
      </c>
      <c r="K1070" s="706">
        <v>0</v>
      </c>
      <c r="L1070" s="706">
        <v>0</v>
      </c>
      <c r="M1070" s="706">
        <v>0</v>
      </c>
      <c r="N1070" s="706">
        <v>266.98</v>
      </c>
      <c r="O1070" s="706">
        <v>266.98</v>
      </c>
      <c r="P1070" s="706">
        <v>0</v>
      </c>
      <c r="Q1070" s="706">
        <v>0</v>
      </c>
      <c r="R1070" s="706">
        <v>0</v>
      </c>
      <c r="S1070" s="706">
        <v>33.369999999999997</v>
      </c>
      <c r="T1070" s="706">
        <v>33.369999999999997</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G95820</v>
      </c>
      <c r="AK1070" s="905" t="str">
        <f t="shared" si="111"/>
        <v>DEPENSES INTERETS DIVERS</v>
      </c>
      <c r="AL1070" s="905">
        <f>IFERROR(INDEX(G1070:R1070,1,MATCH(Parametres!$B$3,G$1:R$1,0)-1)*IF(OR(F1070="L",F1070="S",F1070="I"),-1,1),"")</f>
        <v>0</v>
      </c>
      <c r="AM1070" s="905">
        <f t="shared" si="112"/>
        <v>266.98</v>
      </c>
      <c r="AN1070" s="905">
        <f>INDEX(G1070:R1070,1,MATCH(Parametres!$B$3,G$1:R$1,0))*IF(OR(F1070="L",F1070="S",F1070="I"),-1,1)</f>
        <v>266.98</v>
      </c>
      <c r="AO1070" s="487" t="str">
        <f>+VLOOKUP($AJ1070,Data_Validation!$A:$D,1,0)</f>
        <v>G95820</v>
      </c>
      <c r="AP1070" s="487" t="str">
        <f>+VLOOKUP($AJ1070,Data_Validation!$A:$D,3,0)</f>
        <v>TOTAL DES REVENUS ET DÉPENSES</v>
      </c>
      <c r="AQ1070" s="487" t="str">
        <f>+VLOOKUP($AJ1070,Data_Validation!$A:$D,4,0)</f>
        <v>Revenus autres</v>
      </c>
      <c r="AR1070" s="487" t="s">
        <v>299</v>
      </c>
      <c r="AS1070" s="487">
        <f>+VLOOKUP($AJ1070,Data_Validation!$A:$E,5,0)</f>
        <v>0</v>
      </c>
      <c r="AT1070" s="904" t="str">
        <f t="shared" si="113"/>
        <v>G95820</v>
      </c>
      <c r="AU1070" s="488" t="str">
        <f t="shared" si="114"/>
        <v>DEPENSES INTERETS DIVERS</v>
      </c>
      <c r="AV1070" s="899">
        <f>IFERROR(INDEX(V1070:AG1070,1,MATCH(Parametres!$B$3,V$1:AG$1,0)-1)*IF(OR(C1070="L",C1070="S",C1070="I"),-1,1),"")</f>
        <v>0</v>
      </c>
      <c r="AW1070" s="899">
        <f t="shared" si="115"/>
        <v>0</v>
      </c>
      <c r="AX1070" s="899">
        <f>INDEX(V1070:AG1070,1,MATCH(Parametres!$B$3,V$1:AG$1,0))*IF(OR(C1070="L",C1070="S",C1070="I"),-1,1)</f>
        <v>0</v>
      </c>
      <c r="AY1070" s="487" t="s">
        <v>337</v>
      </c>
      <c r="AZ1070" s="487">
        <f>+VLOOKUP($AJ1070,Data_Validation!$A:$E,5,0)</f>
        <v>0</v>
      </c>
    </row>
    <row r="1071" spans="1:52" ht="15" customHeight="1">
      <c r="A1071" s="706" t="s">
        <v>1148</v>
      </c>
      <c r="B1071" s="706">
        <v>2026</v>
      </c>
      <c r="C1071" s="706" t="s">
        <v>3097</v>
      </c>
      <c r="D1071" s="706" t="s">
        <v>1784</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G99960</v>
      </c>
      <c r="AK1071" s="905" t="str">
        <f t="shared" si="111"/>
        <v>IN &amp; OUT PAYROLL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G99960</v>
      </c>
      <c r="AU1071" s="488" t="str">
        <f t="shared" si="114"/>
        <v>IN &amp; OUT PAYROLL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1072" s="706" t="s">
        <v>1148</v>
      </c>
      <c r="B1072" s="706">
        <v>2026</v>
      </c>
      <c r="C1072" s="706" t="s">
        <v>3098</v>
      </c>
      <c r="D1072" s="706" t="s">
        <v>3099</v>
      </c>
      <c r="E1072" s="706" t="s">
        <v>1141</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G9999</v>
      </c>
      <c r="AK1072" s="905" t="str">
        <f t="shared" si="111"/>
        <v>CHARGES A REFACTURER</v>
      </c>
      <c r="AL1072" s="905">
        <f>IFERROR(INDEX(G1072:R1072,1,MATCH(Parametres!$B$3,G$1:R$1,0)-1)*IF(OR(F1072="L",F1072="S",F1072="I"),-1,1),"")</f>
        <v>0</v>
      </c>
      <c r="AM1072" s="905">
        <f t="shared" si="112"/>
        <v>0</v>
      </c>
      <c r="AN1072" s="905">
        <f>INDEX(G1072:R1072,1,MATCH(Parametres!$B$3,G$1:R$1,0))*IF(OR(F1072="L",F1072="S",F1072="I"),-1,1)</f>
        <v>0</v>
      </c>
      <c r="AO1072" s="487" t="str">
        <f>+VLOOKUP($AJ1072,Data_Validation!$A:$D,1,0)</f>
        <v>G9999</v>
      </c>
      <c r="AP1072" s="487" t="str">
        <f>+VLOOKUP($AJ1072,Data_Validation!$A:$D,3,0)</f>
        <v>Wholesale autres</v>
      </c>
      <c r="AQ1072" s="487" t="str">
        <f>+VLOOKUP($AJ1072,Data_Validation!$A:$D,4,0)</f>
        <v>Frais de livraison</v>
      </c>
      <c r="AR1072" s="487" t="s">
        <v>299</v>
      </c>
      <c r="AS1072" s="487">
        <f>+VLOOKUP($AJ1072,Data_Validation!$A:$E,5,0)</f>
        <v>0</v>
      </c>
      <c r="AT1072" s="904" t="str">
        <f t="shared" si="113"/>
        <v>G9999</v>
      </c>
      <c r="AU1072" s="488" t="str">
        <f t="shared" si="114"/>
        <v>CHARGES A REFACTURER</v>
      </c>
      <c r="AV1072" s="899">
        <f>IFERROR(INDEX(V1072:AG1072,1,MATCH(Parametres!$B$3,V$1:AG$1,0)-1)*IF(OR(C1072="L",C1072="S",C1072="I"),-1,1),"")</f>
        <v>0</v>
      </c>
      <c r="AW1072" s="899">
        <f t="shared" si="115"/>
        <v>0</v>
      </c>
      <c r="AX1072" s="899">
        <f>INDEX(V1072:AG1072,1,MATCH(Parametres!$B$3,V$1:AG$1,0))*IF(OR(C1072="L",C1072="S",C1072="I"),-1,1)</f>
        <v>0</v>
      </c>
      <c r="AY1072" s="487" t="s">
        <v>337</v>
      </c>
      <c r="AZ1072" s="487">
        <f>+VLOOKUP($AJ1072,Data_Validation!$A:$E,5,0)</f>
        <v>0</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51" workbookViewId="0">
      <selection activeCell="E775" sqref="E775"/>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3460</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3442</v>
      </c>
      <c r="B793" t="s">
        <v>3443</v>
      </c>
      <c r="C793" s="710" t="s">
        <v>652</v>
      </c>
      <c r="D793" s="710" t="s">
        <v>56</v>
      </c>
      <c r="E793" s="710"/>
      <c r="F793" s="3"/>
    </row>
    <row r="794" spans="1:6" ht="15" customHeight="1">
      <c r="A794" t="s">
        <v>3444</v>
      </c>
      <c r="B794" t="s">
        <v>3445</v>
      </c>
      <c r="C794" s="710" t="s">
        <v>652</v>
      </c>
      <c r="D794" s="710" t="s">
        <v>53</v>
      </c>
      <c r="E794" s="710"/>
      <c r="F794" s="3"/>
    </row>
    <row r="795" spans="1:6" ht="15" customHeight="1">
      <c r="A795" t="s">
        <v>3448</v>
      </c>
      <c r="B795" t="s">
        <v>3449</v>
      </c>
      <c r="C795" s="710" t="s">
        <v>667</v>
      </c>
      <c r="D795" s="710" t="s">
        <v>212</v>
      </c>
      <c r="E795" s="710"/>
      <c r="F795" s="3"/>
    </row>
    <row r="796" spans="1:6" ht="15" customHeight="1">
      <c r="A796" s="1260" t="s">
        <v>3457</v>
      </c>
      <c r="B796" s="1260" t="s">
        <v>3459</v>
      </c>
      <c r="C796" s="710" t="s">
        <v>652</v>
      </c>
      <c r="D796" s="710" t="s">
        <v>53</v>
      </c>
      <c r="E796" s="710"/>
      <c r="F796" s="3"/>
    </row>
    <row r="797" spans="1:6" ht="15" customHeight="1">
      <c r="C797" s="710"/>
      <c r="D797" s="710"/>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2" t="s">
        <v>1160</v>
      </c>
      <c r="D4" s="1293"/>
      <c r="E4" s="1293"/>
      <c r="F4" s="1293"/>
      <c r="G4" s="1294"/>
    </row>
    <row r="5" spans="2:7" s="1061" customFormat="1" ht="30.75" thickBot="1">
      <c r="C5" s="1062" t="s">
        <v>3185</v>
      </c>
      <c r="D5" s="1063" t="s">
        <v>282</v>
      </c>
      <c r="E5" s="1064" t="s">
        <v>3164</v>
      </c>
      <c r="F5" s="1063">
        <v>2025</v>
      </c>
      <c r="G5" s="1064" t="s">
        <v>3165</v>
      </c>
    </row>
    <row r="6" spans="2:7" s="1061" customFormat="1" ht="15" thickBot="1">
      <c r="B6" s="1065" t="s">
        <v>3166</v>
      </c>
      <c r="C6" s="1066">
        <f>Print_Mois!J13</f>
        <v>53</v>
      </c>
      <c r="D6" s="1067"/>
      <c r="E6" s="1068">
        <f t="shared" ref="E6:E19" si="0">C6-D6</f>
        <v>53</v>
      </c>
      <c r="F6" s="1069">
        <f>Print_Mois!O13</f>
        <v>80</v>
      </c>
      <c r="G6" s="1068">
        <f t="shared" ref="G6:G19" si="1">C6-F6</f>
        <v>-27</v>
      </c>
    </row>
    <row r="7" spans="2:7" s="1061" customFormat="1">
      <c r="B7" s="1099" t="s">
        <v>3187</v>
      </c>
      <c r="C7" s="1095">
        <f>Print_Mois!J17</f>
        <v>34</v>
      </c>
      <c r="D7" s="1096"/>
      <c r="E7" s="1068">
        <f t="shared" si="0"/>
        <v>34</v>
      </c>
      <c r="F7" s="1098">
        <f>Print_Mois!O17</f>
        <v>54</v>
      </c>
      <c r="G7" s="1097">
        <f t="shared" si="1"/>
        <v>-20</v>
      </c>
    </row>
    <row r="8" spans="2:7" s="1061" customFormat="1" ht="15" thickBot="1">
      <c r="B8" s="1070" t="s">
        <v>3167</v>
      </c>
      <c r="C8" s="1071">
        <f>Print_Mois!J97</f>
        <v>24</v>
      </c>
      <c r="D8" s="1072"/>
      <c r="E8" s="1073">
        <f t="shared" si="0"/>
        <v>24</v>
      </c>
      <c r="F8" s="1074">
        <f>Print_Mois!O97</f>
        <v>16</v>
      </c>
      <c r="G8" s="1073">
        <f t="shared" si="1"/>
        <v>8</v>
      </c>
    </row>
    <row r="9" spans="2:7">
      <c r="B9" s="1075" t="s">
        <v>3168</v>
      </c>
      <c r="C9" s="1076">
        <f>Print_Mois!L27</f>
        <v>145486.14999999932</v>
      </c>
      <c r="D9" s="1077"/>
      <c r="E9" s="1078">
        <f t="shared" si="0"/>
        <v>145486.14999999932</v>
      </c>
      <c r="F9" s="1077">
        <f>Print_Mois!Q27</f>
        <v>306255.92999999149</v>
      </c>
      <c r="G9" s="1078">
        <f t="shared" si="1"/>
        <v>-160769.77999999217</v>
      </c>
    </row>
    <row r="10" spans="2:7">
      <c r="B10" s="1075" t="s">
        <v>3169</v>
      </c>
      <c r="C10" s="1076">
        <f>Print_Mois!L109</f>
        <v>24092.649999999165</v>
      </c>
      <c r="D10" s="1077"/>
      <c r="E10" s="1078">
        <f t="shared" si="0"/>
        <v>24092.649999999165</v>
      </c>
      <c r="F10" s="1077">
        <f>Print_Mois!Q109</f>
        <v>33491.69999999812</v>
      </c>
      <c r="G10" s="1078">
        <f t="shared" si="1"/>
        <v>-9399.0499999989552</v>
      </c>
    </row>
    <row r="11" spans="2:7">
      <c r="B11" s="1100" t="s">
        <v>3188</v>
      </c>
      <c r="C11" s="1076">
        <f>Print_Mois!L182</f>
        <v>-15901.930000001565</v>
      </c>
      <c r="D11" s="1077"/>
      <c r="E11" s="1078"/>
      <c r="F11" s="1077">
        <f>Print_Mois!Q182</f>
        <v>70310.469999999739</v>
      </c>
      <c r="G11" s="1078">
        <f t="shared" si="1"/>
        <v>-86212.400000001304</v>
      </c>
    </row>
    <row r="12" spans="2:7">
      <c r="B12" s="1075" t="s">
        <v>3170</v>
      </c>
      <c r="C12" s="1076">
        <f>Print_Mois!L268</f>
        <v>112297.87999999996</v>
      </c>
      <c r="D12" s="1077"/>
      <c r="E12" s="1078">
        <f t="shared" si="0"/>
        <v>112297.87999999996</v>
      </c>
      <c r="F12" s="1077">
        <f>Print_Mois!Q268</f>
        <v>144346.68</v>
      </c>
      <c r="G12" s="1078">
        <f t="shared" si="1"/>
        <v>-32048.800000000032</v>
      </c>
    </row>
    <row r="13" spans="2:7">
      <c r="B13" s="1100" t="s">
        <v>3190</v>
      </c>
      <c r="C13" s="1076">
        <f>Print_Mois!L448</f>
        <v>49579.840000000011</v>
      </c>
      <c r="D13" s="1077"/>
      <c r="E13" s="1078"/>
      <c r="F13" s="1077">
        <f>Print_Mois!Q448</f>
        <v>48143.309999999983</v>
      </c>
      <c r="G13" s="1078">
        <f t="shared" si="1"/>
        <v>1436.5300000000279</v>
      </c>
    </row>
    <row r="14" spans="2:7">
      <c r="B14" s="1100" t="s">
        <v>3189</v>
      </c>
      <c r="C14" s="1076">
        <f>Print_Mois!L326</f>
        <v>62886.059999999983</v>
      </c>
      <c r="D14" s="1077"/>
      <c r="E14" s="1078"/>
      <c r="F14" s="1077">
        <f>Print_Mois!Q326</f>
        <v>88965.239999999976</v>
      </c>
      <c r="G14" s="1078">
        <f t="shared" si="1"/>
        <v>-26079.179999999993</v>
      </c>
    </row>
    <row r="15" spans="2:7" ht="15" thickBot="1">
      <c r="B15" s="1075" t="s">
        <v>3171</v>
      </c>
      <c r="C15" s="1076">
        <f>Print_Mois!L390</f>
        <v>92322.530000000188</v>
      </c>
      <c r="D15" s="1077"/>
      <c r="E15" s="1078">
        <f t="shared" si="0"/>
        <v>92322.530000000188</v>
      </c>
      <c r="F15" s="1077">
        <f>Print_Mois!Q390</f>
        <v>97640.879999999976</v>
      </c>
      <c r="G15" s="1078">
        <f t="shared" si="1"/>
        <v>-5318.3499999997875</v>
      </c>
    </row>
    <row r="16" spans="2:7" ht="15" thickTop="1">
      <c r="B16" s="1079" t="s">
        <v>3172</v>
      </c>
      <c r="C16" s="1080">
        <f>SUM(C9:C15)</f>
        <v>470763.17999999708</v>
      </c>
      <c r="D16" s="1081">
        <f>SUM(D9:D15)</f>
        <v>0</v>
      </c>
      <c r="E16" s="1082">
        <f t="shared" si="0"/>
        <v>470763.17999999708</v>
      </c>
      <c r="F16" s="1081">
        <f>SUM(F9:F15)</f>
        <v>789154.20999998925</v>
      </c>
      <c r="G16" s="1082">
        <f t="shared" si="1"/>
        <v>-318391.02999999217</v>
      </c>
    </row>
    <row r="17" spans="2:7">
      <c r="B17" s="1075" t="s">
        <v>3173</v>
      </c>
      <c r="C17" s="1076">
        <f>Print_Mois!AF568</f>
        <v>63662.44999999999</v>
      </c>
      <c r="D17" s="1077"/>
      <c r="E17" s="1078">
        <f t="shared" si="0"/>
        <v>63662.44999999999</v>
      </c>
      <c r="F17" s="1077">
        <f>Print_Mois!AL568</f>
        <v>6264.3299999999799</v>
      </c>
      <c r="G17" s="1078">
        <f t="shared" si="1"/>
        <v>57398.12000000001</v>
      </c>
    </row>
    <row r="18" spans="2:7">
      <c r="B18" s="1075" t="s">
        <v>3174</v>
      </c>
      <c r="C18" s="1076">
        <f>-Print_Mois!AF555</f>
        <v>-497265.95999999996</v>
      </c>
      <c r="D18" s="1077"/>
      <c r="E18" s="1078">
        <f t="shared" si="0"/>
        <v>-497265.95999999996</v>
      </c>
      <c r="F18" s="1077">
        <f>-Print_Mois!AL555</f>
        <v>-726933.25000000012</v>
      </c>
      <c r="G18" s="1078">
        <f t="shared" si="1"/>
        <v>229667.29000000015</v>
      </c>
    </row>
    <row r="19" spans="2:7" ht="15" thickBot="1">
      <c r="B19" s="1075" t="s">
        <v>3175</v>
      </c>
      <c r="C19" s="1076">
        <f>-Print_Mois!AF578-Print_Mois!AF579-Print_Mois!AF580-Print_Mois!AF581-Print_Mois!AF583</f>
        <v>-18751.22</v>
      </c>
      <c r="D19" s="1077"/>
      <c r="E19" s="1078">
        <f t="shared" si="0"/>
        <v>-18751.22</v>
      </c>
      <c r="F19" s="1077">
        <f>-Print_Mois!AL578-Print_Mois!AL579-Print_Mois!AL580-Print_Mois!AL581-Print_Mois!AL583</f>
        <v>-10790.13</v>
      </c>
      <c r="G19" s="1078">
        <f t="shared" si="1"/>
        <v>-7961.090000000002</v>
      </c>
    </row>
    <row r="20" spans="2:7" ht="16.5" thickTop="1" thickBot="1">
      <c r="B20" s="1083" t="s">
        <v>3176</v>
      </c>
      <c r="C20" s="1084">
        <f>SUM(C16:C19)</f>
        <v>18408.44999999713</v>
      </c>
      <c r="D20" s="1085">
        <f t="shared" ref="D20:G20" si="2">SUM(D16:D19)</f>
        <v>0</v>
      </c>
      <c r="E20" s="1086">
        <f t="shared" si="2"/>
        <v>18408.44999999713</v>
      </c>
      <c r="F20" s="1085">
        <f t="shared" si="2"/>
        <v>57695.159999989097</v>
      </c>
      <c r="G20" s="1086">
        <f t="shared" si="2"/>
        <v>-39286.709999992025</v>
      </c>
    </row>
    <row r="21" spans="2:7" ht="15" thickBot="1"/>
    <row r="22" spans="2:7" ht="21" thickBot="1">
      <c r="C22" s="1292" t="s">
        <v>3461</v>
      </c>
      <c r="D22" s="1293"/>
      <c r="E22" s="1293"/>
      <c r="F22" s="1293"/>
      <c r="G22" s="1294"/>
    </row>
    <row r="23" spans="2:7" ht="30.75" thickBot="1">
      <c r="B23" s="1061"/>
      <c r="C23" s="1062" t="s">
        <v>3186</v>
      </c>
      <c r="D23" s="1063" t="s">
        <v>3177</v>
      </c>
      <c r="E23" s="1064" t="s">
        <v>3164</v>
      </c>
      <c r="F23" s="1063" t="s">
        <v>3178</v>
      </c>
      <c r="G23" s="1064" t="s">
        <v>3165</v>
      </c>
    </row>
    <row r="24" spans="2:7" ht="15" thickBot="1">
      <c r="B24" s="1065" t="s">
        <v>3166</v>
      </c>
      <c r="C24" s="1066">
        <f>Print_AAD!J13</f>
        <v>356</v>
      </c>
      <c r="D24" s="1067"/>
      <c r="E24" s="1068">
        <f t="shared" ref="E24:E37" si="3">C24-D24</f>
        <v>356</v>
      </c>
      <c r="F24" s="1069">
        <f>Print_AAD!O13</f>
        <v>527</v>
      </c>
      <c r="G24" s="1068">
        <f t="shared" ref="G24:G37" si="4">C24-F24</f>
        <v>-171</v>
      </c>
    </row>
    <row r="25" spans="2:7">
      <c r="B25" s="1099" t="s">
        <v>3187</v>
      </c>
      <c r="C25" s="1095">
        <f>Print_AAD!J17</f>
        <v>938</v>
      </c>
      <c r="D25" s="1096"/>
      <c r="E25" s="1068">
        <f t="shared" si="3"/>
        <v>938</v>
      </c>
      <c r="F25" s="1098">
        <f>Print_AAD!O17</f>
        <v>1170</v>
      </c>
      <c r="G25" s="1097">
        <f t="shared" si="4"/>
        <v>-232</v>
      </c>
    </row>
    <row r="26" spans="2:7" ht="15" thickBot="1">
      <c r="B26" s="1070" t="s">
        <v>3167</v>
      </c>
      <c r="C26" s="1071">
        <f>Print_AAD!J97</f>
        <v>171</v>
      </c>
      <c r="D26" s="1072"/>
      <c r="E26" s="1073">
        <f t="shared" si="3"/>
        <v>171</v>
      </c>
      <c r="F26" s="1074">
        <f>Print_AAD!O97</f>
        <v>69</v>
      </c>
      <c r="G26" s="1073">
        <f t="shared" si="4"/>
        <v>102</v>
      </c>
    </row>
    <row r="27" spans="2:7">
      <c r="B27" s="1075" t="s">
        <v>3168</v>
      </c>
      <c r="C27" s="1076">
        <f>Print_AAD!L27</f>
        <v>1623677.669999999</v>
      </c>
      <c r="D27" s="1077"/>
      <c r="E27" s="1078">
        <f t="shared" si="3"/>
        <v>1623677.669999999</v>
      </c>
      <c r="F27" s="1077">
        <f>Print_AAD!Q27</f>
        <v>2507490.2299999958</v>
      </c>
      <c r="G27" s="1078">
        <f t="shared" si="4"/>
        <v>-883812.5599999968</v>
      </c>
    </row>
    <row r="28" spans="2:7">
      <c r="B28" s="1075" t="s">
        <v>3169</v>
      </c>
      <c r="C28" s="1076">
        <f>Print_AAD!L109</f>
        <v>482540.83</v>
      </c>
      <c r="D28" s="1077"/>
      <c r="E28" s="1078">
        <f t="shared" si="3"/>
        <v>482540.83</v>
      </c>
      <c r="F28" s="1077">
        <f>Print_AAD!Q109</f>
        <v>464469.31999999809</v>
      </c>
      <c r="G28" s="1078">
        <f t="shared" si="4"/>
        <v>18071.51000000193</v>
      </c>
    </row>
    <row r="29" spans="2:7">
      <c r="B29" s="1100" t="s">
        <v>3188</v>
      </c>
      <c r="C29" s="1076">
        <f>Print_AAD!L182</f>
        <v>1146571.8200000022</v>
      </c>
      <c r="D29" s="1077"/>
      <c r="E29" s="1078"/>
      <c r="F29" s="1077">
        <f>Print_AAD!Q182</f>
        <v>1148094.2199999988</v>
      </c>
      <c r="G29" s="1078">
        <f t="shared" si="4"/>
        <v>-1522.3999999966472</v>
      </c>
    </row>
    <row r="30" spans="2:7">
      <c r="B30" s="1075" t="s">
        <v>3170</v>
      </c>
      <c r="C30" s="1076">
        <f>Print_AAD!L268</f>
        <v>1085907.6300000001</v>
      </c>
      <c r="D30" s="1077"/>
      <c r="E30" s="1078"/>
      <c r="F30" s="1077">
        <f>Print_AAD!Q268</f>
        <v>1288503.19</v>
      </c>
      <c r="G30" s="1078">
        <f t="shared" si="4"/>
        <v>-202595.55999999982</v>
      </c>
    </row>
    <row r="31" spans="2:7">
      <c r="B31" s="1100" t="s">
        <v>3190</v>
      </c>
      <c r="C31" s="1076">
        <f>Print_AAD!L448</f>
        <v>548671.53</v>
      </c>
      <c r="D31" s="1077"/>
      <c r="E31" s="1078"/>
      <c r="F31" s="1077">
        <f>Print_AAD!Q448</f>
        <v>511346.58999999997</v>
      </c>
      <c r="G31" s="1078">
        <f t="shared" si="4"/>
        <v>37324.940000000061</v>
      </c>
    </row>
    <row r="32" spans="2:7">
      <c r="B32" s="1100" t="s">
        <v>3189</v>
      </c>
      <c r="C32" s="1076">
        <f>Print_AAD!L326</f>
        <v>548789.36</v>
      </c>
      <c r="D32" s="1077"/>
      <c r="E32" s="1078">
        <f t="shared" si="3"/>
        <v>548789.36</v>
      </c>
      <c r="F32" s="1077">
        <f>Print_AAD!Q326</f>
        <v>518095.51000000007</v>
      </c>
      <c r="G32" s="1078">
        <f t="shared" si="4"/>
        <v>30693.849999999919</v>
      </c>
    </row>
    <row r="33" spans="2:8" ht="15" thickBot="1">
      <c r="B33" s="1075" t="s">
        <v>3171</v>
      </c>
      <c r="C33" s="1076">
        <f>Print_AAD!L390</f>
        <v>786317.29000000027</v>
      </c>
      <c r="D33" s="1077"/>
      <c r="E33" s="1078">
        <f t="shared" si="3"/>
        <v>786317.29000000027</v>
      </c>
      <c r="F33" s="1077">
        <f>Print_AAD!Q390</f>
        <v>776387.20000000007</v>
      </c>
      <c r="G33" s="1078">
        <f t="shared" si="4"/>
        <v>9930.0900000002002</v>
      </c>
    </row>
    <row r="34" spans="2:8" ht="15" thickTop="1">
      <c r="B34" s="1079" t="s">
        <v>3172</v>
      </c>
      <c r="C34" s="1080">
        <f>SUM(C27:C33)</f>
        <v>6222476.1300000018</v>
      </c>
      <c r="D34" s="1081">
        <f>SUM(D27:D33)</f>
        <v>0</v>
      </c>
      <c r="E34" s="1082">
        <f t="shared" si="3"/>
        <v>6222476.1300000018</v>
      </c>
      <c r="F34" s="1081">
        <f>SUM(F27:F33)</f>
        <v>7214386.2599999923</v>
      </c>
      <c r="G34" s="1082">
        <f t="shared" si="4"/>
        <v>-991910.12999999058</v>
      </c>
    </row>
    <row r="35" spans="2:8">
      <c r="B35" s="1075" t="s">
        <v>3173</v>
      </c>
      <c r="C35" s="1076">
        <f>Print_AAD!AF568</f>
        <v>402071.42999999993</v>
      </c>
      <c r="D35" s="1077"/>
      <c r="E35" s="1078">
        <f t="shared" si="3"/>
        <v>402071.42999999993</v>
      </c>
      <c r="F35" s="1077">
        <f>Print_AAD!AL568</f>
        <v>463210.15</v>
      </c>
      <c r="G35" s="1078">
        <f t="shared" si="4"/>
        <v>-61138.720000000088</v>
      </c>
    </row>
    <row r="36" spans="2:8">
      <c r="B36" s="1075" t="s">
        <v>3174</v>
      </c>
      <c r="C36" s="1076">
        <f>-Print_AAD!AF555</f>
        <v>-4624036.2700000005</v>
      </c>
      <c r="D36" s="1077"/>
      <c r="E36" s="1078">
        <f t="shared" si="3"/>
        <v>-4624036.2700000005</v>
      </c>
      <c r="F36" s="1077">
        <f>-Print_AAD!AL555</f>
        <v>-5003329.8099999996</v>
      </c>
      <c r="G36" s="1078">
        <f t="shared" si="4"/>
        <v>379293.53999999911</v>
      </c>
      <c r="H36" s="1102" t="s">
        <v>3191</v>
      </c>
    </row>
    <row r="37" spans="2:8" ht="15" thickBot="1">
      <c r="B37" s="1075" t="s">
        <v>3179</v>
      </c>
      <c r="C37" s="1076">
        <f>-Print_AAD!AF578-Print_AAD!AF579-Print_AAD!AF580-Print_AAD!AF581-Print_AAD!AF583</f>
        <v>-120740.76000000001</v>
      </c>
      <c r="D37" s="1077"/>
      <c r="E37" s="1078">
        <f t="shared" si="3"/>
        <v>-120740.76000000001</v>
      </c>
      <c r="F37" s="1077">
        <f>-Print_AAD!AL578-Print_AAD!AL579-Print_AAD!AL580-Print_AAD!AL581-Print_AAD!AL583</f>
        <v>-90702.57</v>
      </c>
      <c r="G37" s="1078">
        <f t="shared" si="4"/>
        <v>-30038.190000000002</v>
      </c>
    </row>
    <row r="38" spans="2:8" ht="16.5" thickTop="1" thickBot="1">
      <c r="B38" s="1083" t="s">
        <v>3176</v>
      </c>
      <c r="C38" s="1084">
        <f t="shared" ref="C38:G38" si="5">SUM(C34:C37)</f>
        <v>1879770.530000001</v>
      </c>
      <c r="D38" s="1085">
        <f t="shared" si="5"/>
        <v>0</v>
      </c>
      <c r="E38" s="1086">
        <f t="shared" si="5"/>
        <v>1879770.530000001</v>
      </c>
      <c r="F38" s="1085">
        <f t="shared" si="5"/>
        <v>2583564.0299999933</v>
      </c>
      <c r="G38" s="1086">
        <f t="shared" si="5"/>
        <v>-703793.49999999162</v>
      </c>
    </row>
    <row r="40" spans="2:8" ht="21" hidden="1" thickBot="1">
      <c r="C40" s="1292" t="s">
        <v>3180</v>
      </c>
      <c r="D40" s="1293"/>
      <c r="E40" s="1293"/>
      <c r="F40" s="1293"/>
      <c r="G40" s="1294"/>
    </row>
    <row r="41" spans="2:8" ht="30"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5"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5"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2" t="s">
        <v>3203</v>
      </c>
      <c r="D54" s="1293"/>
      <c r="E54" s="1293"/>
      <c r="F54" s="1293"/>
      <c r="G54" s="1294"/>
    </row>
    <row r="55" spans="2:7" ht="30.75" hidden="1" thickBot="1">
      <c r="B55" s="1061"/>
      <c r="C55" s="1062" t="s">
        <v>3186</v>
      </c>
      <c r="D55" s="1063" t="s">
        <v>3177</v>
      </c>
      <c r="E55" s="1064" t="s">
        <v>3164</v>
      </c>
      <c r="F55" s="1063" t="s">
        <v>3178</v>
      </c>
      <c r="G55" s="1064" t="s">
        <v>3165</v>
      </c>
    </row>
    <row r="56" spans="2:7" ht="15"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5"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5" hidden="1" thickBot="1">
      <c r="B65" s="1075" t="s">
        <v>3171</v>
      </c>
      <c r="C65" s="1076">
        <f>'Q2'!L390</f>
        <v>298770.57999999996</v>
      </c>
      <c r="D65" s="1077"/>
      <c r="E65" s="1078">
        <f t="shared" si="11"/>
        <v>298770.57999999996</v>
      </c>
      <c r="F65" s="1077">
        <f>'Q2'!Q390</f>
        <v>295186.97999999992</v>
      </c>
      <c r="G65" s="1078">
        <f t="shared" si="10"/>
        <v>3583.6000000000349</v>
      </c>
    </row>
    <row r="66" spans="2:7" ht="15"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5"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4.25"/>
  <cols>
    <col min="1" max="1" width="39.375" customWidth="1"/>
    <col min="2" max="25" width="17.25" customWidth="1"/>
    <col min="26" max="26" width="11" customWidth="1"/>
  </cols>
  <sheetData>
    <row r="1" spans="1:25" s="1248" customFormat="1" ht="23.25">
      <c r="C1" s="1248" t="s">
        <v>3419</v>
      </c>
      <c r="F1" s="1248" t="s">
        <v>3420</v>
      </c>
      <c r="I1" s="1248" t="s">
        <v>3421</v>
      </c>
      <c r="L1" s="1248" t="s">
        <v>3422</v>
      </c>
      <c r="O1" s="1248" t="s">
        <v>3423</v>
      </c>
      <c r="R1" s="1248" t="s">
        <v>3424</v>
      </c>
      <c r="U1" s="1248" t="s">
        <v>3428</v>
      </c>
      <c r="X1" s="1248" t="s">
        <v>3439</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3440</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25">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3441</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3450</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3451</v>
      </c>
    </row>
    <row r="529" spans="1:26"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3451</v>
      </c>
    </row>
    <row r="535" spans="1:26"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8">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3452</v>
      </c>
    </row>
    <row r="549" spans="1:26"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2026-09-24T18:42:43Z</dcterms:modified>
</cp:coreProperties>
</file>